
<file path=[Content_Types].xml><?xml version="1.0" encoding="utf-8"?>
<Types xmlns="http://schemas.openxmlformats.org/package/2006/content-types">
  <Override PartName="/xl/worksheets/sheet35.xml" ContentType="application/vnd.openxmlformats-officedocument.spreadsheetml.worksheet+xml"/>
  <Override PartName="/xl/activeX/activeX4.bin" ContentType="application/vnd.ms-office.activeX"/>
  <Override PartName="/xl/activeX/activeX54.bin" ContentType="application/vnd.ms-office.activeX"/>
  <Override PartName="/xl/embeddings/oleObject8.bin" ContentType="application/vnd.openxmlformats-officedocument.oleObject"/>
  <Override PartName="/xl/embeddings/oleObject43.bin" ContentType="application/vnd.openxmlformats-officedocument.oleObject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charts/chart4.xml" ContentType="application/vnd.openxmlformats-officedocument.drawingml.chart+xml"/>
  <Override PartName="/xl/embeddings/oleObject21.bin" ContentType="application/vnd.openxmlformats-officedocument.oleObject"/>
  <Override PartName="/xl/activeX/activeX103.bin" ContentType="application/vnd.ms-office.activeX"/>
  <Override PartName="/xl/drawings/drawing39.xml" ContentType="application/vnd.openxmlformats-officedocument.drawing+xml"/>
  <Override PartName="/xl/activeX/activeX5.xml" ContentType="application/vnd.ms-office.activeX+xml"/>
  <Override PartName="/xl/activeX/activeX55.xml" ContentType="application/vnd.ms-office.activeX+xml"/>
  <Override PartName="/xl/drawings/drawing17.xml" ContentType="application/vnd.openxmlformats-officedocument.drawing+xml"/>
  <Override PartName="/xl/activeX/activeX126.xml" ContentType="application/vnd.ms-office.activeX+xml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harts/chart38.xml" ContentType="application/vnd.openxmlformats-officedocument.drawingml.chart+xml"/>
  <Override PartName="/xl/drawings/drawing42.xml" ContentType="application/vnd.openxmlformats-officedocument.drawing+xml"/>
  <Override PartName="/xl/charts/chart85.xml" ContentType="application/vnd.openxmlformats-officedocument.drawingml.chart+xml"/>
  <Override PartName="/xl/activeX/activeX11.xml" ContentType="application/vnd.ms-office.activeX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charts/chart63.xml" ContentType="application/vnd.openxmlformats-officedocument.drawingml.chart+xml"/>
  <Override PartName="/xl/embeddings/oleObject59.bin" ContentType="application/vnd.openxmlformats-officedocument.oleObject"/>
  <Override PartName="/xl/worksheets/sheet29.xml" ContentType="application/vnd.openxmlformats-officedocument.spreadsheetml.worksheet+xml"/>
  <Override PartName="/xl/activeX/activeX48.bin" ContentType="application/vnd.ms-office.activeX"/>
  <Override PartName="/xl/activeX/activeX95.bin" ContentType="application/vnd.ms-office.activeX"/>
  <Override PartName="/xl/embeddings/oleObject37.bin" ContentType="application/vnd.openxmlformats-officedocument.oleObject"/>
  <Override PartName="/xl/activeX/activeX119.bin" ContentType="application/vnd.ms-office.activeX"/>
  <Override PartName="/xl/worksheets/sheet54.xml" ContentType="application/vnd.openxmlformats-officedocument.spreadsheetml.worksheet+xml"/>
  <Override PartName="/xl/charts/chart41.xml" ContentType="application/vnd.openxmlformats-officedocument.drawingml.chart+xml"/>
  <Override PartName="/xl/activeX/activeX26.bin" ContentType="application/vnd.ms-office.activeX"/>
  <Override PartName="/xl/activeX/activeX73.bin" ContentType="application/vnd.ms-office.activeX"/>
  <Override PartName="/xl/embeddings/oleObject15.bin" ContentType="application/vnd.openxmlformats-officedocument.oleObject"/>
  <Override PartName="/xl/worksheets/sheet32.xml" ContentType="application/vnd.openxmlformats-officedocument.spreadsheetml.worksheet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embeddings/oleObject5.bin" ContentType="application/vnd.openxmlformats-officedocument.oleObject"/>
  <Override PartName="/xl/activeX/activeX96.xml" ContentType="application/vnd.ms-office.activeX+xml"/>
  <Override PartName="/xl/embeddings/oleObject40.bin" ContentType="application/vnd.openxmlformats-officedocument.oleObject"/>
  <Override PartName="/xl/activeX/activeX122.bin" ContentType="application/vnd.ms-office.activeX"/>
  <Override PartName="/xl/drawings/drawing58.xml" ContentType="application/vnd.openxmlformats-officedocument.drawing+xml"/>
  <Override PartName="/xl/worksheets/sheet8.xml" ContentType="application/vnd.openxmlformats-officedocument.spreadsheetml.worksheet+xml"/>
  <Override PartName="/xl/activeX/activeX27.xml" ContentType="application/vnd.ms-office.activeX+xml"/>
  <Default Extension="emf" ContentType="image/x-emf"/>
  <Override PartName="/xl/activeX/activeX74.xml" ContentType="application/vnd.ms-office.activeX+xml"/>
  <Override PartName="/xl/activeX/activeX100.bin" ContentType="application/vnd.ms-office.activeX"/>
  <Override PartName="/xl/drawings/drawing36.xml" ContentType="application/vnd.openxmlformats-officedocument.drawingml.chartshapes+xml"/>
  <Override PartName="/xl/charts/chart79.xml" ContentType="application/vnd.openxmlformats-officedocument.drawingml.chart+xml"/>
  <Override PartName="/xl/worksheets/sheet10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charts/chart57.xml" ContentType="application/vnd.openxmlformats-officedocument.drawingml.chart+xml"/>
  <Override PartName="/xl/activeX/activeX123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drawings/drawing14.xml" ContentType="application/vnd.openxmlformats-officedocument.drawing+xml"/>
  <Override PartName="/xl/activeX/activeX30.xml" ContentType="application/vnd.ms-office.activeX+xml"/>
  <Override PartName="/xl/charts/chart35.xml" ContentType="application/vnd.openxmlformats-officedocument.drawingml.chart+xml"/>
  <Override PartName="/xl/activeX/activeX101.xml" ContentType="application/vnd.ms-office.activeX+xml"/>
  <Override PartName="/xl/charts/chart82.xml" ContentType="application/vnd.openxmlformats-officedocument.drawingml.chart+xml"/>
  <Override PartName="/xl/activeX/activeX138.bin" ContentType="application/vnd.ms-office.activeX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activeX/activeX67.bin" ContentType="application/vnd.ms-office.activeX"/>
  <Override PartName="/xl/charts/chart13.xml" ContentType="application/vnd.openxmlformats-officedocument.drawingml.chart+xml"/>
  <Override PartName="/xl/embeddings/oleObject56.bin" ContentType="application/vnd.openxmlformats-officedocument.oleObject"/>
  <Override PartName="/xl/worksheets/sheet26.xml" ContentType="application/vnd.openxmlformats-officedocument.spreadsheetml.worksheet+xml"/>
  <Override PartName="/xl/activeX/activeX45.bin" ContentType="application/vnd.ms-office.activeX"/>
  <Override PartName="/xl/activeX/activeX92.bin" ContentType="application/vnd.ms-office.activeX"/>
  <Override PartName="/xl/charts/chart60.xml" ContentType="application/vnd.openxmlformats-officedocument.drawingml.chart+xml"/>
  <Override PartName="/xl/activeX/activeX116.bin" ContentType="application/vnd.ms-office.activeX"/>
  <Override PartName="/xl/activeX/activeX68.xml" ContentType="application/vnd.ms-office.activeX+xml"/>
  <Override PartName="/xl/embeddings/oleObject34.bin" ContentType="application/vnd.openxmlformats-officedocument.oleObject"/>
  <Override PartName="/xl/activeX/activeX139.xml" ContentType="application/vnd.ms-office.activeX+xml"/>
  <Override PartName="/xl/worksheets/sheet51.xml" ContentType="application/vnd.openxmlformats-officedocument.spreadsheetml.worksheet+xml"/>
  <Override PartName="/xl/activeX/activeX23.bin" ContentType="application/vnd.ms-office.activeX"/>
  <Override PartName="/xl/activeX/activeX70.bin" ContentType="application/vnd.ms-office.activeX"/>
  <Override PartName="/xl/embeddings/oleObject12.bin" ContentType="application/vnd.openxmlformats-officedocument.oleObject"/>
  <Override PartName="/xl/activeX/activeX141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Override PartName="/xl/activeX/activeX93.xml" ContentType="application/vnd.ms-office.activeX+xml"/>
  <Override PartName="/xl/activeX/activeX117.xml" ContentType="application/vnd.ms-office.activeX+xml"/>
  <Override PartName="/xl/drawings/drawing55.xml" ContentType="application/vnd.openxmlformats-officedocument.drawing+xml"/>
  <Override PartName="/xl/charts/chart98.xml" ContentType="application/vnd.openxmlformats-officedocument.drawingml.chart+xml"/>
  <Override PartName="/xl/worksheets/sheet5.xml" ContentType="application/vnd.openxmlformats-officedocument.spreadsheetml.worksheet+xml"/>
  <Override PartName="/xl/activeX/activeX24.xml" ContentType="application/vnd.ms-office.activeX+xml"/>
  <Override PartName="/xl/embeddings/oleObject2.bin" ContentType="application/vnd.openxmlformats-officedocument.oleObject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activeX/activeX71.xml" ContentType="application/vnd.ms-office.activeX+xml"/>
  <Override PartName="/xl/drawings/drawing33.xml" ContentType="application/vnd.openxmlformats-officedocument.drawing+xml"/>
  <Override PartName="/xl/drawings/drawing11.xml" ContentType="application/vnd.openxmlformats-officedocument.drawing+xml"/>
  <Override PartName="/xl/charts/chart54.xml" ContentType="application/vnd.openxmlformats-officedocument.drawingml.chart+xml"/>
  <Override PartName="/xl/activeX/activeX120.xml" ContentType="application/vnd.ms-office.activeX+xml"/>
  <Override PartName="/xl/activeX/activeX39.bin" ContentType="application/vnd.ms-office.activeX"/>
  <Override PartName="/xl/activeX/activeX86.bin" ContentType="application/vnd.ms-office.activeX"/>
  <Override PartName="/xl/charts/chart32.xml" ContentType="application/vnd.openxmlformats-officedocument.drawingml.chart+xml"/>
  <Override PartName="/xl/embeddings/oleObject28.bin" ContentType="application/vnd.openxmlformats-officedocument.oleObject"/>
  <Override PartName="/xl/worksheets/sheet45.xml" ContentType="application/vnd.openxmlformats-officedocument.spreadsheetml.worksheet+xml"/>
  <Override PartName="/xl/activeX/activeX17.bin" ContentType="application/vnd.ms-office.activeX"/>
  <Override PartName="/xl/activeX/activeX64.bin" ContentType="application/vnd.ms-office.activeX"/>
  <Override PartName="/xl/activeX/activeX135.bin" ContentType="application/vnd.ms-office.activeX"/>
  <Override PartName="/xl/charts/chart10.xml" ContentType="application/vnd.openxmlformats-officedocument.drawingml.chart+xml"/>
  <Override PartName="/xl/activeX/activeX87.xml" ContentType="application/vnd.ms-office.activeX+xml"/>
  <Override PartName="/xl/embeddings/oleObject53.bin" ContentType="application/vnd.openxmlformats-officedocument.oleObject"/>
  <Override PartName="/xl/activeX/activeX113.bin" ContentType="application/vnd.ms-office.activeX"/>
  <Override PartName="/xl/worksheets/sheet23.xml" ContentType="application/vnd.openxmlformats-officedocument.spreadsheetml.worksheet+xml"/>
  <Override PartName="/xl/activeX/activeX42.bin" ContentType="application/vnd.ms-office.activeX"/>
  <Override PartName="/xl/embeddings/oleObject31.bin" ContentType="application/vnd.openxmlformats-officedocument.oleObject"/>
  <Override PartName="/xl/drawings/drawing49.xml" ContentType="application/vnd.openxmlformats-officedocument.drawing+xml"/>
  <Override PartName="/xl/activeX/activeX136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65.xml" ContentType="application/vnd.ms-office.activeX+xml"/>
  <Override PartName="/xl/drawings/drawing27.xml" ContentType="application/vnd.openxmlformats-officedocument.drawing+xml"/>
  <Override PartName="/xl/activeX/activeX43.xml" ContentType="application/vnd.ms-office.activeX+xml"/>
  <Override PartName="/xl/activeX/activeX90.xml" ContentType="application/vnd.ms-office.activeX+xml"/>
  <Override PartName="/xl/charts/chart48.xml" ContentType="application/vnd.openxmlformats-officedocument.drawingml.chart+xml"/>
  <Override PartName="/xl/activeX/activeX114.xml" ContentType="application/vnd.ms-office.activeX+xml"/>
  <Override PartName="/xl/charts/chart95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52.xml" ContentType="application/vnd.openxmlformats-officedocument.drawingml.chartshapes+xml"/>
  <Override PartName="/xl/activeX/activeX21.xml" ContentType="application/vnd.ms-office.activeX+xml"/>
  <Override PartName="/xl/charts/chart26.xml" ContentType="application/vnd.openxmlformats-officedocument.drawingml.chart+xml"/>
  <Override PartName="/xl/drawings/drawing30.xml" ContentType="application/vnd.openxmlformats-officedocument.drawingml.chartshapes+xml"/>
  <Override PartName="/xl/charts/chart73.xml" ContentType="application/vnd.openxmlformats-officedocument.drawingml.chart+xml"/>
  <Override PartName="/xl/activeX/activeX129.bin" ContentType="application/vnd.ms-office.activeX"/>
  <Override PartName="/xl/worksheets/sheet39.xml" ContentType="application/vnd.openxmlformats-officedocument.spreadsheetml.worksheet+xml"/>
  <Override PartName="/xl/activeX/activeX8.bin" ContentType="application/vnd.ms-office.activeX"/>
  <Override PartName="/xl/activeX/activeX58.bin" ContentType="application/vnd.ms-office.activeX"/>
  <Override PartName="/xl/embeddings/oleObject47.bin" ContentType="application/vnd.openxmlformats-officedocument.oleObject"/>
  <Override PartName="/xl/charts/chart51.xml" ContentType="application/vnd.openxmlformats-officedocument.drawingml.chart+xml"/>
  <Override PartName="/xl/worksheets/sheet17.xml" ContentType="application/vnd.openxmlformats-officedocument.spreadsheetml.worksheet+xml"/>
  <Override PartName="/xl/activeX/activeX36.bin" ContentType="application/vnd.ms-office.activeX"/>
  <Override PartName="/xl/activeX/activeX83.bin" ContentType="application/vnd.ms-office.activeX"/>
  <Override PartName="/xl/charts/chart8.xml" ContentType="application/vnd.openxmlformats-officedocument.drawingml.chart+xml"/>
  <Override PartName="/xl/embeddings/oleObject25.bin" ContentType="application/vnd.openxmlformats-officedocument.oleObject"/>
  <Override PartName="/xl/activeX/activeX107.bin" ContentType="application/vnd.ms-office.activeX"/>
  <Override PartName="/xl/worksheets/sheet53.xml" ContentType="application/vnd.openxmlformats-officedocument.spreadsheetml.worksheet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embeddings/oleObject14.bin" ContentType="application/vnd.openxmlformats-officedocument.oleObject"/>
  <Override PartName="/xl/embeddings/oleObject61.bin" ContentType="application/vnd.openxmlformats-officedocument.oleObject"/>
  <Override PartName="/xl/activeX/activeX132.bin" ContentType="application/vnd.ms-office.activeX"/>
  <Override PartName="/xl/worksheets/sheet42.xml" ContentType="application/vnd.openxmlformats-officedocument.spreadsheetml.worksheet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drawings/drawing6.xml" ContentType="application/vnd.openxmlformats-officedocument.drawingml.chartshapes+xml"/>
  <Override PartName="/xl/activeX/activeX95.xml" ContentType="application/vnd.ms-office.activeX+xml"/>
  <Override PartName="/xl/activeX/activeX108.xml" ContentType="application/vnd.ms-office.activeX+xml"/>
  <Override PartName="/xl/embeddings/oleObject50.bin" ContentType="application/vnd.openxmlformats-officedocument.oleObject"/>
  <Override PartName="/xl/activeX/activeX119.xml" ContentType="application/vnd.ms-office.activeX+xml"/>
  <Override PartName="/xl/activeX/activeX121.bin" ContentType="application/vnd.ms-office.activeX"/>
  <Override PartName="/xl/drawings/drawing57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embeddings/oleObject4.bin" ContentType="application/vnd.openxmlformats-officedocument.oleObject"/>
  <Override PartName="/xl/activeX/activeX110.bin" ContentType="application/vnd.ms-office.activeX"/>
  <Override PartName="/xl/drawings/drawing46.xml" ContentType="application/vnd.openxmlformats-officedocument.drawing+xml"/>
  <Override PartName="/xl/charts/chart78.xml" ContentType="application/vnd.openxmlformats-officedocument.drawingml.chart+xml"/>
  <Override PartName="/xl/charts/chart89.xml" ContentType="application/vnd.openxmlformats-officedocument.drawingml.chart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drawings/drawing35.xml" ContentType="application/vnd.openxmlformats-officedocument.drawing+xml"/>
  <Override PartName="/xl/charts/chart67.xml" ContentType="application/vnd.openxmlformats-officedocument.drawingml.chart+xml"/>
  <Override PartName="/xl/activeX/activeX133.xml" ContentType="application/vnd.ms-office.activeX+xml"/>
  <Override PartName="/xl/activeX/activeX1.xml" ContentType="application/vnd.ms-office.activeX+xml"/>
  <Override PartName="/xl/activeX/activeX51.xml" ContentType="application/vnd.ms-office.activeX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activeX/activeX99.bin" ContentType="application/vnd.ms-office.activeX"/>
  <Override PartName="/xl/charts/chart56.xml" ContentType="application/vnd.openxmlformats-officedocument.drawingml.chart+xml"/>
  <Override PartName="/xl/activeX/activeX111.xml" ContentType="application/vnd.ms-office.activeX+xml"/>
  <Override PartName="/xl/activeX/activeX122.xml" ContentType="application/vnd.ms-office.activeX+xml"/>
  <Override PartName="/xl/drawings/drawing60.xml" ContentType="application/vnd.openxmlformats-officedocument.drawing+xml"/>
  <Override PartName="/xl/activeX/activeX40.xml" ContentType="application/vnd.ms-office.activeX+xml"/>
  <Override PartName="/xl/activeX/activeX88.bin" ContentType="application/vnd.ms-office.activeX"/>
  <Override PartName="/xl/charts/chart34.xml" ContentType="application/vnd.openxmlformats-officedocument.drawingml.chart+xml"/>
  <Override PartName="/xl/activeX/activeX100.xml" ContentType="application/vnd.ms-office.activeX+xml"/>
  <Override PartName="/xl/charts/chart45.xml" ContentType="application/vnd.openxmlformats-officedocument.drawingml.chart+xml"/>
  <Override PartName="/xl/charts/chart81.xml" ContentType="application/vnd.openxmlformats-officedocument.drawingml.chart+xml"/>
  <Override PartName="/xl/charts/chart92.xml" ContentType="application/vnd.openxmlformats-officedocument.drawingml.char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charts/chart23.xml" ContentType="application/vnd.openxmlformats-officedocument.drawingml.chart+xml"/>
  <Override PartName="/xl/embeddings/oleObject19.bin" ContentType="application/vnd.openxmlformats-officedocument.oleObject"/>
  <Override PartName="/xl/charts/chart70.xml" ContentType="application/vnd.openxmlformats-officedocument.drawingml.chart+xml"/>
  <Override PartName="/xl/activeX/activeX137.bin" ContentType="application/vnd.ms-office.activeX"/>
  <Override PartName="/xl/worksheets/sheet36.xml" ContentType="application/vnd.openxmlformats-officedocument.spreadsheetml.worksheet+xml"/>
  <Override PartName="/xl/activeX/activeX5.bin" ContentType="application/vnd.ms-office.activeX"/>
  <Override PartName="/xl/activeX/activeX55.bin" ContentType="application/vnd.ms-office.activeX"/>
  <Override PartName="/xl/charts/chart12.xml" ContentType="application/vnd.openxmlformats-officedocument.drawingml.chart+xml"/>
  <Override PartName="/xl/activeX/activeX89.xml" ContentType="application/vnd.ms-office.activeX+xml"/>
  <Override PartName="/xl/embeddings/oleObject9.bin" ContentType="application/vnd.openxmlformats-officedocument.oleObject"/>
  <Override PartName="/xl/embeddings/oleObject44.bin" ContentType="application/vnd.openxmlformats-officedocument.oleObject"/>
  <Override PartName="/xl/embeddings/oleObject55.bin" ContentType="application/vnd.openxmlformats-officedocument.oleObject"/>
  <Override PartName="/xl/activeX/activeX115.bin" ContentType="application/vnd.ms-office.activeX"/>
  <Override PartName="/xl/activeX/activeX126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embeddings/oleObject33.bin" ContentType="application/vnd.openxmlformats-officedocument.oleObject"/>
  <Override PartName="/xl/activeX/activeX104.bin" ContentType="application/vnd.ms-office.activeX"/>
  <Override PartName="/xl/activeX/activeX138.xml" ContentType="application/vnd.ms-office.activeX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charts/chart5.xml" ContentType="application/vnd.openxmlformats-officedocument.drawingml.chart+xml"/>
  <Override PartName="/xl/embeddings/oleObject22.bin" ContentType="application/vnd.openxmlformats-officedocument.oleObject"/>
  <Override PartName="/xl/drawings/drawing29.xml" ContentType="application/vnd.openxmlformats-officedocument.drawing+xml"/>
  <Override PartName="/xl/activeX/activeX127.xml" ContentType="application/vnd.ms-office.activeX+xml"/>
  <Override PartName="/xl/activeX/activeX14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drawings/drawing18.xml" ContentType="application/vnd.openxmlformats-officedocument.drawing+xml"/>
  <Override PartName="/xl/embeddings/oleObject11.bin" ContentType="application/vnd.openxmlformats-officedocument.oleObject"/>
  <Override PartName="/xl/activeX/activeX116.xml" ContentType="application/vnd.ms-office.activeX+xml"/>
  <Override PartName="/xl/charts/chart97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activeX/activeX81.xml" ContentType="application/vnd.ms-office.activeX+xml"/>
  <Override PartName="/xl/activeX/activeX105.xml" ContentType="application/vnd.ms-office.activeX+xml"/>
  <Override PartName="/xl/charts/chart39.xml" ContentType="application/vnd.openxmlformats-officedocument.drawingml.chart+xml"/>
  <Override PartName="/xl/drawings/drawing43.xml" ContentType="application/vnd.openxmlformats-officedocument.drawingml.chartshapes+xml"/>
  <Override PartName="/xl/charts/chart86.xml" ContentType="application/vnd.openxmlformats-officedocument.drawingml.chart+xml"/>
  <Override PartName="/xl/drawings/drawing54.xml" ContentType="application/vnd.openxmlformats-officedocument.drawing+xml"/>
  <Override PartName="/xl/activeX/activeX23.xml" ContentType="application/vnd.ms-office.activeX+xml"/>
  <Override PartName="/xl/activeX/activeX70.xml" ContentType="application/vnd.ms-office.activeX+xml"/>
  <Override PartName="/xl/charts/chart28.xml" ContentType="application/vnd.openxmlformats-officedocument.drawingml.chart+xml"/>
  <Override PartName="/xl/drawings/drawing32.xml" ContentType="application/vnd.openxmlformats-officedocument.drawing+xml"/>
  <Override PartName="/xl/charts/chart75.xml" ContentType="application/vnd.openxmlformats-officedocument.drawingml.chart+xml"/>
  <Override PartName="/xl/activeX/activeX130.xml" ContentType="application/vnd.ms-office.activeX+xml"/>
  <Override PartName="/xl/activeX/activeX141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embeddings/oleObject49.bin" ContentType="application/vnd.openxmlformats-officedocument.oleObject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drawings/drawing10.xml" ContentType="application/vnd.openxmlformats-officedocument.drawingml.chartshapes+xml"/>
  <Override PartName="/xl/activeX/activeX96.bin" ContentType="application/vnd.ms-office.activeX"/>
  <Override PartName="/xl/embeddings/oleObject38.bin" ContentType="application/vnd.openxmlformats-officedocument.oleObject"/>
  <Override PartName="/xl/activeX/activeX109.bin" ContentType="application/vnd.ms-office.activeX"/>
  <Override PartName="/xl/charts/chart42.xml" ContentType="application/vnd.openxmlformats-officedocument.drawingml.chart+xml"/>
  <Override PartName="/xl/worksheets/sheet55.xml" ContentType="application/vnd.openxmlformats-officedocument.spreadsheetml.worksheet+xml"/>
  <Override PartName="/xl/activeX/activeX27.bin" ContentType="application/vnd.ms-office.activeX"/>
  <Override PartName="/xl/activeX/activeX74.bin" ContentType="application/vnd.ms-office.activeX"/>
  <Override PartName="/xl/charts/chart31.xml" ContentType="application/vnd.openxmlformats-officedocument.drawingml.chart+xml"/>
  <Override PartName="/xl/embeddings/oleObject16.bin" ContentType="application/vnd.openxmlformats-officedocument.oleObject"/>
  <Override PartName="/xl/embeddings/oleObject27.bin" ContentType="application/vnd.openxmlformats-officedocument.oleObject"/>
  <Override PartName="/xl/activeX/activeX134.bin" ContentType="application/vnd.ms-office.activeX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charts/chart20.xml" ContentType="application/vnd.openxmlformats-officedocument.drawingml.chart+xml"/>
  <Override PartName="/xl/activeX/activeX97.xml" ContentType="application/vnd.ms-office.activeX+xml"/>
  <Override PartName="/xl/embeddings/oleObject52.bin" ContentType="application/vnd.openxmlformats-officedocument.oleObject"/>
  <Override PartName="/xl/activeX/activeX123.bin" ContentType="application/vnd.ms-office.activeX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drawings/drawing8.xml" ContentType="application/vnd.openxmlformats-officedocument.drawing+xml"/>
  <Override PartName="/xl/activeX/activeX86.xml" ContentType="application/vnd.ms-office.activeX+xml"/>
  <Override PartName="/xl/embeddings/oleObject6.bin" ContentType="application/vnd.openxmlformats-officedocument.oleObject"/>
  <Override PartName="/xl/embeddings/oleObject41.bin" ContentType="application/vnd.openxmlformats-officedocument.oleObject"/>
  <Override PartName="/xl/activeX/activeX112.bin" ContentType="application/vnd.ms-office.activeX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charts/chart2.xml" ContentType="application/vnd.openxmlformats-officedocument.drawingml.chart+xml"/>
  <Override PartName="/xl/embeddings/oleObject30.bin" ContentType="application/vnd.openxmlformats-officedocument.oleObject"/>
  <Override PartName="/xl/activeX/activeX101.bin" ContentType="application/vnd.ms-office.activeX"/>
  <Override PartName="/xl/drawings/drawing37.xml" ContentType="application/vnd.openxmlformats-officedocument.drawing+xml"/>
  <Override PartName="/xl/charts/chart69.xml" ContentType="application/vnd.openxmlformats-officedocument.drawingml.chart+xml"/>
  <Override PartName="/xl/activeX/activeX135.xml" ContentType="application/vnd.ms-office.activeX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drawings/drawing15.xml" ContentType="application/vnd.openxmlformats-officedocument.drawingml.chartshapes+xml"/>
  <Override PartName="/xl/drawings/drawing26.xml" ContentType="application/vnd.openxmlformats-officedocument.drawing+xml"/>
  <Override PartName="/xl/charts/chart58.xml" ContentType="application/vnd.openxmlformats-officedocument.drawingml.chart+xml"/>
  <Override PartName="/xl/activeX/activeX113.xml" ContentType="application/vnd.ms-office.activeX+xml"/>
  <Override PartName="/xl/activeX/activeX124.xml" ContentType="application/vnd.ms-office.activeX+xml"/>
  <Override PartName="/xl/activeX/activeX42.xml" ContentType="application/vnd.ms-office.activeX+xml"/>
  <Override PartName="/xl/charts/chart36.xml" ContentType="application/vnd.openxmlformats-officedocument.drawingml.chart+xml"/>
  <Override PartName="/xl/activeX/activeX102.xml" ContentType="application/vnd.ms-office.activeX+xml"/>
  <Override PartName="/xl/charts/chart47.xml" ContentType="application/vnd.openxmlformats-officedocument.drawingml.chart+xml"/>
  <Override PartName="/xl/drawings/drawing51.xml" ContentType="application/vnd.openxmlformats-officedocument.drawing+xml"/>
  <Override PartName="/xl/charts/chart83.xml" ContentType="application/vnd.openxmlformats-officedocument.drawingml.chart+xml"/>
  <Override PartName="/xl/charts/chart94.xml" ContentType="application/vnd.openxmlformats-officedocument.drawingml.char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charts/chart25.xml" ContentType="application/vnd.openxmlformats-officedocument.drawingml.chart+xml"/>
  <Override PartName="/xl/drawings/drawing40.xml" ContentType="application/vnd.openxmlformats-officedocument.drawing+xml"/>
  <Override PartName="/xl/charts/chart72.xml" ContentType="application/vnd.openxmlformats-officedocument.drawingml.chart+xml"/>
  <Override PartName="/xl/activeX/activeX139.bin" ContentType="application/vnd.ms-office.activeX"/>
  <Override PartName="/xl/worksheets/sheet38.xml" ContentType="application/vnd.openxmlformats-officedocument.spreadsheetml.worksheet+xml"/>
  <Override PartName="/xl/activeX/activeX7.bin" ContentType="application/vnd.ms-office.activeX"/>
  <Override PartName="/xl/activeX/activeX57.bin" ContentType="application/vnd.ms-office.activeX"/>
  <Override PartName="/xl/charts/chart14.xml" ContentType="application/vnd.openxmlformats-officedocument.drawingml.chart+xml"/>
  <Override PartName="/xl/embeddings/oleObject46.bin" ContentType="application/vnd.openxmlformats-officedocument.oleObject"/>
  <Override PartName="/xl/charts/chart61.xml" ContentType="application/vnd.openxmlformats-officedocument.drawingml.chart+xml"/>
  <Override PartName="/xl/embeddings/oleObject57.bin" ContentType="application/vnd.openxmlformats-officedocument.oleObject"/>
  <Override PartName="/xl/activeX/activeX128.bin" ContentType="application/vnd.ms-office.activeX"/>
  <Override PartName="/xl/worksheets/sheet27.xml" ContentType="application/vnd.openxmlformats-officedocument.spreadsheetml.worksheet+xml"/>
  <Override PartName="/xl/activeX/activeX46.bin" ContentType="application/vnd.ms-office.activeX"/>
  <Override PartName="/xl/activeX/activeX93.bin" ContentType="application/vnd.ms-office.activeX"/>
  <Override PartName="/xl/embeddings/oleObject35.bin" ContentType="application/vnd.openxmlformats-officedocument.oleObject"/>
  <Override PartName="/xl/activeX/activeX106.bin" ContentType="application/vnd.ms-office.activeX"/>
  <Override PartName="/xl/charts/chart50.xml" ContentType="application/vnd.openxmlformats-officedocument.drawingml.chart+xml"/>
  <Override PartName="/xl/activeX/activeX117.bin" ContentType="application/vnd.ms-office.activeX"/>
  <Override PartName="/xl/worksheets/sheet16.xml" ContentType="application/vnd.openxmlformats-officedocument.spreadsheetml.worksheet+xml"/>
  <Override PartName="/xl/worksheets/sheet52.xml" ContentType="application/vnd.openxmlformats-officedocument.spreadsheetml.worksheet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charts/chart7.xml" ContentType="application/vnd.openxmlformats-officedocument.drawingml.chart+xml"/>
  <Override PartName="/xl/embeddings/oleObject24.bin" ContentType="application/vnd.openxmlformats-officedocument.oleObject"/>
  <Override PartName="/xl/activeX/activeX129.xml" ContentType="application/vnd.ms-office.activeX+xml"/>
  <Override PartName="/xl/worksheets/sheet41.xml" ContentType="application/vnd.openxmlformats-officedocument.spreadsheetml.worksheet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embeddings/oleObject13.bin" ContentType="application/vnd.openxmlformats-officedocument.oleObject"/>
  <Override PartName="/xl/activeX/activeX118.xml" ContentType="application/vnd.ms-office.activeX+xml"/>
  <Override PartName="/xl/embeddings/oleObject60.bin" ContentType="application/vnd.openxmlformats-officedocument.oleObject"/>
  <Override PartName="/xl/activeX/activeX131.bin" ContentType="application/vnd.ms-office.activeX"/>
  <Override PartName="/xl/charts/chart99.xml" ContentType="application/vnd.openxmlformats-officedocument.drawingml.chart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activeX/activeX36.xml" ContentType="application/vnd.ms-office.activeX+xml"/>
  <Override PartName="/xl/embeddings/oleObject3.bin" ContentType="application/vnd.openxmlformats-officedocument.oleObject"/>
  <Override PartName="/xl/drawings/drawing5.xml" ContentType="application/vnd.openxmlformats-officedocument.drawing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drawings/drawing45.xml" ContentType="application/vnd.openxmlformats-officedocument.drawingml.chartshapes+xml"/>
  <Override PartName="/xl/charts/chart88.xml" ContentType="application/vnd.openxmlformats-officedocument.drawingml.chart+xml"/>
  <Override PartName="/xl/drawings/drawing56.xml" ContentType="application/vnd.openxmlformats-officedocument.drawing+xml"/>
  <Override PartName="/xl/activeX/activeX25.xml" ContentType="application/vnd.ms-office.activeX+xml"/>
  <Override PartName="/xl/activeX/activeX72.xml" ContentType="application/vnd.ms-office.activeX+xml"/>
  <Override PartName="/xl/drawings/drawing34.xml" ContentType="application/vnd.openxmlformats-officedocument.drawing+xml"/>
  <Override PartName="/xl/charts/chart77.xml" ContentType="application/vnd.openxmlformats-officedocument.drawingml.chart+xml"/>
  <Override PartName="/xl/activeX/activeX132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activeX/activeX121.xml" ContentType="application/vnd.ms-office.activeX+xml"/>
  <Override PartName="/xl/activeX/activeX50.xml" ContentType="application/vnd.ms-office.activeX+xml"/>
  <Override PartName="/xl/activeX/activeX87.bin" ContentType="application/vnd.ms-office.activeX"/>
  <Override PartName="/xl/drawings/drawing12.xml" ContentType="application/vnd.openxmlformats-officedocument.drawing+xml"/>
  <Override PartName="/xl/activeX/activeX98.bin" ContentType="application/vnd.ms-office.activeX"/>
  <Override PartName="/xl/charts/chart44.xml" ContentType="application/vnd.openxmlformats-officedocument.drawingml.chart+xml"/>
  <Override PartName="/xl/activeX/activeX110.xml" ContentType="application/vnd.ms-office.activeX+xml"/>
  <Override PartName="/xl/charts/chart91.xml" ContentType="application/vnd.openxmlformats-officedocument.drawingml.chart+xml"/>
  <Override PartName="/xl/worksheets/sheet57.xml" ContentType="application/vnd.openxmlformats-officedocument.spreadsheetml.worksheet+xml"/>
  <Override PartName="/xl/activeX/activeX29.bin" ContentType="application/vnd.ms-office.activeX"/>
  <Override PartName="/xl/activeX/activeX76.bin" ContentType="application/vnd.ms-office.activeX"/>
  <Override PartName="/xl/charts/chart33.xml" ContentType="application/vnd.openxmlformats-officedocument.drawingml.chart+xml"/>
  <Override PartName="/xl/embeddings/oleObject18.bin" ContentType="application/vnd.openxmlformats-officedocument.oleObject"/>
  <Override PartName="/xl/embeddings/oleObject29.bin" ContentType="application/vnd.openxmlformats-officedocument.oleObject"/>
  <Override PartName="/xl/charts/chart80.xml" ContentType="application/vnd.openxmlformats-officedocument.drawingml.chart+xml"/>
  <Override PartName="/xl/activeX/activeX136.bin" ContentType="application/vnd.ms-office.activeX"/>
  <Override PartName="/xl/worksheets/sheet46.xml" ContentType="application/vnd.openxmlformats-officedocument.spreadsheetml.worksheet+xml"/>
  <Override PartName="/xl/activeX/activeX18.bin" ContentType="application/vnd.ms-office.activeX"/>
  <Override PartName="/xl/activeX/activeX65.bin" ContentType="application/vnd.ms-office.activeX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activeX/activeX99.xml" ContentType="application/vnd.ms-office.activeX+xml"/>
  <Override PartName="/xl/embeddings/oleObject54.bin" ContentType="application/vnd.openxmlformats-officedocument.oleObject"/>
  <Override PartName="/xl/activeX/activeX125.bin" ContentType="application/vnd.ms-office.activeX"/>
  <Override PartName="/xl/worksheets/sheet24.xml" ContentType="application/vnd.openxmlformats-officedocument.spreadsheetml.worksheet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9.xml" ContentType="application/vnd.ms-office.activeX+xml"/>
  <Override PartName="/xl/activeX/activeX66.xml" ContentType="application/vnd.ms-office.activeX+xml"/>
  <Override PartName="/xl/embeddings/oleObject32.bin" ContentType="application/vnd.openxmlformats-officedocument.oleObject"/>
  <Override PartName="/xl/activeX/activeX137.xml" ContentType="application/vnd.ms-office.activeX+xml"/>
  <Override PartName="/xl/activeX/activeX21.bin" ContentType="application/vnd.ms-office.activeX"/>
  <Override PartName="/xl/embeddings/oleObject10.bin" ContentType="application/vnd.openxmlformats-officedocument.oleObject"/>
  <Override PartName="/xl/drawings/drawing28.xml" ContentType="application/vnd.openxmlformats-officedocument.drawing+xml"/>
  <Override PartName="/xl/activeX/activeX115.xml" ContentType="application/vnd.ms-office.activeX+xml"/>
  <Override PartName="/xl/activeX/activeX44.xml" ContentType="application/vnd.ms-office.activeX+xml"/>
  <Override PartName="/xl/drawings/drawing2.xml" ContentType="application/vnd.openxmlformats-officedocument.drawing+xml"/>
  <Override PartName="/xl/activeX/activeX91.xml" ContentType="application/vnd.ms-office.activeX+xml"/>
  <Override PartName="/xl/charts/chart49.xml" ContentType="application/vnd.openxmlformats-officedocument.drawingml.chart+xml"/>
  <Override PartName="/xl/drawings/drawing53.xml" ContentType="application/vnd.openxmlformats-officedocument.drawing+xml"/>
  <Override PartName="/xl/charts/chart96.xml" ContentType="application/vnd.openxmlformats-officedocument.drawingml.chart+xml"/>
  <Override PartName="/xl/worksheets/sheet3.xml" ContentType="application/vnd.openxmlformats-officedocument.spreadsheetml.worksheet+xml"/>
  <Override PartName="/xl/activeX/activeX22.xml" ContentType="application/vnd.ms-office.activeX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activeX/activeX140.xml" ContentType="application/vnd.ms-office.activeX+xml"/>
  <Override PartName="/xl/activeX/activeX9.bin" ContentType="application/vnd.ms-office.activeX"/>
  <Override PartName="/xl/activeX/activeX59.bin" ContentType="application/vnd.ms-office.activeX"/>
  <Override PartName="/xl/drawings/drawing31.xml" ContentType="application/vnd.openxmlformats-officedocument.drawing+xml"/>
  <Override PartName="/xl/embeddings/oleObject48.bin" ContentType="application/vnd.openxmlformats-officedocument.oleObject"/>
  <Override PartName="/xl/activeX/activeX108.bin" ContentType="application/vnd.ms-office.activeX"/>
  <Override PartName="/xl/charts/chart52.xml" ContentType="application/vnd.openxmlformats-officedocument.drawingml.chart+xml"/>
  <Override PartName="/xl/worksheets/sheet18.xml" ContentType="application/vnd.openxmlformats-officedocument.spreadsheetml.worksheet+xml"/>
  <Override PartName="/xl/activeX/activeX37.bin" ContentType="application/vnd.ms-office.activeX"/>
  <Override PartName="/xl/charts/chart9.xml" ContentType="application/vnd.openxmlformats-officedocument.drawingml.chart+xml"/>
  <Override PartName="/xl/activeX/activeX84.bin" ContentType="application/vnd.ms-office.activeX"/>
  <Override PartName="/xl/charts/chart30.xml" ContentType="application/vnd.openxmlformats-officedocument.drawingml.chart+xml"/>
  <Override PartName="/xl/embeddings/oleObject26.bin" ContentType="application/vnd.openxmlformats-officedocument.oleObject"/>
  <Override PartName="/xl/worksheets/sheet43.xml" ContentType="application/vnd.openxmlformats-officedocument.spreadsheetml.worksheet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embeddings/oleObject51.bin" ContentType="application/vnd.openxmlformats-officedocument.oleObject"/>
  <Override PartName="/xl/worksheets/sheet21.xml" ContentType="application/vnd.openxmlformats-officedocument.spreadsheetml.worksheet+xml"/>
  <Override PartName="/xl/activeX/activeX40.bin" ContentType="application/vnd.ms-office.activeX"/>
  <Override PartName="/xl/drawings/drawing47.xml" ContentType="application/vnd.openxmlformats-officedocument.drawing+xml"/>
  <Override PartName="/xl/activeX/activeX134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drawings/drawing25.xml" ContentType="application/vnd.openxmlformats-officedocument.drawing+xml"/>
  <Override PartName="/xl/charts/chart68.xml" ContentType="application/vnd.openxmlformats-officedocument.drawingml.chart+xml"/>
  <Override PartName="/docProps/app.xml" ContentType="application/vnd.openxmlformats-officedocument.extended-properties+xml"/>
  <Override PartName="/xl/activeX/activeX41.xml" ContentType="application/vnd.ms-office.activeX+xml"/>
  <Override PartName="/xl/charts/chart46.xml" ContentType="application/vnd.openxmlformats-officedocument.drawingml.chart+xml"/>
  <Override PartName="/xl/activeX/activeX112.xml" ContentType="application/vnd.ms-office.activeX+xml"/>
  <Override PartName="/xl/charts/chart93.xml" ContentType="application/vnd.openxmlformats-officedocument.drawingml.chart+xml"/>
  <Override PartName="/xl/worksheets/sheet59.xml" ContentType="application/vnd.openxmlformats-officedocument.spreadsheetml.worksheet+xml"/>
  <Override PartName="/xl/activeX/activeX78.bin" ContentType="application/vnd.ms-office.activeX"/>
  <Override PartName="/xl/drawings/drawing50.xml" ContentType="application/vnd.openxmlformats-officedocument.drawing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activeX/activeX127.bin" ContentType="application/vnd.ms-office.activeX"/>
  <Override PartName="/xl/worksheets/sheet37.xml" ContentType="application/vnd.openxmlformats-officedocument.spreadsheetml.worksheet+xml"/>
  <Override PartName="/xl/activeX/activeX6.bin" ContentType="application/vnd.ms-office.activeX"/>
  <Override PartName="/xl/activeX/activeX56.bin" ContentType="application/vnd.ms-office.activeX"/>
  <Override PartName="/xl/embeddings/oleObject45.bin" ContentType="application/vnd.openxmlformats-officedocument.oleObject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charts/chart6.xml" ContentType="application/vnd.openxmlformats-officedocument.drawingml.chart+xml"/>
  <Override PartName="/xl/embeddings/oleObject23.bin" ContentType="application/vnd.openxmlformats-officedocument.oleObject"/>
  <Override PartName="/xl/activeX/activeX105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drawings/drawing19.xml" ContentType="application/vnd.openxmlformats-officedocument.drawingml.chartshapes+xml"/>
  <Override PartName="/xl/activeX/activeX128.xml" ContentType="application/vnd.ms-office.activeX+xml"/>
  <Override PartName="/xl/activeX/activeX130.bin" ContentType="application/vnd.ms-office.activeX"/>
  <Override PartName="/xl/worksheets/sheet40.xml" ContentType="application/vnd.openxmlformats-officedocument.spreadsheetml.worksheet+xml"/>
  <Override PartName="/xl/activeX/activeX12.bin" ContentType="application/vnd.ms-office.activeX"/>
  <Default Extension="wmf" ContentType="image/x-wmf"/>
  <Override PartName="/xl/activeX/activeX106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drawings/drawing44.xml" ContentType="application/vnd.openxmlformats-officedocument.drawing+xml"/>
  <Override PartName="/xl/charts/chart87.xml" ContentType="application/vnd.openxmlformats-officedocument.drawingml.chart+xml"/>
  <Override PartName="/xl/activeX/activeX13.xml" ContentType="application/vnd.ms-office.activeX+xml"/>
  <Override PartName="/xl/activeX/activeX60.xml" ContentType="application/vnd.ms-office.activeX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activeX/activeX131.xml" ContentType="application/vnd.ms-office.activeX+xml"/>
  <Override PartName="/xl/activeX/activeX97.bin" ContentType="application/vnd.ms-office.activeX"/>
  <Override PartName="/xl/embeddings/oleObject39.bin" ContentType="application/vnd.openxmlformats-officedocument.oleObject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worksheets/sheet56.xml" ContentType="application/vnd.openxmlformats-officedocument.spreadsheetml.worksheet+xml"/>
  <Override PartName="/xl/activeX/activeX28.bin" ContentType="application/vnd.ms-office.activeX"/>
  <Override PartName="/xl/activeX/activeX75.bin" ContentType="application/vnd.ms-office.activeX"/>
  <Override PartName="/xl/charts/chart21.xml" ContentType="application/vnd.openxmlformats-officedocument.drawingml.chart+xml"/>
  <Override PartName="/xl/embeddings/oleObject17.bin" ContentType="application/vnd.openxmlformats-officedocument.oleObject"/>
  <Override PartName="/xl/worksheets/sheet34.xml" ContentType="application/vnd.openxmlformats-officedocument.spreadsheetml.worksheet+xml"/>
  <Override PartName="/xl/activeX/activeX3.bin" ContentType="application/vnd.ms-office.activeX"/>
  <Override PartName="/xl/activeX/activeX53.bin" ContentType="application/vnd.ms-office.activeX"/>
  <Override PartName="/xl/drawings/drawing9.xml" ContentType="application/vnd.openxmlformats-officedocument.drawing+xml"/>
  <Override PartName="/xl/embeddings/oleObject7.bin" ContentType="application/vnd.openxmlformats-officedocument.oleObject"/>
  <Override PartName="/xl/activeX/activeX98.xml" ContentType="application/vnd.ms-office.activeX+xml"/>
  <Override PartName="/xl/embeddings/oleObject42.bin" ContentType="application/vnd.openxmlformats-officedocument.oleObject"/>
  <Override PartName="/xl/activeX/activeX124.bin" ContentType="application/vnd.ms-office.activeX"/>
  <Override PartName="/xl/activeX/activeX29.xml" ContentType="application/vnd.ms-office.activeX+xml"/>
  <Override PartName="/xl/activeX/activeX76.xml" ContentType="application/vnd.ms-office.activeX+xml"/>
  <Override PartName="/xl/activeX/activeX102.bin" ContentType="application/vnd.ms-office.activeX"/>
  <Override PartName="/xl/drawings/drawing38.xml" ContentType="application/vnd.openxmlformats-officedocument.drawing+xml"/>
  <Override PartName="/xl/worksheets/sheet12.xml" ContentType="application/vnd.openxmlformats-officedocument.spreadsheetml.worksheet+xml"/>
  <Override PartName="/xl/activeX/activeX31.bin" ContentType="application/vnd.ms-office.activeX"/>
  <Override PartName="/xl/charts/chart3.xml" ContentType="application/vnd.openxmlformats-officedocument.drawingml.chart+xml"/>
  <Override PartName="/xl/embeddings/oleObject20.bin" ContentType="application/vnd.openxmlformats-officedocument.oleObject"/>
  <Override PartName="/xl/charts/chart59.xml" ContentType="application/vnd.openxmlformats-officedocument.drawingml.chart+xml"/>
  <Override PartName="/xl/activeX/activeX125.xml" ContentType="application/vnd.ms-office.activeX+xml"/>
  <Override PartName="/xl/activeX/activeX4.xml" ContentType="application/vnd.ms-office.activeX+xml"/>
  <Override PartName="/xl/activeX/activeX54.xml" ContentType="application/vnd.ms-office.activeX+xml"/>
  <Override PartName="/xl/drawings/drawing16.xml" ContentType="application/vnd.openxmlformats-officedocument.drawing+xml"/>
  <Override PartName="/xl/activeX/activeX32.xml" ContentType="application/vnd.ms-office.activeX+xml"/>
  <Override PartName="/xl/charts/chart37.xml" ContentType="application/vnd.openxmlformats-officedocument.drawingml.chart+xml"/>
  <Override PartName="/xl/activeX/activeX103.xml" ContentType="application/vnd.ms-office.activeX+xml"/>
  <Override PartName="/xl/drawings/drawing41.xml" ContentType="application/vnd.openxmlformats-officedocument.drawingml.chartshapes+xml"/>
  <Override PartName="/xl/charts/chart84.xml" ContentType="application/vnd.openxmlformats-officedocument.drawingml.chart+xml"/>
  <Override PartName="/xl/activeX/activeX69.bin" ContentType="application/vnd.ms-office.activeX"/>
  <Override PartName="/xl/embeddings/oleObject58.bin" ContentType="application/vnd.openxmlformats-officedocument.oleObject"/>
  <Override PartName="/xl/worksheets/sheet28.xml" ContentType="application/vnd.openxmlformats-officedocument.spreadsheetml.worksheet+xml"/>
  <Override PartName="/xl/activeX/activeX10.xml" ContentType="application/vnd.ms-office.activeX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activeX/activeX118.bin" ContentType="application/vnd.ms-office.activeX"/>
  <Override PartName="/xl/activeX/activeX47.bin" ContentType="application/vnd.ms-office.activeX"/>
  <Override PartName="/xl/activeX/activeX94.bin" ContentType="application/vnd.ms-office.activeX"/>
  <Override PartName="/xl/embeddings/oleObject36.bin" ContentType="application/vnd.openxmlformats-officedocument.oleObject"/>
  <Override PartName="/xl/charts/chart4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255" windowWidth="19320" windowHeight="12120" tabRatio="841"/>
  </bookViews>
  <sheets>
    <sheet name="Menu" sheetId="8" r:id="rId1"/>
    <sheet name="Hypothesis Testing" sheetId="56" r:id="rId2"/>
    <sheet name="SPC Decisions" sheetId="60" r:id="rId3"/>
    <sheet name="Kappa" sheetId="2" r:id="rId4"/>
    <sheet name="Group Kappa" sheetId="3" r:id="rId5"/>
    <sheet name="Discrimination Plot" sheetId="7" r:id="rId6"/>
    <sheet name="GR&amp;R Reproducibility" sheetId="4" r:id="rId7"/>
    <sheet name="GR&amp;R Equipment Bias" sheetId="5" r:id="rId8"/>
    <sheet name="Method Comparison" sheetId="6" r:id="rId9"/>
    <sheet name="Chi Square" sheetId="9" r:id="rId10"/>
    <sheet name="2 Sample Small dpu" sheetId="10" r:id="rId11"/>
    <sheet name="EXACT Binomial Limits" sheetId="11" r:id="rId12"/>
    <sheet name="Binomial Normal Approximation" sheetId="13" r:id="rId13"/>
    <sheet name="Poisson Exact" sheetId="14" r:id="rId14"/>
    <sheet name="Zsigma to PPM" sheetId="15" r:id="rId15"/>
    <sheet name="ppm-Ppk" sheetId="16" r:id="rId16"/>
    <sheet name="Sample Plan Generator" sheetId="17" r:id="rId17"/>
    <sheet name="p Sample Size" sheetId="18" r:id="rId18"/>
    <sheet name="dpu n FTY" sheetId="19" r:id="rId19"/>
    <sheet name="YIELD INDICES" sheetId="20" r:id="rId20"/>
    <sheet name="np=0" sheetId="21" r:id="rId21"/>
    <sheet name="Attributes n" sheetId="22" r:id="rId22"/>
    <sheet name="Truncated" sheetId="23" r:id="rId23"/>
    <sheet name="Attributes" sheetId="24" r:id="rId24"/>
    <sheet name="dpo &amp; Rolled Yield" sheetId="25" r:id="rId25"/>
    <sheet name="formulas" sheetId="26" r:id="rId26"/>
    <sheet name="Conf Int Proportions" sheetId="27" r:id="rId27"/>
    <sheet name="Multiple Parts" sheetId="28" r:id="rId28"/>
    <sheet name="2 Parts" sheetId="29" r:id="rId29"/>
    <sheet name="Factor Tables" sheetId="40" r:id="rId30"/>
    <sheet name="Pass-Fail, Count" sheetId="30" r:id="rId31"/>
    <sheet name="End Count Calculator" sheetId="31" r:id="rId32"/>
    <sheet name="2^3 DOE" sheetId="33" r:id="rId33"/>
    <sheet name="2^4 DOE" sheetId="34" r:id="rId34"/>
    <sheet name="Stability and Capability" sheetId="35" r:id="rId35"/>
    <sheet name="ANOM" sheetId="37" r:id="rId36"/>
    <sheet name="ANOM % Defective" sheetId="38" r:id="rId37"/>
    <sheet name="Regression" sheetId="39" r:id="rId38"/>
    <sheet name="Simple Hi vs Lo" sheetId="65" r:id="rId39"/>
    <sheet name="Large Hi vs Lo" sheetId="66" r:id="rId40"/>
    <sheet name="Bounded Test" sheetId="67" r:id="rId41"/>
    <sheet name="Random V2.0" sheetId="44" r:id="rId42"/>
    <sheet name="Realistic Tolerancing" sheetId="45" r:id="rId43"/>
    <sheet name="Tool Wear Targets" sheetId="68" r:id="rId44"/>
    <sheet name="True Position" sheetId="47" r:id="rId45"/>
    <sheet name="Sens and Spec" sheetId="48" r:id="rId46"/>
    <sheet name="McNemars Test" sheetId="64" r:id="rId47"/>
    <sheet name="2^2 DOE" sheetId="49" r:id="rId48"/>
    <sheet name="Component of Variation MSA" sheetId="50" r:id="rId49"/>
    <sheet name="p chart" sheetId="51" r:id="rId50"/>
    <sheet name="n=1" sheetId="52" r:id="rId51"/>
    <sheet name="n=2" sheetId="53" r:id="rId52"/>
    <sheet name="n=3" sheetId="54" r:id="rId53"/>
    <sheet name="n=5" sheetId="55" r:id="rId54"/>
    <sheet name="Sample Size-continuous" sheetId="57" r:id="rId55"/>
    <sheet name="Sample Size-categorical" sheetId="58" r:id="rId56"/>
    <sheet name="SD Sample Size" sheetId="61" r:id="rId57"/>
    <sheet name="Standard Deviations" sheetId="62" r:id="rId58"/>
    <sheet name="SeSp CI" sheetId="63" r:id="rId59"/>
  </sheets>
  <definedNames>
    <definedName name="avg" localSheetId="34">'Stability and Capability'!$L$16</definedName>
    <definedName name="avg">#REF!</definedName>
    <definedName name="cellwidth" localSheetId="34">'Stability and Capability'!$L$18</definedName>
    <definedName name="cellwidth">#REF!</definedName>
    <definedName name="cellwidth1" localSheetId="34">'Stability and Capability'!$L$25</definedName>
    <definedName name="cellwidth1">#REF!</definedName>
    <definedName name="cellwidthadjust" localSheetId="34">'Stability and Capability'!$L$26</definedName>
    <definedName name="cellwidthadjust">#REF!</definedName>
    <definedName name="cellwidthadjust2" localSheetId="34">'Stability and Capability'!$L$27</definedName>
    <definedName name="cellwidthadjust2">#REF!</definedName>
    <definedName name="datamax" localSheetId="34">'Stability and Capability'!$L$20</definedName>
    <definedName name="datamax">#REF!</definedName>
    <definedName name="datamin" localSheetId="34">'Stability and Capability'!$L$19</definedName>
    <definedName name="datamin">#REF!</definedName>
    <definedName name="datarange" localSheetId="34">'Stability and Capability'!#REF!</definedName>
    <definedName name="datarange">#REF!</definedName>
    <definedName name="graphmax" localSheetId="34">'Stability and Capability'!$L$23</definedName>
    <definedName name="graphmax">#REF!</definedName>
    <definedName name="graphmin" localSheetId="34">'Stability and Capability'!$L$22</definedName>
    <definedName name="graphmin">#REF!</definedName>
    <definedName name="LSL" localSheetId="34">'Stability and Capability'!$K$1</definedName>
    <definedName name="LSL">#REF!</definedName>
    <definedName name="N" localSheetId="40">'Bounded Test'!$J$52</definedName>
    <definedName name="N" localSheetId="39">'Large Hi vs Lo'!$J$31</definedName>
    <definedName name="n" localSheetId="34">'Stability and Capability'!$L$21</definedName>
    <definedName name="n">#REF!</definedName>
    <definedName name="_xlnm.Print_Area" localSheetId="28">'2 Parts'!$I$1:$Q$51</definedName>
    <definedName name="_xlnm.Print_Area" localSheetId="47">'2^2 DOE'!$A$1:$AF$49</definedName>
    <definedName name="_xlnm.Print_Area" localSheetId="32">'2^3 DOE'!$A$1:$BI$49</definedName>
    <definedName name="_xlnm.Print_Area" localSheetId="33">'2^4 DOE'!$A$1:$J$49,'2^4 DOE'!$L$1:$AD$49,'2^4 DOE'!$AQ$1:$CN$49</definedName>
    <definedName name="_xlnm.Print_Area" localSheetId="35">ANOM!$J$1:$R$41</definedName>
    <definedName name="_xlnm.Print_Area" localSheetId="36">'ANOM % Defective'!$J$1:$R$40</definedName>
    <definedName name="_xlnm.Print_Area" localSheetId="40">'Bounded Test'!$X$1:$AG$46</definedName>
    <definedName name="_xlnm.Print_Area" localSheetId="5">'Discrimination Plot'!$K$1:$S$54</definedName>
    <definedName name="_xlnm.Print_Area" localSheetId="7">'GR&amp;R Equipment Bias'!$A$1:$AB$48</definedName>
    <definedName name="_xlnm.Print_Area" localSheetId="6">'GR&amp;R Reproducibility'!$T$1:$BC$45,'GR&amp;R Reproducibility'!$A$1:$J$45</definedName>
    <definedName name="_xlnm.Print_Area" localSheetId="1">'Hypothesis Testing'!$A$1:$P$93</definedName>
    <definedName name="_xlnm.Print_Area" localSheetId="3">Kappa!$I$1:$P$51</definedName>
    <definedName name="_xlnm.Print_Area" localSheetId="39">'Large Hi vs Lo'!$X$1:$AG$46</definedName>
    <definedName name="_xlnm.Print_Area" localSheetId="0">Menu!$Q$55:$Q$147</definedName>
    <definedName name="_xlnm.Print_Area" localSheetId="8">'Method Comparison'!$K$1:$S$14</definedName>
    <definedName name="_xlnm.Print_Area" localSheetId="27">'Multiple Parts'!$U$1:$AC$49</definedName>
    <definedName name="_xlnm.Print_Area" localSheetId="50">'n=1'!$J$1:$Q$51</definedName>
    <definedName name="_xlnm.Print_Area" localSheetId="51">'n=2'!$L$1:$S$50</definedName>
    <definedName name="_xlnm.Print_Area" localSheetId="52">'n=3'!$P$1:$W$49</definedName>
    <definedName name="_xlnm.Print_Area" localSheetId="53">'n=5'!$S$1:$Z$49</definedName>
    <definedName name="_xlnm.Print_Area" localSheetId="49">'p chart'!$J$1:$Q$46</definedName>
    <definedName name="_xlnm.Print_Area" localSheetId="30">'Pass-Fail, Count'!$X$1:$AF$51</definedName>
    <definedName name="_xlnm.Print_Area" localSheetId="37">Regression!$J$1:$R$35</definedName>
    <definedName name="_xlnm.Print_Area" localSheetId="16">'Sample Plan Generator'!$E$1:$N$47</definedName>
    <definedName name="_xlnm.Print_Area" localSheetId="45">'Sens and Spec'!$B$4:$M$19</definedName>
    <definedName name="_xlnm.Print_Area" localSheetId="38">'Simple Hi vs Lo'!$Q$1:$Z$39</definedName>
    <definedName name="_xlnm.Print_Area" localSheetId="2">'SPC Decisions'!$A$1:$P$34</definedName>
    <definedName name="_xlnm.Print_Area" localSheetId="43">'Tool Wear Targets'!$K$2:$T$40</definedName>
    <definedName name="_xlnm.Print_Area" localSheetId="44">'True Position'!$I$1:$P$45</definedName>
    <definedName name="rawcell" localSheetId="34">'Stability and Capability'!$L$25</definedName>
    <definedName name="rawcell">#REF!</definedName>
    <definedName name="rawcellwidth" localSheetId="34">'Stability and Capability'!$L$25</definedName>
    <definedName name="rawcellwidth">#REF!</definedName>
    <definedName name="s" localSheetId="34">'Stability and Capability'!$L$14</definedName>
    <definedName name="s">#REF!</definedName>
    <definedName name="solver_adj" localSheetId="11" hidden="1">'EXACT Binomial Limits'!$L$10</definedName>
    <definedName name="solver_adj" localSheetId="57" hidden="1">'Standard Deviations'!$H$10</definedName>
    <definedName name="solver_cvg" localSheetId="11" hidden="1">0.0001</definedName>
    <definedName name="solver_cvg" localSheetId="57" hidden="1">0.0001</definedName>
    <definedName name="solver_drv" localSheetId="11" hidden="1">1</definedName>
    <definedName name="solver_drv" localSheetId="57" hidden="1">1</definedName>
    <definedName name="solver_est" localSheetId="11" hidden="1">1</definedName>
    <definedName name="solver_est" localSheetId="57" hidden="1">1</definedName>
    <definedName name="solver_itr" localSheetId="11" hidden="1">100</definedName>
    <definedName name="solver_itr" localSheetId="57" hidden="1">100</definedName>
    <definedName name="solver_lhs1" localSheetId="11" hidden="1">'EXACT Binomial Limits'!$L$10</definedName>
    <definedName name="solver_lhs1" localSheetId="57" hidden="1">'Standard Deviations'!$H$10</definedName>
    <definedName name="solver_lhs2" localSheetId="11" hidden="1">'EXACT Binomial Limits'!$L$10</definedName>
    <definedName name="solver_lhs2" localSheetId="57" hidden="1">'Standard Deviations'!$H$10</definedName>
    <definedName name="solver_lin" localSheetId="11" hidden="1">2</definedName>
    <definedName name="solver_lin" localSheetId="57" hidden="1">2</definedName>
    <definedName name="solver_neg" localSheetId="11" hidden="1">2</definedName>
    <definedName name="solver_neg" localSheetId="57" hidden="1">2</definedName>
    <definedName name="solver_num" localSheetId="11" hidden="1">0</definedName>
    <definedName name="solver_num" localSheetId="57" hidden="1">0</definedName>
    <definedName name="solver_nwt" localSheetId="11" hidden="1">1</definedName>
    <definedName name="solver_nwt" localSheetId="57" hidden="1">1</definedName>
    <definedName name="solver_opt" localSheetId="11" hidden="1">'EXACT Binomial Limits'!$M$10</definedName>
    <definedName name="solver_opt" localSheetId="57" hidden="1">'Standard Deviations'!$I$10</definedName>
    <definedName name="solver_pre" localSheetId="11" hidden="1">0.000001</definedName>
    <definedName name="solver_pre" localSheetId="57" hidden="1">0.000001</definedName>
    <definedName name="solver_rel1" localSheetId="11" hidden="1">3</definedName>
    <definedName name="solver_rel1" localSheetId="57" hidden="1">3</definedName>
    <definedName name="solver_rel2" localSheetId="11" hidden="1">3</definedName>
    <definedName name="solver_rel2" localSheetId="57" hidden="1">3</definedName>
    <definedName name="solver_rhs1" localSheetId="11" hidden="1">0</definedName>
    <definedName name="solver_rhs1" localSheetId="57" hidden="1">0</definedName>
    <definedName name="solver_rhs2" localSheetId="11" hidden="1">0</definedName>
    <definedName name="solver_rhs2" localSheetId="57" hidden="1">0</definedName>
    <definedName name="solver_scl" localSheetId="11" hidden="1">2</definedName>
    <definedName name="solver_scl" localSheetId="57" hidden="1">2</definedName>
    <definedName name="solver_sho" localSheetId="11" hidden="1">2</definedName>
    <definedName name="solver_sho" localSheetId="57" hidden="1">2</definedName>
    <definedName name="solver_tim" localSheetId="11" hidden="1">100</definedName>
    <definedName name="solver_tim" localSheetId="57" hidden="1">100</definedName>
    <definedName name="solver_tol" localSheetId="11" hidden="1">0.05</definedName>
    <definedName name="solver_tol" localSheetId="57" hidden="1">0.05</definedName>
    <definedName name="solver_typ" localSheetId="11" hidden="1">2</definedName>
    <definedName name="solver_typ" localSheetId="57" hidden="1">2</definedName>
    <definedName name="solver_val" localSheetId="11" hidden="1">0</definedName>
    <definedName name="solver_val" localSheetId="57" hidden="1">0</definedName>
    <definedName name="USL" localSheetId="34">'Stability and Capability'!$K$3</definedName>
    <definedName name="USL">#REF!</definedName>
  </definedNames>
  <calcPr calcId="125725"/>
</workbook>
</file>

<file path=xl/calcChain.xml><?xml version="1.0" encoding="utf-8"?>
<calcChain xmlns="http://schemas.openxmlformats.org/spreadsheetml/2006/main">
  <c r="K37" i="11"/>
  <c r="J37"/>
  <c r="I37"/>
  <c r="H37"/>
  <c r="G37"/>
  <c r="F37"/>
  <c r="K36"/>
  <c r="J36"/>
  <c r="I36"/>
  <c r="H36"/>
  <c r="G36"/>
  <c r="F36"/>
  <c r="K35"/>
  <c r="J35"/>
  <c r="I35"/>
  <c r="H35"/>
  <c r="G35"/>
  <c r="F35"/>
  <c r="K34"/>
  <c r="J34"/>
  <c r="I34"/>
  <c r="H34"/>
  <c r="G34"/>
  <c r="F34"/>
  <c r="K33"/>
  <c r="J33"/>
  <c r="I33"/>
  <c r="H33"/>
  <c r="G33"/>
  <c r="F33"/>
  <c r="K32"/>
  <c r="J32"/>
  <c r="I32"/>
  <c r="H32"/>
  <c r="G32"/>
  <c r="F32"/>
  <c r="K31"/>
  <c r="J31"/>
  <c r="I31"/>
  <c r="H31"/>
  <c r="G31"/>
  <c r="F31"/>
  <c r="K30"/>
  <c r="J30"/>
  <c r="I30"/>
  <c r="H30"/>
  <c r="G30"/>
  <c r="F30"/>
  <c r="K29"/>
  <c r="J29"/>
  <c r="I29"/>
  <c r="H29"/>
  <c r="G29"/>
  <c r="F29"/>
  <c r="K28"/>
  <c r="J28"/>
  <c r="I28"/>
  <c r="H28"/>
  <c r="G28"/>
  <c r="F28"/>
  <c r="K27"/>
  <c r="J27"/>
  <c r="I27"/>
  <c r="H27"/>
  <c r="G27"/>
  <c r="F27"/>
  <c r="K26"/>
  <c r="J26"/>
  <c r="I26"/>
  <c r="H26"/>
  <c r="G26"/>
  <c r="F26"/>
  <c r="K25"/>
  <c r="J25"/>
  <c r="I25"/>
  <c r="H25"/>
  <c r="G25"/>
  <c r="F25"/>
  <c r="K24"/>
  <c r="J24"/>
  <c r="I24"/>
  <c r="H24"/>
  <c r="G24"/>
  <c r="F24"/>
  <c r="K23"/>
  <c r="J23"/>
  <c r="I23"/>
  <c r="H23"/>
  <c r="G23"/>
  <c r="F23"/>
  <c r="K22"/>
  <c r="J22"/>
  <c r="I22"/>
  <c r="H22"/>
  <c r="G22"/>
  <c r="F22"/>
  <c r="K21"/>
  <c r="J21"/>
  <c r="I21"/>
  <c r="H21"/>
  <c r="G21"/>
  <c r="F21"/>
  <c r="K20"/>
  <c r="J20"/>
  <c r="I20"/>
  <c r="H20"/>
  <c r="G20"/>
  <c r="F20"/>
  <c r="K19"/>
  <c r="J19"/>
  <c r="I19"/>
  <c r="H19"/>
  <c r="G19"/>
  <c r="F19"/>
  <c r="K18"/>
  <c r="J18"/>
  <c r="I18"/>
  <c r="H18"/>
  <c r="G18"/>
  <c r="F18"/>
  <c r="K17"/>
  <c r="J17"/>
  <c r="I17"/>
  <c r="H17"/>
  <c r="G17"/>
  <c r="F17"/>
  <c r="K16"/>
  <c r="J16"/>
  <c r="I16"/>
  <c r="H16"/>
  <c r="G16"/>
  <c r="F16"/>
  <c r="K15"/>
  <c r="J15"/>
  <c r="I15"/>
  <c r="H15"/>
  <c r="G15"/>
  <c r="F15"/>
  <c r="K14"/>
  <c r="J14"/>
  <c r="I14"/>
  <c r="H14"/>
  <c r="G14"/>
  <c r="F14"/>
  <c r="K13"/>
  <c r="J13"/>
  <c r="I13"/>
  <c r="H13"/>
  <c r="G13"/>
  <c r="F13"/>
  <c r="K12"/>
  <c r="J12"/>
  <c r="I12"/>
  <c r="H12"/>
  <c r="G12"/>
  <c r="F12"/>
  <c r="K11"/>
  <c r="J11"/>
  <c r="I11"/>
  <c r="H11"/>
  <c r="G11"/>
  <c r="F11"/>
  <c r="K10"/>
  <c r="J10"/>
  <c r="I10"/>
  <c r="H10"/>
  <c r="G10"/>
  <c r="F10"/>
  <c r="D11" i="9"/>
  <c r="E11"/>
  <c r="F11"/>
  <c r="D12"/>
  <c r="E12"/>
  <c r="F12"/>
  <c r="H14" i="6"/>
  <c r="I14"/>
  <c r="N14"/>
  <c r="O14"/>
  <c r="T14"/>
  <c r="U14"/>
  <c r="H15"/>
  <c r="I15"/>
  <c r="N15"/>
  <c r="O15"/>
  <c r="T15"/>
  <c r="U15"/>
  <c r="H16"/>
  <c r="I16"/>
  <c r="N16"/>
  <c r="O16"/>
  <c r="T16"/>
  <c r="U16"/>
  <c r="H17"/>
  <c r="I17"/>
  <c r="N17"/>
  <c r="O17"/>
  <c r="T17"/>
  <c r="U17"/>
  <c r="H18"/>
  <c r="I18"/>
  <c r="N18"/>
  <c r="O18"/>
  <c r="T18"/>
  <c r="U18"/>
  <c r="H19"/>
  <c r="I19"/>
  <c r="N19"/>
  <c r="O19"/>
  <c r="T19"/>
  <c r="U19"/>
  <c r="H20"/>
  <c r="I20"/>
  <c r="N20"/>
  <c r="O20"/>
  <c r="T20"/>
  <c r="U20"/>
  <c r="H21"/>
  <c r="I21"/>
  <c r="N21"/>
  <c r="O21"/>
  <c r="T21"/>
  <c r="U21"/>
  <c r="H22"/>
  <c r="I22"/>
  <c r="N22"/>
  <c r="O22"/>
  <c r="T22"/>
  <c r="U22"/>
  <c r="H23"/>
  <c r="I23"/>
  <c r="N23"/>
  <c r="O23"/>
  <c r="T23"/>
  <c r="U23"/>
  <c r="H24"/>
  <c r="I24"/>
  <c r="N24"/>
  <c r="O24"/>
  <c r="T24"/>
  <c r="U24"/>
  <c r="H25"/>
  <c r="I25"/>
  <c r="N25"/>
  <c r="O25"/>
  <c r="T25"/>
  <c r="U25"/>
  <c r="H26"/>
  <c r="I26"/>
  <c r="N26"/>
  <c r="O26"/>
  <c r="T26"/>
  <c r="U26"/>
  <c r="H27"/>
  <c r="I27"/>
  <c r="N27"/>
  <c r="O27"/>
  <c r="T27"/>
  <c r="U27"/>
  <c r="H28"/>
  <c r="I28"/>
  <c r="N28"/>
  <c r="O28"/>
  <c r="T28"/>
  <c r="U28"/>
  <c r="H29"/>
  <c r="I29"/>
  <c r="N29"/>
  <c r="O29"/>
  <c r="T29"/>
  <c r="U29"/>
  <c r="H30"/>
  <c r="I30"/>
  <c r="N30"/>
  <c r="O30"/>
  <c r="T30"/>
  <c r="U30"/>
  <c r="H31"/>
  <c r="I31"/>
  <c r="N31"/>
  <c r="O31"/>
  <c r="T31"/>
  <c r="U31"/>
  <c r="H32"/>
  <c r="I32"/>
  <c r="N32"/>
  <c r="O32"/>
  <c r="T32"/>
  <c r="U32"/>
  <c r="H33"/>
  <c r="I33"/>
  <c r="N33"/>
  <c r="O33"/>
  <c r="T33"/>
  <c r="U33"/>
  <c r="H34"/>
  <c r="I34"/>
  <c r="N34"/>
  <c r="O34"/>
  <c r="T34"/>
  <c r="U34"/>
  <c r="H35"/>
  <c r="I35"/>
  <c r="N35"/>
  <c r="O35"/>
  <c r="T35"/>
  <c r="U35"/>
  <c r="H36"/>
  <c r="I36"/>
  <c r="N36"/>
  <c r="O36"/>
  <c r="T36"/>
  <c r="U36"/>
  <c r="H37"/>
  <c r="I37"/>
  <c r="N37"/>
  <c r="O37"/>
  <c r="T37"/>
  <c r="U37"/>
  <c r="H38"/>
  <c r="I38"/>
  <c r="N38"/>
  <c r="O38"/>
  <c r="T38"/>
  <c r="U38"/>
  <c r="H39"/>
  <c r="I39"/>
  <c r="N39"/>
  <c r="O39"/>
  <c r="T39"/>
  <c r="U39"/>
  <c r="H40"/>
  <c r="I40"/>
  <c r="N40"/>
  <c r="O40"/>
  <c r="T40"/>
  <c r="U40"/>
  <c r="H41"/>
  <c r="I41"/>
  <c r="N41"/>
  <c r="O41"/>
  <c r="T41"/>
  <c r="U41"/>
  <c r="G40" i="62"/>
  <c r="F40"/>
  <c r="G39"/>
  <c r="F39"/>
  <c r="G38"/>
  <c r="F38"/>
  <c r="G37"/>
  <c r="F37"/>
  <c r="G36"/>
  <c r="F36"/>
  <c r="G35"/>
  <c r="F35"/>
  <c r="G34"/>
  <c r="F34"/>
  <c r="G33"/>
  <c r="F33"/>
  <c r="G32"/>
  <c r="F32"/>
  <c r="G31"/>
  <c r="F31"/>
  <c r="G30"/>
  <c r="F30"/>
  <c r="G29"/>
  <c r="F29"/>
  <c r="G28"/>
  <c r="F28"/>
  <c r="G27"/>
  <c r="F27"/>
  <c r="G26"/>
  <c r="F26"/>
  <c r="G25"/>
  <c r="F25"/>
  <c r="G24"/>
  <c r="F24"/>
  <c r="G23"/>
  <c r="F23"/>
  <c r="G22"/>
  <c r="F22"/>
  <c r="G21"/>
  <c r="F21"/>
  <c r="G20"/>
  <c r="F20"/>
  <c r="F13"/>
  <c r="G13"/>
  <c r="F14"/>
  <c r="G14"/>
  <c r="F15"/>
  <c r="G15"/>
  <c r="F16"/>
  <c r="G16"/>
  <c r="F17"/>
  <c r="G17"/>
  <c r="F18"/>
  <c r="G18"/>
  <c r="F19"/>
  <c r="G19"/>
  <c r="F14" i="7"/>
  <c r="E14" s="1"/>
  <c r="G14"/>
  <c r="J14"/>
  <c r="F15"/>
  <c r="E15" s="1"/>
  <c r="G15"/>
  <c r="J15"/>
  <c r="F16"/>
  <c r="E16" s="1"/>
  <c r="G16"/>
  <c r="J16"/>
  <c r="F17"/>
  <c r="E17" s="1"/>
  <c r="G17"/>
  <c r="J17"/>
  <c r="F18"/>
  <c r="E18" s="1"/>
  <c r="G18"/>
  <c r="J18"/>
  <c r="F19"/>
  <c r="E19" s="1"/>
  <c r="G19"/>
  <c r="J19"/>
  <c r="F20"/>
  <c r="E20" s="1"/>
  <c r="G20"/>
  <c r="J20"/>
  <c r="F21"/>
  <c r="E21" s="1"/>
  <c r="G21"/>
  <c r="J21"/>
  <c r="F22"/>
  <c r="E22" s="1"/>
  <c r="G22"/>
  <c r="J22"/>
  <c r="F23"/>
  <c r="E23" s="1"/>
  <c r="G23"/>
  <c r="J23"/>
  <c r="F24"/>
  <c r="E24" s="1"/>
  <c r="G24"/>
  <c r="J24"/>
  <c r="F25"/>
  <c r="E25" s="1"/>
  <c r="G25"/>
  <c r="J25"/>
  <c r="F26"/>
  <c r="E26" s="1"/>
  <c r="G26"/>
  <c r="J26"/>
  <c r="F27"/>
  <c r="E27" s="1"/>
  <c r="G27"/>
  <c r="J27"/>
  <c r="F28"/>
  <c r="E28" s="1"/>
  <c r="G28"/>
  <c r="J28"/>
  <c r="F29"/>
  <c r="E29" s="1"/>
  <c r="G29"/>
  <c r="J29"/>
  <c r="F30"/>
  <c r="E30" s="1"/>
  <c r="G30"/>
  <c r="J30"/>
  <c r="F31"/>
  <c r="E31" s="1"/>
  <c r="G31"/>
  <c r="J31"/>
  <c r="G31" i="29"/>
  <c r="F31"/>
  <c r="E31"/>
  <c r="D31"/>
  <c r="N36"/>
  <c r="M36"/>
  <c r="N35"/>
  <c r="M35"/>
  <c r="N34"/>
  <c r="M34"/>
  <c r="N33"/>
  <c r="M33"/>
  <c r="N32"/>
  <c r="M32"/>
  <c r="N31"/>
  <c r="M31"/>
  <c r="M30"/>
  <c r="N30" s="1"/>
  <c r="M29"/>
  <c r="N29" s="1"/>
  <c r="M28"/>
  <c r="N28" s="1"/>
  <c r="H29"/>
  <c r="H30"/>
  <c r="B10"/>
  <c r="D13" i="9"/>
  <c r="E13"/>
  <c r="F13"/>
  <c r="Q32" i="50"/>
  <c r="P32"/>
  <c r="O32"/>
  <c r="M32"/>
  <c r="L32"/>
  <c r="K32"/>
  <c r="I32"/>
  <c r="H32"/>
  <c r="G32"/>
  <c r="W32" s="1"/>
  <c r="S34"/>
  <c r="W34" s="1"/>
  <c r="Q33"/>
  <c r="P33"/>
  <c r="O33"/>
  <c r="M33"/>
  <c r="L33"/>
  <c r="K33"/>
  <c r="W33" s="1"/>
  <c r="J41" i="52"/>
  <c r="I41"/>
  <c r="C41"/>
  <c r="J42"/>
  <c r="I42"/>
  <c r="C42"/>
  <c r="J43"/>
  <c r="I43"/>
  <c r="C43"/>
  <c r="J44"/>
  <c r="I44"/>
  <c r="C44"/>
  <c r="J45"/>
  <c r="I45"/>
  <c r="C45"/>
  <c r="D15" i="2"/>
  <c r="E15"/>
  <c r="F15"/>
  <c r="G15"/>
  <c r="D16"/>
  <c r="E16"/>
  <c r="F16"/>
  <c r="G16"/>
  <c r="D17"/>
  <c r="E17"/>
  <c r="F17"/>
  <c r="G17"/>
  <c r="D18"/>
  <c r="E18"/>
  <c r="F18"/>
  <c r="G18"/>
  <c r="D19"/>
  <c r="E19"/>
  <c r="F19"/>
  <c r="G19"/>
  <c r="D20"/>
  <c r="E20"/>
  <c r="F20"/>
  <c r="G20"/>
  <c r="D21"/>
  <c r="E21"/>
  <c r="F21"/>
  <c r="G21"/>
  <c r="D22"/>
  <c r="E22"/>
  <c r="F22"/>
  <c r="G22"/>
  <c r="D23"/>
  <c r="E23"/>
  <c r="F23"/>
  <c r="G23"/>
  <c r="D24"/>
  <c r="E24"/>
  <c r="F24"/>
  <c r="G24"/>
  <c r="D25"/>
  <c r="E25"/>
  <c r="F25"/>
  <c r="G25"/>
  <c r="D26"/>
  <c r="E26"/>
  <c r="F26"/>
  <c r="G26"/>
  <c r="D27"/>
  <c r="E27"/>
  <c r="F27"/>
  <c r="G27"/>
  <c r="D28"/>
  <c r="E28"/>
  <c r="F28"/>
  <c r="G28"/>
  <c r="D29"/>
  <c r="E29"/>
  <c r="F29"/>
  <c r="G29"/>
  <c r="D30"/>
  <c r="E30"/>
  <c r="F30"/>
  <c r="G30"/>
  <c r="D31"/>
  <c r="E31"/>
  <c r="F31"/>
  <c r="G31"/>
  <c r="D32"/>
  <c r="E32"/>
  <c r="F32"/>
  <c r="G32"/>
  <c r="D33"/>
  <c r="E33"/>
  <c r="F33"/>
  <c r="G33"/>
  <c r="D14" i="9"/>
  <c r="E14"/>
  <c r="F14"/>
  <c r="D15"/>
  <c r="E15"/>
  <c r="F15"/>
  <c r="A32" i="35"/>
  <c r="A22"/>
  <c r="A23"/>
  <c r="A24" s="1"/>
  <c r="A25" s="1"/>
  <c r="A26" s="1"/>
  <c r="A27" s="1"/>
  <c r="A28" s="1"/>
  <c r="A29" s="1"/>
  <c r="A30" s="1"/>
  <c r="A31" s="1"/>
  <c r="D11" i="38"/>
  <c r="D22" i="39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A32"/>
  <c r="A22"/>
  <c r="A23"/>
  <c r="A24" s="1"/>
  <c r="A25" s="1"/>
  <c r="A26" s="1"/>
  <c r="A27" s="1"/>
  <c r="A28" s="1"/>
  <c r="A29" s="1"/>
  <c r="A30" s="1"/>
  <c r="A31" s="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22" i="68"/>
  <c r="E22"/>
  <c r="F22"/>
  <c r="G22"/>
  <c r="H22"/>
  <c r="D23"/>
  <c r="E23"/>
  <c r="F23"/>
  <c r="G23"/>
  <c r="H23"/>
  <c r="D24"/>
  <c r="E24"/>
  <c r="F24"/>
  <c r="G24"/>
  <c r="H24"/>
  <c r="D25"/>
  <c r="E25"/>
  <c r="F25"/>
  <c r="G25"/>
  <c r="H25"/>
  <c r="D26"/>
  <c r="E26"/>
  <c r="F26"/>
  <c r="G26"/>
  <c r="H26"/>
  <c r="D27"/>
  <c r="E27"/>
  <c r="F27"/>
  <c r="G27"/>
  <c r="H27"/>
  <c r="D28"/>
  <c r="E28"/>
  <c r="F28"/>
  <c r="G28"/>
  <c r="H28"/>
  <c r="D29"/>
  <c r="E29"/>
  <c r="F29"/>
  <c r="G29"/>
  <c r="H29"/>
  <c r="D30"/>
  <c r="E30"/>
  <c r="F30"/>
  <c r="G30"/>
  <c r="H30"/>
  <c r="D31"/>
  <c r="E31"/>
  <c r="F31"/>
  <c r="G31"/>
  <c r="H31"/>
  <c r="D22" i="45"/>
  <c r="E22"/>
  <c r="F22"/>
  <c r="G22"/>
  <c r="H22"/>
  <c r="D23"/>
  <c r="E23"/>
  <c r="F23"/>
  <c r="G23"/>
  <c r="H23"/>
  <c r="D24"/>
  <c r="E24"/>
  <c r="F24"/>
  <c r="G24"/>
  <c r="H24"/>
  <c r="D25"/>
  <c r="E25"/>
  <c r="F25"/>
  <c r="G25"/>
  <c r="H25"/>
  <c r="D26"/>
  <c r="E26"/>
  <c r="F26"/>
  <c r="G26"/>
  <c r="H26"/>
  <c r="D27"/>
  <c r="E27"/>
  <c r="F27"/>
  <c r="G27"/>
  <c r="H27"/>
  <c r="D28"/>
  <c r="E28"/>
  <c r="F28"/>
  <c r="G28"/>
  <c r="H28"/>
  <c r="D29"/>
  <c r="E29"/>
  <c r="F29"/>
  <c r="G29"/>
  <c r="H29"/>
  <c r="D30"/>
  <c r="E30"/>
  <c r="F30"/>
  <c r="G30"/>
  <c r="H30"/>
  <c r="D31"/>
  <c r="E31"/>
  <c r="F31"/>
  <c r="G31"/>
  <c r="H31"/>
  <c r="D42" i="39"/>
  <c r="E42"/>
  <c r="D43"/>
  <c r="E43"/>
  <c r="D44"/>
  <c r="E44"/>
  <c r="D45"/>
  <c r="E45"/>
  <c r="D32" i="45"/>
  <c r="E32"/>
  <c r="F32"/>
  <c r="G32"/>
  <c r="H32"/>
  <c r="D33"/>
  <c r="E33"/>
  <c r="F33"/>
  <c r="G33"/>
  <c r="H33"/>
  <c r="D34"/>
  <c r="E34"/>
  <c r="F34"/>
  <c r="G34"/>
  <c r="H34"/>
  <c r="D35"/>
  <c r="E35"/>
  <c r="F35"/>
  <c r="G35"/>
  <c r="H35"/>
  <c r="D36"/>
  <c r="E36"/>
  <c r="F36"/>
  <c r="G36"/>
  <c r="H36"/>
  <c r="D37"/>
  <c r="E37"/>
  <c r="F37"/>
  <c r="G37"/>
  <c r="H37"/>
  <c r="D38"/>
  <c r="E38"/>
  <c r="F38"/>
  <c r="G38"/>
  <c r="H38"/>
  <c r="D39"/>
  <c r="E39"/>
  <c r="F39"/>
  <c r="G39"/>
  <c r="H39"/>
  <c r="D40"/>
  <c r="E40"/>
  <c r="F40"/>
  <c r="G40"/>
  <c r="H40"/>
  <c r="D41"/>
  <c r="E41"/>
  <c r="F41"/>
  <c r="G41"/>
  <c r="H41"/>
  <c r="D32" i="68"/>
  <c r="E32"/>
  <c r="F32"/>
  <c r="G32"/>
  <c r="H32"/>
  <c r="D33"/>
  <c r="E33"/>
  <c r="F33"/>
  <c r="G33"/>
  <c r="H33"/>
  <c r="D34"/>
  <c r="E34"/>
  <c r="F34"/>
  <c r="G34"/>
  <c r="H34"/>
  <c r="D35"/>
  <c r="E35"/>
  <c r="F35"/>
  <c r="G35"/>
  <c r="H35"/>
  <c r="D36"/>
  <c r="E36"/>
  <c r="F36"/>
  <c r="G36"/>
  <c r="H36"/>
  <c r="D37"/>
  <c r="E37"/>
  <c r="F37"/>
  <c r="G37"/>
  <c r="H37"/>
  <c r="D38"/>
  <c r="E38"/>
  <c r="F38"/>
  <c r="G38"/>
  <c r="H38"/>
  <c r="D39"/>
  <c r="E39"/>
  <c r="F39"/>
  <c r="G39"/>
  <c r="H39"/>
  <c r="D40"/>
  <c r="E40"/>
  <c r="F40"/>
  <c r="G40"/>
  <c r="H40"/>
  <c r="D41"/>
  <c r="E41"/>
  <c r="F41"/>
  <c r="G41"/>
  <c r="H41"/>
  <c r="D42" i="45"/>
  <c r="E42"/>
  <c r="F42"/>
  <c r="G42"/>
  <c r="H42"/>
  <c r="D43"/>
  <c r="E43"/>
  <c r="F43"/>
  <c r="G43"/>
  <c r="H43"/>
  <c r="D44"/>
  <c r="E44"/>
  <c r="F44"/>
  <c r="G44"/>
  <c r="H44"/>
  <c r="D45"/>
  <c r="E45"/>
  <c r="F45"/>
  <c r="G45"/>
  <c r="H45"/>
  <c r="D42" i="68"/>
  <c r="E42"/>
  <c r="F42"/>
  <c r="G42"/>
  <c r="H42"/>
  <c r="D43"/>
  <c r="E43"/>
  <c r="F43"/>
  <c r="G43"/>
  <c r="H43"/>
  <c r="D44"/>
  <c r="E44"/>
  <c r="F44"/>
  <c r="G44"/>
  <c r="H44"/>
  <c r="D45"/>
  <c r="E45"/>
  <c r="F45"/>
  <c r="G45"/>
  <c r="H45"/>
  <c r="D46"/>
  <c r="E46"/>
  <c r="F46"/>
  <c r="G46"/>
  <c r="H46"/>
  <c r="D47"/>
  <c r="E47"/>
  <c r="F47"/>
  <c r="G47"/>
  <c r="H47"/>
  <c r="D48"/>
  <c r="E48"/>
  <c r="F48"/>
  <c r="G48"/>
  <c r="H48"/>
  <c r="D49"/>
  <c r="E49"/>
  <c r="F49"/>
  <c r="G49"/>
  <c r="H49"/>
  <c r="D50"/>
  <c r="E50"/>
  <c r="F50"/>
  <c r="G50"/>
  <c r="H50"/>
  <c r="D51"/>
  <c r="E51"/>
  <c r="F51"/>
  <c r="G51"/>
  <c r="H51"/>
  <c r="D52"/>
  <c r="E52"/>
  <c r="F52"/>
  <c r="G52"/>
  <c r="H52"/>
  <c r="D53"/>
  <c r="E53"/>
  <c r="F53"/>
  <c r="G53"/>
  <c r="H53"/>
  <c r="D54"/>
  <c r="E54"/>
  <c r="F54"/>
  <c r="G54"/>
  <c r="H54"/>
  <c r="D55"/>
  <c r="E55"/>
  <c r="F55"/>
  <c r="G55"/>
  <c r="H55"/>
  <c r="D56"/>
  <c r="E56"/>
  <c r="F56"/>
  <c r="G56"/>
  <c r="H56"/>
  <c r="D57"/>
  <c r="E57"/>
  <c r="F57"/>
  <c r="G57"/>
  <c r="H57"/>
  <c r="D58"/>
  <c r="E58"/>
  <c r="F58"/>
  <c r="G58"/>
  <c r="H58"/>
  <c r="D59"/>
  <c r="E59"/>
  <c r="F59"/>
  <c r="G59"/>
  <c r="H59"/>
  <c r="D60"/>
  <c r="E60"/>
  <c r="F60"/>
  <c r="G60"/>
  <c r="H60"/>
  <c r="D61"/>
  <c r="E61"/>
  <c r="F61"/>
  <c r="G61"/>
  <c r="H61"/>
  <c r="H257"/>
  <c r="G257"/>
  <c r="F257"/>
  <c r="E257"/>
  <c r="D257"/>
  <c r="H256"/>
  <c r="G256"/>
  <c r="F256"/>
  <c r="E256"/>
  <c r="D256"/>
  <c r="H255"/>
  <c r="G255"/>
  <c r="F255"/>
  <c r="E255"/>
  <c r="D255"/>
  <c r="H254"/>
  <c r="G254"/>
  <c r="F254"/>
  <c r="E254"/>
  <c r="D254"/>
  <c r="H253"/>
  <c r="G253"/>
  <c r="F253"/>
  <c r="E253"/>
  <c r="D253"/>
  <c r="H252"/>
  <c r="G252"/>
  <c r="F252"/>
  <c r="E252"/>
  <c r="D252"/>
  <c r="H251"/>
  <c r="G251"/>
  <c r="F251"/>
  <c r="E251"/>
  <c r="D251"/>
  <c r="H250"/>
  <c r="G250"/>
  <c r="F250"/>
  <c r="E250"/>
  <c r="D250"/>
  <c r="H249"/>
  <c r="G249"/>
  <c r="F249"/>
  <c r="E249"/>
  <c r="D249"/>
  <c r="H248"/>
  <c r="G248"/>
  <c r="F248"/>
  <c r="E248"/>
  <c r="D248"/>
  <c r="H247"/>
  <c r="G247"/>
  <c r="F247"/>
  <c r="E247"/>
  <c r="D247"/>
  <c r="H246"/>
  <c r="G246"/>
  <c r="F246"/>
  <c r="E246"/>
  <c r="D246"/>
  <c r="H245"/>
  <c r="G245"/>
  <c r="F245"/>
  <c r="E245"/>
  <c r="D245"/>
  <c r="H244"/>
  <c r="G244"/>
  <c r="F244"/>
  <c r="E244"/>
  <c r="D244"/>
  <c r="H243"/>
  <c r="G243"/>
  <c r="F243"/>
  <c r="E243"/>
  <c r="D243"/>
  <c r="H242"/>
  <c r="G242"/>
  <c r="F242"/>
  <c r="E242"/>
  <c r="D242"/>
  <c r="H241"/>
  <c r="G241"/>
  <c r="F241"/>
  <c r="E241"/>
  <c r="D241"/>
  <c r="H240"/>
  <c r="G240"/>
  <c r="F240"/>
  <c r="E240"/>
  <c r="D240"/>
  <c r="H239"/>
  <c r="G239"/>
  <c r="F239"/>
  <c r="E239"/>
  <c r="D239"/>
  <c r="H238"/>
  <c r="G238"/>
  <c r="F238"/>
  <c r="E238"/>
  <c r="D238"/>
  <c r="H237"/>
  <c r="G237"/>
  <c r="F237"/>
  <c r="E237"/>
  <c r="D237"/>
  <c r="H236"/>
  <c r="G236"/>
  <c r="F236"/>
  <c r="E236"/>
  <c r="D236"/>
  <c r="H235"/>
  <c r="G235"/>
  <c r="F235"/>
  <c r="E235"/>
  <c r="D235"/>
  <c r="H234"/>
  <c r="G234"/>
  <c r="F234"/>
  <c r="E234"/>
  <c r="D234"/>
  <c r="H233"/>
  <c r="G233"/>
  <c r="F233"/>
  <c r="E233"/>
  <c r="D233"/>
  <c r="H232"/>
  <c r="G232"/>
  <c r="F232"/>
  <c r="E232"/>
  <c r="D232"/>
  <c r="H231"/>
  <c r="G231"/>
  <c r="F231"/>
  <c r="E231"/>
  <c r="D231"/>
  <c r="H230"/>
  <c r="G230"/>
  <c r="F230"/>
  <c r="E230"/>
  <c r="D230"/>
  <c r="H229"/>
  <c r="G229"/>
  <c r="F229"/>
  <c r="E229"/>
  <c r="D229"/>
  <c r="H228"/>
  <c r="G228"/>
  <c r="F228"/>
  <c r="E228"/>
  <c r="D228"/>
  <c r="H227"/>
  <c r="G227"/>
  <c r="F227"/>
  <c r="E227"/>
  <c r="D227"/>
  <c r="H226"/>
  <c r="G226"/>
  <c r="F226"/>
  <c r="E226"/>
  <c r="D226"/>
  <c r="H225"/>
  <c r="G225"/>
  <c r="F225"/>
  <c r="E225"/>
  <c r="D225"/>
  <c r="H224"/>
  <c r="G224"/>
  <c r="F224"/>
  <c r="E224"/>
  <c r="D224"/>
  <c r="H223"/>
  <c r="G223"/>
  <c r="F223"/>
  <c r="E223"/>
  <c r="D223"/>
  <c r="H222"/>
  <c r="G222"/>
  <c r="F222"/>
  <c r="E222"/>
  <c r="D222"/>
  <c r="H221"/>
  <c r="G221"/>
  <c r="F221"/>
  <c r="E221"/>
  <c r="D221"/>
  <c r="H220"/>
  <c r="G220"/>
  <c r="F220"/>
  <c r="E220"/>
  <c r="D220"/>
  <c r="H219"/>
  <c r="G219"/>
  <c r="F219"/>
  <c r="E219"/>
  <c r="D219"/>
  <c r="H218"/>
  <c r="G218"/>
  <c r="F218"/>
  <c r="E218"/>
  <c r="D218"/>
  <c r="H217"/>
  <c r="G217"/>
  <c r="F217"/>
  <c r="E217"/>
  <c r="D217"/>
  <c r="H216"/>
  <c r="G216"/>
  <c r="F216"/>
  <c r="E216"/>
  <c r="D216"/>
  <c r="H215"/>
  <c r="G215"/>
  <c r="F215"/>
  <c r="E215"/>
  <c r="D215"/>
  <c r="H214"/>
  <c r="G214"/>
  <c r="F214"/>
  <c r="E214"/>
  <c r="D214"/>
  <c r="H213"/>
  <c r="G213"/>
  <c r="F213"/>
  <c r="E213"/>
  <c r="D213"/>
  <c r="H212"/>
  <c r="G212"/>
  <c r="F212"/>
  <c r="E212"/>
  <c r="D212"/>
  <c r="H211"/>
  <c r="G211"/>
  <c r="F211"/>
  <c r="E211"/>
  <c r="D211"/>
  <c r="H210"/>
  <c r="G210"/>
  <c r="F210"/>
  <c r="E210"/>
  <c r="D210"/>
  <c r="H209"/>
  <c r="G209"/>
  <c r="F209"/>
  <c r="E209"/>
  <c r="D209"/>
  <c r="H208"/>
  <c r="G208"/>
  <c r="F208"/>
  <c r="E208"/>
  <c r="D208"/>
  <c r="H207"/>
  <c r="G207"/>
  <c r="F207"/>
  <c r="E207"/>
  <c r="D207"/>
  <c r="H206"/>
  <c r="G206"/>
  <c r="F206"/>
  <c r="E206"/>
  <c r="D206"/>
  <c r="H205"/>
  <c r="G205"/>
  <c r="F205"/>
  <c r="E205"/>
  <c r="D205"/>
  <c r="H204"/>
  <c r="G204"/>
  <c r="F204"/>
  <c r="E204"/>
  <c r="D204"/>
  <c r="H203"/>
  <c r="G203"/>
  <c r="F203"/>
  <c r="E203"/>
  <c r="D203"/>
  <c r="H202"/>
  <c r="G202"/>
  <c r="F202"/>
  <c r="E202"/>
  <c r="D202"/>
  <c r="H201"/>
  <c r="G201"/>
  <c r="F201"/>
  <c r="E201"/>
  <c r="D201"/>
  <c r="H200"/>
  <c r="G200"/>
  <c r="F200"/>
  <c r="E200"/>
  <c r="D200"/>
  <c r="H199"/>
  <c r="G199"/>
  <c r="F199"/>
  <c r="E199"/>
  <c r="D199"/>
  <c r="H198"/>
  <c r="G198"/>
  <c r="F198"/>
  <c r="E198"/>
  <c r="D198"/>
  <c r="H197"/>
  <c r="G197"/>
  <c r="F197"/>
  <c r="E197"/>
  <c r="D197"/>
  <c r="H196"/>
  <c r="G196"/>
  <c r="F196"/>
  <c r="E196"/>
  <c r="D196"/>
  <c r="H195"/>
  <c r="G195"/>
  <c r="F195"/>
  <c r="E195"/>
  <c r="D195"/>
  <c r="H194"/>
  <c r="G194"/>
  <c r="F194"/>
  <c r="E194"/>
  <c r="D194"/>
  <c r="H193"/>
  <c r="G193"/>
  <c r="F193"/>
  <c r="E193"/>
  <c r="D193"/>
  <c r="H192"/>
  <c r="G192"/>
  <c r="F192"/>
  <c r="E192"/>
  <c r="D192"/>
  <c r="H191"/>
  <c r="G191"/>
  <c r="F191"/>
  <c r="E191"/>
  <c r="D191"/>
  <c r="H190"/>
  <c r="G190"/>
  <c r="F190"/>
  <c r="E190"/>
  <c r="D190"/>
  <c r="H189"/>
  <c r="G189"/>
  <c r="F189"/>
  <c r="E189"/>
  <c r="D189"/>
  <c r="H188"/>
  <c r="G188"/>
  <c r="F188"/>
  <c r="E188"/>
  <c r="D188"/>
  <c r="H187"/>
  <c r="G187"/>
  <c r="F187"/>
  <c r="E187"/>
  <c r="D187"/>
  <c r="H186"/>
  <c r="G186"/>
  <c r="F186"/>
  <c r="E186"/>
  <c r="D186"/>
  <c r="H185"/>
  <c r="G185"/>
  <c r="F185"/>
  <c r="E185"/>
  <c r="D185"/>
  <c r="H184"/>
  <c r="G184"/>
  <c r="F184"/>
  <c r="E184"/>
  <c r="D184"/>
  <c r="H183"/>
  <c r="G183"/>
  <c r="F183"/>
  <c r="E183"/>
  <c r="D183"/>
  <c r="H182"/>
  <c r="G182"/>
  <c r="F182"/>
  <c r="E182"/>
  <c r="D182"/>
  <c r="H181"/>
  <c r="G181"/>
  <c r="F181"/>
  <c r="E181"/>
  <c r="D181"/>
  <c r="H180"/>
  <c r="G180"/>
  <c r="F180"/>
  <c r="E180"/>
  <c r="D180"/>
  <c r="H179"/>
  <c r="G179"/>
  <c r="F179"/>
  <c r="E179"/>
  <c r="D179"/>
  <c r="H178"/>
  <c r="G178"/>
  <c r="F178"/>
  <c r="E178"/>
  <c r="D178"/>
  <c r="H177"/>
  <c r="G177"/>
  <c r="F177"/>
  <c r="E177"/>
  <c r="D177"/>
  <c r="H176"/>
  <c r="G176"/>
  <c r="F176"/>
  <c r="E176"/>
  <c r="D176"/>
  <c r="H175"/>
  <c r="G175"/>
  <c r="F175"/>
  <c r="E175"/>
  <c r="D175"/>
  <c r="H174"/>
  <c r="G174"/>
  <c r="F174"/>
  <c r="E174"/>
  <c r="D174"/>
  <c r="H173"/>
  <c r="G173"/>
  <c r="F173"/>
  <c r="E173"/>
  <c r="D173"/>
  <c r="H172"/>
  <c r="G172"/>
  <c r="F172"/>
  <c r="E172"/>
  <c r="D172"/>
  <c r="H171"/>
  <c r="G171"/>
  <c r="F171"/>
  <c r="E171"/>
  <c r="D171"/>
  <c r="H170"/>
  <c r="G170"/>
  <c r="F170"/>
  <c r="E170"/>
  <c r="D170"/>
  <c r="H169"/>
  <c r="G169"/>
  <c r="F169"/>
  <c r="E169"/>
  <c r="D169"/>
  <c r="H168"/>
  <c r="G168"/>
  <c r="F168"/>
  <c r="E168"/>
  <c r="D168"/>
  <c r="H167"/>
  <c r="G167"/>
  <c r="F167"/>
  <c r="E167"/>
  <c r="D167"/>
  <c r="H166"/>
  <c r="G166"/>
  <c r="F166"/>
  <c r="E166"/>
  <c r="D166"/>
  <c r="H165"/>
  <c r="G165"/>
  <c r="F165"/>
  <c r="E165"/>
  <c r="D165"/>
  <c r="H164"/>
  <c r="G164"/>
  <c r="F164"/>
  <c r="E164"/>
  <c r="D164"/>
  <c r="H163"/>
  <c r="G163"/>
  <c r="F163"/>
  <c r="E163"/>
  <c r="D163"/>
  <c r="H162"/>
  <c r="G162"/>
  <c r="F162"/>
  <c r="E162"/>
  <c r="D162"/>
  <c r="H161"/>
  <c r="G161"/>
  <c r="F161"/>
  <c r="E161"/>
  <c r="D161"/>
  <c r="H160"/>
  <c r="G160"/>
  <c r="F160"/>
  <c r="E160"/>
  <c r="D160"/>
  <c r="H159"/>
  <c r="G159"/>
  <c r="F159"/>
  <c r="E159"/>
  <c r="D159"/>
  <c r="H158"/>
  <c r="G158"/>
  <c r="F158"/>
  <c r="E158"/>
  <c r="D158"/>
  <c r="H157"/>
  <c r="G157"/>
  <c r="F157"/>
  <c r="E157"/>
  <c r="D157"/>
  <c r="H156"/>
  <c r="G156"/>
  <c r="F156"/>
  <c r="E156"/>
  <c r="D156"/>
  <c r="H155"/>
  <c r="G155"/>
  <c r="F155"/>
  <c r="E155"/>
  <c r="D155"/>
  <c r="H154"/>
  <c r="G154"/>
  <c r="F154"/>
  <c r="E154"/>
  <c r="D154"/>
  <c r="H153"/>
  <c r="G153"/>
  <c r="F153"/>
  <c r="E153"/>
  <c r="D153"/>
  <c r="H152"/>
  <c r="G152"/>
  <c r="F152"/>
  <c r="E152"/>
  <c r="D152"/>
  <c r="H151"/>
  <c r="G151"/>
  <c r="F151"/>
  <c r="E151"/>
  <c r="D151"/>
  <c r="H150"/>
  <c r="G150"/>
  <c r="F150"/>
  <c r="E150"/>
  <c r="D150"/>
  <c r="H149"/>
  <c r="G149"/>
  <c r="F149"/>
  <c r="E149"/>
  <c r="D149"/>
  <c r="H148"/>
  <c r="G148"/>
  <c r="F148"/>
  <c r="E148"/>
  <c r="D148"/>
  <c r="H147"/>
  <c r="G147"/>
  <c r="F147"/>
  <c r="E147"/>
  <c r="D147"/>
  <c r="H146"/>
  <c r="G146"/>
  <c r="F146"/>
  <c r="E146"/>
  <c r="D146"/>
  <c r="H145"/>
  <c r="G145"/>
  <c r="F145"/>
  <c r="E145"/>
  <c r="D145"/>
  <c r="H144"/>
  <c r="G144"/>
  <c r="F144"/>
  <c r="E144"/>
  <c r="D144"/>
  <c r="H143"/>
  <c r="G143"/>
  <c r="F143"/>
  <c r="E143"/>
  <c r="D143"/>
  <c r="H142"/>
  <c r="G142"/>
  <c r="F142"/>
  <c r="E142"/>
  <c r="D142"/>
  <c r="H141"/>
  <c r="G141"/>
  <c r="F141"/>
  <c r="E141"/>
  <c r="D141"/>
  <c r="H140"/>
  <c r="G140"/>
  <c r="F140"/>
  <c r="E140"/>
  <c r="D140"/>
  <c r="H139"/>
  <c r="G139"/>
  <c r="F139"/>
  <c r="E139"/>
  <c r="D139"/>
  <c r="H138"/>
  <c r="G138"/>
  <c r="F138"/>
  <c r="E138"/>
  <c r="D138"/>
  <c r="H137"/>
  <c r="G137"/>
  <c r="F137"/>
  <c r="E137"/>
  <c r="D137"/>
  <c r="H136"/>
  <c r="G136"/>
  <c r="F136"/>
  <c r="E136"/>
  <c r="D136"/>
  <c r="H135"/>
  <c r="G135"/>
  <c r="F135"/>
  <c r="E135"/>
  <c r="D135"/>
  <c r="H134"/>
  <c r="G134"/>
  <c r="F134"/>
  <c r="E134"/>
  <c r="D134"/>
  <c r="H133"/>
  <c r="G133"/>
  <c r="F133"/>
  <c r="E133"/>
  <c r="D133"/>
  <c r="H132"/>
  <c r="G132"/>
  <c r="F132"/>
  <c r="E132"/>
  <c r="D132"/>
  <c r="H131"/>
  <c r="G131"/>
  <c r="F131"/>
  <c r="E131"/>
  <c r="D131"/>
  <c r="H130"/>
  <c r="G130"/>
  <c r="F130"/>
  <c r="E130"/>
  <c r="D130"/>
  <c r="H129"/>
  <c r="G129"/>
  <c r="F129"/>
  <c r="E129"/>
  <c r="D129"/>
  <c r="H128"/>
  <c r="G128"/>
  <c r="F128"/>
  <c r="E128"/>
  <c r="D128"/>
  <c r="H127"/>
  <c r="G127"/>
  <c r="F127"/>
  <c r="E127"/>
  <c r="D127"/>
  <c r="H126"/>
  <c r="G126"/>
  <c r="F126"/>
  <c r="E126"/>
  <c r="D126"/>
  <c r="H125"/>
  <c r="G125"/>
  <c r="F125"/>
  <c r="E125"/>
  <c r="D125"/>
  <c r="H124"/>
  <c r="G124"/>
  <c r="F124"/>
  <c r="E124"/>
  <c r="D124"/>
  <c r="H123"/>
  <c r="G123"/>
  <c r="F123"/>
  <c r="E123"/>
  <c r="D123"/>
  <c r="H122"/>
  <c r="G122"/>
  <c r="F122"/>
  <c r="E122"/>
  <c r="D122"/>
  <c r="H121"/>
  <c r="G121"/>
  <c r="F121"/>
  <c r="E121"/>
  <c r="D121"/>
  <c r="H120"/>
  <c r="G120"/>
  <c r="F120"/>
  <c r="E120"/>
  <c r="D120"/>
  <c r="H119"/>
  <c r="G119"/>
  <c r="F119"/>
  <c r="E119"/>
  <c r="D119"/>
  <c r="H118"/>
  <c r="G118"/>
  <c r="F118"/>
  <c r="E118"/>
  <c r="D118"/>
  <c r="H117"/>
  <c r="G117"/>
  <c r="F117"/>
  <c r="E117"/>
  <c r="D117"/>
  <c r="H116"/>
  <c r="G116"/>
  <c r="F116"/>
  <c r="E116"/>
  <c r="D116"/>
  <c r="H115"/>
  <c r="G115"/>
  <c r="F115"/>
  <c r="E115"/>
  <c r="D115"/>
  <c r="H114"/>
  <c r="G114"/>
  <c r="F114"/>
  <c r="E114"/>
  <c r="D114"/>
  <c r="H113"/>
  <c r="G113"/>
  <c r="F113"/>
  <c r="E113"/>
  <c r="D113"/>
  <c r="H112"/>
  <c r="G112"/>
  <c r="F112"/>
  <c r="E112"/>
  <c r="D112"/>
  <c r="H111"/>
  <c r="G111"/>
  <c r="F111"/>
  <c r="E111"/>
  <c r="D111"/>
  <c r="H110"/>
  <c r="G110"/>
  <c r="F110"/>
  <c r="E110"/>
  <c r="D110"/>
  <c r="H109"/>
  <c r="G109"/>
  <c r="F109"/>
  <c r="E109"/>
  <c r="D109"/>
  <c r="H108"/>
  <c r="G108"/>
  <c r="F108"/>
  <c r="E108"/>
  <c r="D108"/>
  <c r="H107"/>
  <c r="G107"/>
  <c r="F107"/>
  <c r="E107"/>
  <c r="D107"/>
  <c r="H106"/>
  <c r="G106"/>
  <c r="F106"/>
  <c r="E106"/>
  <c r="D106"/>
  <c r="H105"/>
  <c r="G105"/>
  <c r="F105"/>
  <c r="E105"/>
  <c r="D105"/>
  <c r="H104"/>
  <c r="G104"/>
  <c r="F104"/>
  <c r="E104"/>
  <c r="D104"/>
  <c r="H103"/>
  <c r="G103"/>
  <c r="F103"/>
  <c r="E103"/>
  <c r="D103"/>
  <c r="H102"/>
  <c r="G102"/>
  <c r="F102"/>
  <c r="E102"/>
  <c r="D102"/>
  <c r="H101"/>
  <c r="G101"/>
  <c r="F101"/>
  <c r="E101"/>
  <c r="D101"/>
  <c r="H100"/>
  <c r="G100"/>
  <c r="F100"/>
  <c r="E100"/>
  <c r="D100"/>
  <c r="H99"/>
  <c r="G99"/>
  <c r="F99"/>
  <c r="E99"/>
  <c r="D99"/>
  <c r="H98"/>
  <c r="G98"/>
  <c r="F98"/>
  <c r="E98"/>
  <c r="D98"/>
  <c r="H97"/>
  <c r="G97"/>
  <c r="F97"/>
  <c r="E97"/>
  <c r="D97"/>
  <c r="H96"/>
  <c r="G96"/>
  <c r="F96"/>
  <c r="E96"/>
  <c r="D96"/>
  <c r="H95"/>
  <c r="G95"/>
  <c r="F95"/>
  <c r="E95"/>
  <c r="D95"/>
  <c r="H94"/>
  <c r="G94"/>
  <c r="F94"/>
  <c r="E94"/>
  <c r="D94"/>
  <c r="H93"/>
  <c r="G93"/>
  <c r="F93"/>
  <c r="E93"/>
  <c r="D93"/>
  <c r="H92"/>
  <c r="G92"/>
  <c r="F92"/>
  <c r="E92"/>
  <c r="D92"/>
  <c r="H91"/>
  <c r="G91"/>
  <c r="F91"/>
  <c r="E91"/>
  <c r="D91"/>
  <c r="H90"/>
  <c r="G90"/>
  <c r="F90"/>
  <c r="E90"/>
  <c r="D90"/>
  <c r="H89"/>
  <c r="G89"/>
  <c r="F89"/>
  <c r="E89"/>
  <c r="D89"/>
  <c r="H88"/>
  <c r="G88"/>
  <c r="F88"/>
  <c r="E88"/>
  <c r="D88"/>
  <c r="H87"/>
  <c r="G87"/>
  <c r="F87"/>
  <c r="E87"/>
  <c r="D87"/>
  <c r="H86"/>
  <c r="G86"/>
  <c r="F86"/>
  <c r="E86"/>
  <c r="D86"/>
  <c r="H85"/>
  <c r="G85"/>
  <c r="F85"/>
  <c r="E85"/>
  <c r="D85"/>
  <c r="H84"/>
  <c r="G84"/>
  <c r="F84"/>
  <c r="E84"/>
  <c r="D84"/>
  <c r="H83"/>
  <c r="G83"/>
  <c r="F83"/>
  <c r="E83"/>
  <c r="D83"/>
  <c r="H82"/>
  <c r="G82"/>
  <c r="F82"/>
  <c r="E82"/>
  <c r="D82"/>
  <c r="H81"/>
  <c r="G81"/>
  <c r="F81"/>
  <c r="E81"/>
  <c r="D81"/>
  <c r="H80"/>
  <c r="G80"/>
  <c r="F80"/>
  <c r="E80"/>
  <c r="D80"/>
  <c r="H79"/>
  <c r="G79"/>
  <c r="F79"/>
  <c r="E79"/>
  <c r="D79"/>
  <c r="R38"/>
  <c r="F11" s="1"/>
  <c r="H78"/>
  <c r="G78"/>
  <c r="F78"/>
  <c r="E78"/>
  <c r="D78"/>
  <c r="R37"/>
  <c r="H77"/>
  <c r="G77"/>
  <c r="F77"/>
  <c r="E77"/>
  <c r="D77"/>
  <c r="R36"/>
  <c r="R31" s="1"/>
  <c r="J5" s="1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J58" s="1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J113" s="1"/>
  <c r="J114" s="1"/>
  <c r="J115" s="1"/>
  <c r="J116" s="1"/>
  <c r="J117" s="1"/>
  <c r="J118" s="1"/>
  <c r="J119" s="1"/>
  <c r="J120" s="1"/>
  <c r="J121" s="1"/>
  <c r="J122" s="1"/>
  <c r="J123" s="1"/>
  <c r="J124" s="1"/>
  <c r="J125" s="1"/>
  <c r="J126" s="1"/>
  <c r="J127" s="1"/>
  <c r="J128" s="1"/>
  <c r="J129" s="1"/>
  <c r="J130" s="1"/>
  <c r="J131" s="1"/>
  <c r="J132" s="1"/>
  <c r="J133" s="1"/>
  <c r="J134" s="1"/>
  <c r="J135" s="1"/>
  <c r="J136" s="1"/>
  <c r="J137" s="1"/>
  <c r="J138" s="1"/>
  <c r="J139" s="1"/>
  <c r="J140" s="1"/>
  <c r="J141" s="1"/>
  <c r="J142" s="1"/>
  <c r="J143" s="1"/>
  <c r="J144" s="1"/>
  <c r="J145" s="1"/>
  <c r="J146" s="1"/>
  <c r="J147" s="1"/>
  <c r="J148" s="1"/>
  <c r="J149" s="1"/>
  <c r="J150" s="1"/>
  <c r="J151" s="1"/>
  <c r="J152" s="1"/>
  <c r="J153" s="1"/>
  <c r="J154" s="1"/>
  <c r="J155" s="1"/>
  <c r="J156" s="1"/>
  <c r="J157" s="1"/>
  <c r="J158" s="1"/>
  <c r="J159" s="1"/>
  <c r="J160" s="1"/>
  <c r="J161" s="1"/>
  <c r="J162" s="1"/>
  <c r="J163" s="1"/>
  <c r="J164" s="1"/>
  <c r="J165" s="1"/>
  <c r="J166" s="1"/>
  <c r="J167" s="1"/>
  <c r="J168" s="1"/>
  <c r="J169" s="1"/>
  <c r="J170" s="1"/>
  <c r="J171" s="1"/>
  <c r="J172" s="1"/>
  <c r="J173" s="1"/>
  <c r="J174" s="1"/>
  <c r="J175" s="1"/>
  <c r="J176" s="1"/>
  <c r="J177" s="1"/>
  <c r="J178" s="1"/>
  <c r="J179" s="1"/>
  <c r="J180" s="1"/>
  <c r="J181" s="1"/>
  <c r="J182" s="1"/>
  <c r="J183" s="1"/>
  <c r="J184" s="1"/>
  <c r="J185" s="1"/>
  <c r="J186" s="1"/>
  <c r="J187" s="1"/>
  <c r="J188" s="1"/>
  <c r="J189" s="1"/>
  <c r="J190" s="1"/>
  <c r="J191" s="1"/>
  <c r="J192" s="1"/>
  <c r="J193" s="1"/>
  <c r="J194" s="1"/>
  <c r="J195" s="1"/>
  <c r="J196" s="1"/>
  <c r="J197" s="1"/>
  <c r="J198" s="1"/>
  <c r="J199" s="1"/>
  <c r="J200" s="1"/>
  <c r="J201" s="1"/>
  <c r="J202" s="1"/>
  <c r="J203" s="1"/>
  <c r="J204" s="1"/>
  <c r="J205" s="1"/>
  <c r="J206" s="1"/>
  <c r="J207" s="1"/>
  <c r="J208" s="1"/>
  <c r="J209" s="1"/>
  <c r="J210" s="1"/>
  <c r="J211" s="1"/>
  <c r="J212" s="1"/>
  <c r="J213" s="1"/>
  <c r="J214" s="1"/>
  <c r="J215" s="1"/>
  <c r="J216" s="1"/>
  <c r="J217" s="1"/>
  <c r="J218" s="1"/>
  <c r="J219" s="1"/>
  <c r="J220" s="1"/>
  <c r="J221" s="1"/>
  <c r="J222" s="1"/>
  <c r="J223" s="1"/>
  <c r="J224" s="1"/>
  <c r="J225" s="1"/>
  <c r="J226" s="1"/>
  <c r="J227" s="1"/>
  <c r="J228" s="1"/>
  <c r="J229" s="1"/>
  <c r="J230" s="1"/>
  <c r="J231" s="1"/>
  <c r="J232" s="1"/>
  <c r="J233" s="1"/>
  <c r="J234" s="1"/>
  <c r="J235" s="1"/>
  <c r="J236" s="1"/>
  <c r="J237" s="1"/>
  <c r="J238" s="1"/>
  <c r="J239" s="1"/>
  <c r="J240" s="1"/>
  <c r="J241" s="1"/>
  <c r="J242" s="1"/>
  <c r="J243" s="1"/>
  <c r="J244" s="1"/>
  <c r="J245" s="1"/>
  <c r="J246" s="1"/>
  <c r="J247" s="1"/>
  <c r="J248" s="1"/>
  <c r="J249" s="1"/>
  <c r="J250" s="1"/>
  <c r="J251" s="1"/>
  <c r="J252" s="1"/>
  <c r="J253" s="1"/>
  <c r="J254" s="1"/>
  <c r="J255" s="1"/>
  <c r="J256" s="1"/>
  <c r="H76"/>
  <c r="G76"/>
  <c r="F76"/>
  <c r="E76"/>
  <c r="D76"/>
  <c r="R35"/>
  <c r="H75"/>
  <c r="G75"/>
  <c r="F75"/>
  <c r="E75"/>
  <c r="D75"/>
  <c r="H74"/>
  <c r="G74"/>
  <c r="F74"/>
  <c r="E74"/>
  <c r="D74"/>
  <c r="H73"/>
  <c r="G73"/>
  <c r="F73"/>
  <c r="E73"/>
  <c r="D73"/>
  <c r="H72"/>
  <c r="G72"/>
  <c r="F72"/>
  <c r="E72"/>
  <c r="D72"/>
  <c r="H71"/>
  <c r="G71"/>
  <c r="F71"/>
  <c r="E71"/>
  <c r="D71"/>
  <c r="O30"/>
  <c r="R29" s="1"/>
  <c r="N30"/>
  <c r="H70"/>
  <c r="G70"/>
  <c r="F70"/>
  <c r="E70"/>
  <c r="D70"/>
  <c r="O29"/>
  <c r="N29"/>
  <c r="H69"/>
  <c r="G69"/>
  <c r="F69"/>
  <c r="E69"/>
  <c r="D69"/>
  <c r="H68"/>
  <c r="G68"/>
  <c r="F68"/>
  <c r="E68"/>
  <c r="D68"/>
  <c r="H67"/>
  <c r="G67"/>
  <c r="F67"/>
  <c r="E67"/>
  <c r="D67"/>
  <c r="H66"/>
  <c r="G66"/>
  <c r="F66"/>
  <c r="E66"/>
  <c r="D66"/>
  <c r="H65"/>
  <c r="G65"/>
  <c r="F65"/>
  <c r="E65"/>
  <c r="D65"/>
  <c r="H64"/>
  <c r="G64"/>
  <c r="F64"/>
  <c r="E64"/>
  <c r="D64"/>
  <c r="H63"/>
  <c r="G63"/>
  <c r="F63"/>
  <c r="E63"/>
  <c r="D63"/>
  <c r="H62"/>
  <c r="G62"/>
  <c r="F62"/>
  <c r="E62"/>
  <c r="D62"/>
  <c r="H21"/>
  <c r="G21"/>
  <c r="F21"/>
  <c r="E21"/>
  <c r="D21"/>
  <c r="H20"/>
  <c r="G20"/>
  <c r="F20"/>
  <c r="E20"/>
  <c r="D20"/>
  <c r="H19"/>
  <c r="G19"/>
  <c r="F19"/>
  <c r="E19"/>
  <c r="D19"/>
  <c r="H18"/>
  <c r="G18"/>
  <c r="F18"/>
  <c r="E18"/>
  <c r="D18"/>
  <c r="H17"/>
  <c r="G17"/>
  <c r="F17"/>
  <c r="E17"/>
  <c r="D17"/>
  <c r="H16"/>
  <c r="G16"/>
  <c r="F16"/>
  <c r="E16"/>
  <c r="D16"/>
  <c r="H15"/>
  <c r="G15"/>
  <c r="F15"/>
  <c r="E15"/>
  <c r="D15"/>
  <c r="H14"/>
  <c r="G14"/>
  <c r="F14"/>
  <c r="E14"/>
  <c r="D14"/>
  <c r="H13"/>
  <c r="G13"/>
  <c r="F13"/>
  <c r="E13"/>
  <c r="D13"/>
  <c r="H12"/>
  <c r="G12"/>
  <c r="F12"/>
  <c r="E12"/>
  <c r="D12"/>
  <c r="H11"/>
  <c r="G11"/>
  <c r="E11"/>
  <c r="H10"/>
  <c r="G10"/>
  <c r="F10"/>
  <c r="E10"/>
  <c r="D10"/>
  <c r="H9"/>
  <c r="G9"/>
  <c r="F9"/>
  <c r="E9"/>
  <c r="D9"/>
  <c r="H8"/>
  <c r="G8"/>
  <c r="F8"/>
  <c r="E8"/>
  <c r="D8"/>
  <c r="H7"/>
  <c r="G7"/>
  <c r="F7"/>
  <c r="E7"/>
  <c r="D7"/>
  <c r="A7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H6"/>
  <c r="G6"/>
  <c r="F6"/>
  <c r="E6"/>
  <c r="D6"/>
  <c r="F5"/>
  <c r="E5"/>
  <c r="D5"/>
  <c r="C1"/>
  <c r="D136" i="67"/>
  <c r="A136"/>
  <c r="D135"/>
  <c r="A135"/>
  <c r="D134"/>
  <c r="A134"/>
  <c r="D133"/>
  <c r="A133"/>
  <c r="D132"/>
  <c r="A132"/>
  <c r="D131"/>
  <c r="A131"/>
  <c r="D130"/>
  <c r="A130"/>
  <c r="D129"/>
  <c r="A129"/>
  <c r="D128"/>
  <c r="A128"/>
  <c r="D127"/>
  <c r="A127"/>
  <c r="D126"/>
  <c r="A126"/>
  <c r="D125"/>
  <c r="A125"/>
  <c r="D124"/>
  <c r="A124"/>
  <c r="D123"/>
  <c r="A123"/>
  <c r="D122"/>
  <c r="A122"/>
  <c r="D121"/>
  <c r="A121"/>
  <c r="D120"/>
  <c r="A120"/>
  <c r="D119"/>
  <c r="A119"/>
  <c r="D118"/>
  <c r="A118"/>
  <c r="D117"/>
  <c r="A117"/>
  <c r="D116"/>
  <c r="A116"/>
  <c r="D115"/>
  <c r="A115"/>
  <c r="D114"/>
  <c r="A114"/>
  <c r="D113"/>
  <c r="A113"/>
  <c r="D112"/>
  <c r="A112"/>
  <c r="D111"/>
  <c r="A111"/>
  <c r="D110"/>
  <c r="A110"/>
  <c r="D109"/>
  <c r="A109"/>
  <c r="D108"/>
  <c r="A108"/>
  <c r="D107"/>
  <c r="A107"/>
  <c r="D106"/>
  <c r="A106"/>
  <c r="D105"/>
  <c r="A105"/>
  <c r="D104"/>
  <c r="A104"/>
  <c r="D103"/>
  <c r="A103"/>
  <c r="D102"/>
  <c r="A102"/>
  <c r="D101"/>
  <c r="A101"/>
  <c r="D100"/>
  <c r="A100"/>
  <c r="D99"/>
  <c r="A99"/>
  <c r="D98"/>
  <c r="A98"/>
  <c r="D97"/>
  <c r="A97"/>
  <c r="G94"/>
  <c r="G93"/>
  <c r="C93"/>
  <c r="D93" s="1"/>
  <c r="G92"/>
  <c r="G91"/>
  <c r="G90"/>
  <c r="G89"/>
  <c r="G88"/>
  <c r="G87"/>
  <c r="G86"/>
  <c r="G85"/>
  <c r="G84"/>
  <c r="G83"/>
  <c r="C83"/>
  <c r="D83" s="1"/>
  <c r="G82"/>
  <c r="G81"/>
  <c r="G80"/>
  <c r="G79"/>
  <c r="G78"/>
  <c r="G77"/>
  <c r="G76"/>
  <c r="G75"/>
  <c r="G74"/>
  <c r="G73"/>
  <c r="C73"/>
  <c r="D73" s="1"/>
  <c r="G72"/>
  <c r="C72"/>
  <c r="D72" s="1"/>
  <c r="G71"/>
  <c r="C71"/>
  <c r="D71" s="1"/>
  <c r="G70"/>
  <c r="C70"/>
  <c r="D70" s="1"/>
  <c r="G69"/>
  <c r="C69"/>
  <c r="D69" s="1"/>
  <c r="G68"/>
  <c r="C68"/>
  <c r="D68" s="1"/>
  <c r="G67"/>
  <c r="C67"/>
  <c r="D67" s="1"/>
  <c r="G66"/>
  <c r="C66"/>
  <c r="D66" s="1"/>
  <c r="G65"/>
  <c r="C65"/>
  <c r="D65" s="1"/>
  <c r="G64"/>
  <c r="C64"/>
  <c r="D64" s="1"/>
  <c r="G63"/>
  <c r="C63"/>
  <c r="D63" s="1"/>
  <c r="G62"/>
  <c r="C62"/>
  <c r="D62" s="1"/>
  <c r="G61"/>
  <c r="C61"/>
  <c r="D61" s="1"/>
  <c r="G60"/>
  <c r="C60"/>
  <c r="D60" s="1"/>
  <c r="G59"/>
  <c r="C59"/>
  <c r="D59" s="1"/>
  <c r="G58"/>
  <c r="C58"/>
  <c r="D58" s="1"/>
  <c r="G57"/>
  <c r="G56"/>
  <c r="I55"/>
  <c r="G55"/>
  <c r="H55" s="1"/>
  <c r="H56" s="1"/>
  <c r="D53"/>
  <c r="J52"/>
  <c r="U49"/>
  <c r="T49"/>
  <c r="U48"/>
  <c r="T48"/>
  <c r="U47"/>
  <c r="T47"/>
  <c r="U46"/>
  <c r="T46"/>
  <c r="U45"/>
  <c r="T45"/>
  <c r="U44"/>
  <c r="T44"/>
  <c r="U43"/>
  <c r="T43"/>
  <c r="U42"/>
  <c r="T42"/>
  <c r="U41"/>
  <c r="T41"/>
  <c r="U40"/>
  <c r="T40"/>
  <c r="U39"/>
  <c r="T39"/>
  <c r="U38"/>
  <c r="T38"/>
  <c r="U37"/>
  <c r="T37"/>
  <c r="U36"/>
  <c r="T36"/>
  <c r="U35"/>
  <c r="T35"/>
  <c r="U34"/>
  <c r="T34"/>
  <c r="U33"/>
  <c r="T33"/>
  <c r="U32"/>
  <c r="T32"/>
  <c r="U31"/>
  <c r="T31"/>
  <c r="U30"/>
  <c r="T30"/>
  <c r="U29"/>
  <c r="T29"/>
  <c r="U28"/>
  <c r="T28"/>
  <c r="U27"/>
  <c r="T27"/>
  <c r="U26"/>
  <c r="T26"/>
  <c r="U25"/>
  <c r="T25"/>
  <c r="U24"/>
  <c r="T24"/>
  <c r="U23"/>
  <c r="T23"/>
  <c r="U22"/>
  <c r="T22"/>
  <c r="U21"/>
  <c r="T21"/>
  <c r="U20"/>
  <c r="T20"/>
  <c r="U19"/>
  <c r="T19"/>
  <c r="U18"/>
  <c r="T18"/>
  <c r="U17"/>
  <c r="T17"/>
  <c r="U16"/>
  <c r="T16"/>
  <c r="U15"/>
  <c r="T15"/>
  <c r="U14"/>
  <c r="T14"/>
  <c r="U13"/>
  <c r="T13"/>
  <c r="U12"/>
  <c r="T12"/>
  <c r="U11"/>
  <c r="T11"/>
  <c r="U10"/>
  <c r="U52" s="1"/>
  <c r="T10"/>
  <c r="U51" s="1"/>
  <c r="J56"/>
  <c r="X6"/>
  <c r="X5"/>
  <c r="X4"/>
  <c r="X3"/>
  <c r="X2"/>
  <c r="D96" i="66"/>
  <c r="A96"/>
  <c r="D95"/>
  <c r="A95"/>
  <c r="D94"/>
  <c r="A94"/>
  <c r="D93"/>
  <c r="A93"/>
  <c r="D92"/>
  <c r="A92"/>
  <c r="D91"/>
  <c r="A91"/>
  <c r="D90"/>
  <c r="A90"/>
  <c r="D89"/>
  <c r="A89"/>
  <c r="D88"/>
  <c r="A88"/>
  <c r="D87"/>
  <c r="A87"/>
  <c r="D86"/>
  <c r="A86"/>
  <c r="D85"/>
  <c r="A85"/>
  <c r="D84"/>
  <c r="A84"/>
  <c r="D83"/>
  <c r="A83"/>
  <c r="D82"/>
  <c r="A82"/>
  <c r="D81"/>
  <c r="A81"/>
  <c r="D80"/>
  <c r="A80"/>
  <c r="D79"/>
  <c r="A79"/>
  <c r="D78"/>
  <c r="A78"/>
  <c r="D77"/>
  <c r="A77"/>
  <c r="D73"/>
  <c r="C73"/>
  <c r="D72"/>
  <c r="C72"/>
  <c r="D71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C59"/>
  <c r="D59" s="1"/>
  <c r="D58"/>
  <c r="C58"/>
  <c r="D57"/>
  <c r="C57"/>
  <c r="D56"/>
  <c r="C56"/>
  <c r="C55"/>
  <c r="D55" s="1"/>
  <c r="C54"/>
  <c r="D54" s="1"/>
  <c r="D53"/>
  <c r="C44"/>
  <c r="C43"/>
  <c r="C42"/>
  <c r="F41"/>
  <c r="C46" s="1"/>
  <c r="F40"/>
  <c r="J31"/>
  <c r="U28"/>
  <c r="T28"/>
  <c r="U27"/>
  <c r="T27"/>
  <c r="U26"/>
  <c r="T26"/>
  <c r="U25"/>
  <c r="T25"/>
  <c r="U24"/>
  <c r="T24"/>
  <c r="U23"/>
  <c r="T23"/>
  <c r="U22"/>
  <c r="T22"/>
  <c r="U21"/>
  <c r="T21"/>
  <c r="U20"/>
  <c r="T20"/>
  <c r="U19"/>
  <c r="T19"/>
  <c r="U18"/>
  <c r="T18"/>
  <c r="U17"/>
  <c r="T17"/>
  <c r="U16"/>
  <c r="T16"/>
  <c r="U15"/>
  <c r="T15"/>
  <c r="U14"/>
  <c r="T14"/>
  <c r="U13"/>
  <c r="T13"/>
  <c r="U12"/>
  <c r="T12"/>
  <c r="U11"/>
  <c r="T11"/>
  <c r="U10"/>
  <c r="T10"/>
  <c r="U9"/>
  <c r="T31" s="1"/>
  <c r="T9"/>
  <c r="T30" s="1"/>
  <c r="X5"/>
  <c r="X4"/>
  <c r="X3"/>
  <c r="X2"/>
  <c r="M32" i="65"/>
  <c r="L32"/>
  <c r="K32"/>
  <c r="M31"/>
  <c r="L31"/>
  <c r="K31"/>
  <c r="F28"/>
  <c r="F27" s="1"/>
  <c r="F26" s="1"/>
  <c r="F25" s="1"/>
  <c r="F24" s="1"/>
  <c r="F23" s="1"/>
  <c r="E23"/>
  <c r="Q3"/>
  <c r="Q2"/>
  <c r="J12" i="6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K12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L12"/>
  <c r="L13" s="1"/>
  <c r="L14" s="1"/>
  <c r="L15" s="1"/>
  <c r="L16" s="1"/>
  <c r="L17" s="1"/>
  <c r="L18" s="1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L38" s="1"/>
  <c r="L39" s="1"/>
  <c r="L40" s="1"/>
  <c r="L41" s="1"/>
  <c r="P12"/>
  <c r="P13" s="1"/>
  <c r="P14" s="1"/>
  <c r="P15" s="1"/>
  <c r="P16" s="1"/>
  <c r="P17" s="1"/>
  <c r="P18" s="1"/>
  <c r="P19" s="1"/>
  <c r="P20" s="1"/>
  <c r="P21" s="1"/>
  <c r="P22" s="1"/>
  <c r="P23" s="1"/>
  <c r="P24" s="1"/>
  <c r="P25" s="1"/>
  <c r="P26" s="1"/>
  <c r="P27" s="1"/>
  <c r="P28" s="1"/>
  <c r="P29" s="1"/>
  <c r="P30" s="1"/>
  <c r="P31" s="1"/>
  <c r="P32" s="1"/>
  <c r="P33" s="1"/>
  <c r="P34" s="1"/>
  <c r="P35" s="1"/>
  <c r="P36" s="1"/>
  <c r="P37" s="1"/>
  <c r="P38" s="1"/>
  <c r="P39" s="1"/>
  <c r="P40" s="1"/>
  <c r="P41" s="1"/>
  <c r="Q12"/>
  <c r="Q13" s="1"/>
  <c r="Q14" s="1"/>
  <c r="Q15" s="1"/>
  <c r="Q16" s="1"/>
  <c r="Q17" s="1"/>
  <c r="Q18" s="1"/>
  <c r="Q19" s="1"/>
  <c r="Q20" s="1"/>
  <c r="Q21" s="1"/>
  <c r="Q22" s="1"/>
  <c r="Q23" s="1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Q37" s="1"/>
  <c r="Q38" s="1"/>
  <c r="Q39" s="1"/>
  <c r="Q40" s="1"/>
  <c r="Q41" s="1"/>
  <c r="R12"/>
  <c r="R13" s="1"/>
  <c r="R14" s="1"/>
  <c r="R15" s="1"/>
  <c r="R16" s="1"/>
  <c r="R17" s="1"/>
  <c r="R18" s="1"/>
  <c r="R19" s="1"/>
  <c r="R20" s="1"/>
  <c r="R21" s="1"/>
  <c r="R22" s="1"/>
  <c r="R23" s="1"/>
  <c r="R24" s="1"/>
  <c r="R25" s="1"/>
  <c r="R26" s="1"/>
  <c r="R27" s="1"/>
  <c r="R28" s="1"/>
  <c r="R29" s="1"/>
  <c r="R30" s="1"/>
  <c r="R31" s="1"/>
  <c r="R32" s="1"/>
  <c r="R33" s="1"/>
  <c r="R34" s="1"/>
  <c r="R35" s="1"/>
  <c r="R36" s="1"/>
  <c r="R37" s="1"/>
  <c r="R38" s="1"/>
  <c r="R39" s="1"/>
  <c r="R40" s="1"/>
  <c r="R41" s="1"/>
  <c r="V12"/>
  <c r="V13" s="1"/>
  <c r="V14" s="1"/>
  <c r="V15" s="1"/>
  <c r="V16" s="1"/>
  <c r="V17" s="1"/>
  <c r="V18" s="1"/>
  <c r="V19" s="1"/>
  <c r="V20" s="1"/>
  <c r="V21" s="1"/>
  <c r="V22" s="1"/>
  <c r="V23" s="1"/>
  <c r="V24" s="1"/>
  <c r="V25" s="1"/>
  <c r="V26" s="1"/>
  <c r="V27" s="1"/>
  <c r="V28" s="1"/>
  <c r="V29" s="1"/>
  <c r="V30" s="1"/>
  <c r="V31" s="1"/>
  <c r="V32" s="1"/>
  <c r="V33" s="1"/>
  <c r="V34" s="1"/>
  <c r="V35" s="1"/>
  <c r="V36" s="1"/>
  <c r="V37" s="1"/>
  <c r="V38" s="1"/>
  <c r="V39" s="1"/>
  <c r="V40" s="1"/>
  <c r="V41" s="1"/>
  <c r="W12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X12"/>
  <c r="X13" s="1"/>
  <c r="X14" s="1"/>
  <c r="X15" s="1"/>
  <c r="X16" s="1"/>
  <c r="X17" s="1"/>
  <c r="X18" s="1"/>
  <c r="X19" s="1"/>
  <c r="X20" s="1"/>
  <c r="X21" s="1"/>
  <c r="X22" s="1"/>
  <c r="X23" s="1"/>
  <c r="X24" s="1"/>
  <c r="X25" s="1"/>
  <c r="X26" s="1"/>
  <c r="X27" s="1"/>
  <c r="X28" s="1"/>
  <c r="X29" s="1"/>
  <c r="X30" s="1"/>
  <c r="X31" s="1"/>
  <c r="X32" s="1"/>
  <c r="X33" s="1"/>
  <c r="X34" s="1"/>
  <c r="X35" s="1"/>
  <c r="X36" s="1"/>
  <c r="X37" s="1"/>
  <c r="X38" s="1"/>
  <c r="X39" s="1"/>
  <c r="X40" s="1"/>
  <c r="X41" s="1"/>
  <c r="H12" i="7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I12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D11" i="51"/>
  <c r="D42"/>
  <c r="I12" i="6"/>
  <c r="I13"/>
  <c r="G12" i="7"/>
  <c r="G13"/>
  <c r="C14" i="64"/>
  <c r="D14"/>
  <c r="E14"/>
  <c r="C16"/>
  <c r="C62"/>
  <c r="D62"/>
  <c r="C63"/>
  <c r="D63"/>
  <c r="B66"/>
  <c r="B67"/>
  <c r="B68"/>
  <c r="C70"/>
  <c r="C71"/>
  <c r="C72"/>
  <c r="B73"/>
  <c r="C73"/>
  <c r="D73" s="1"/>
  <c r="B49" i="37"/>
  <c r="B42"/>
  <c r="B46"/>
  <c r="B43"/>
  <c r="C43"/>
  <c r="B47" s="1"/>
  <c r="B48" s="1"/>
  <c r="D43"/>
  <c r="E43"/>
  <c r="F43"/>
  <c r="G43"/>
  <c r="B41"/>
  <c r="F37"/>
  <c r="G37"/>
  <c r="B38"/>
  <c r="C38" s="1"/>
  <c r="D38" s="1"/>
  <c r="E38" s="1"/>
  <c r="F38" s="1"/>
  <c r="G38" s="1"/>
  <c r="E6" i="61"/>
  <c r="B5"/>
  <c r="E8"/>
  <c r="B6"/>
  <c r="E7"/>
  <c r="E4" i="63"/>
  <c r="E5"/>
  <c r="E6" s="1"/>
  <c r="C6"/>
  <c r="D6"/>
  <c r="B11" s="1"/>
  <c r="B10"/>
  <c r="E10"/>
  <c r="F10"/>
  <c r="E11"/>
  <c r="J15"/>
  <c r="I17"/>
  <c r="C18"/>
  <c r="L44" i="30"/>
  <c r="M44"/>
  <c r="N44" s="1"/>
  <c r="B44"/>
  <c r="C44" s="1"/>
  <c r="D44" s="1"/>
  <c r="L26"/>
  <c r="M26"/>
  <c r="N26"/>
  <c r="B26"/>
  <c r="C26"/>
  <c r="D26"/>
  <c r="C20" i="29"/>
  <c r="C21"/>
  <c r="C19"/>
  <c r="B20"/>
  <c r="B21"/>
  <c r="B19"/>
  <c r="D6" i="58"/>
  <c r="D8" s="1"/>
  <c r="M24" i="28"/>
  <c r="L24"/>
  <c r="K24"/>
  <c r="J24"/>
  <c r="I24"/>
  <c r="H24"/>
  <c r="G24"/>
  <c r="F24"/>
  <c r="E24"/>
  <c r="D24"/>
  <c r="C24"/>
  <c r="B24"/>
  <c r="F7"/>
  <c r="F14" s="1"/>
  <c r="F10"/>
  <c r="G56" i="40"/>
  <c r="F6" i="61"/>
  <c r="F7" s="1"/>
  <c r="B14" s="1"/>
  <c r="J10" i="50"/>
  <c r="J3"/>
  <c r="J4"/>
  <c r="J5"/>
  <c r="J6"/>
  <c r="J7"/>
  <c r="J8"/>
  <c r="J9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L10"/>
  <c r="L3"/>
  <c r="L4"/>
  <c r="L5"/>
  <c r="L6"/>
  <c r="L7"/>
  <c r="L8"/>
  <c r="L9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M10"/>
  <c r="M3"/>
  <c r="M4"/>
  <c r="M5"/>
  <c r="M6"/>
  <c r="M7"/>
  <c r="M8"/>
  <c r="M9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40" s="1"/>
  <c r="N10"/>
  <c r="N3"/>
  <c r="N4"/>
  <c r="N5"/>
  <c r="N6"/>
  <c r="N7"/>
  <c r="N8"/>
  <c r="N9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P10"/>
  <c r="P3"/>
  <c r="P4"/>
  <c r="P5"/>
  <c r="P6"/>
  <c r="P7"/>
  <c r="P8"/>
  <c r="P9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40" s="1"/>
  <c r="P29"/>
  <c r="P30"/>
  <c r="Q10"/>
  <c r="Q3"/>
  <c r="Q4"/>
  <c r="Q5"/>
  <c r="Q6"/>
  <c r="Q7"/>
  <c r="Q8"/>
  <c r="Q9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R10"/>
  <c r="R3"/>
  <c r="R4"/>
  <c r="R5"/>
  <c r="R6"/>
  <c r="R7"/>
  <c r="R8"/>
  <c r="R9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T10"/>
  <c r="T3"/>
  <c r="T4"/>
  <c r="T5"/>
  <c r="T6"/>
  <c r="T7"/>
  <c r="T8"/>
  <c r="T9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U10"/>
  <c r="U3"/>
  <c r="U4"/>
  <c r="U5"/>
  <c r="U6"/>
  <c r="U7"/>
  <c r="U8"/>
  <c r="U9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V10"/>
  <c r="V3"/>
  <c r="V4"/>
  <c r="V5"/>
  <c r="V6"/>
  <c r="V7"/>
  <c r="V8"/>
  <c r="V9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H10"/>
  <c r="H3"/>
  <c r="H4"/>
  <c r="H5"/>
  <c r="H6"/>
  <c r="H7"/>
  <c r="H8"/>
  <c r="H9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I10"/>
  <c r="I3"/>
  <c r="I4"/>
  <c r="I5"/>
  <c r="I6"/>
  <c r="I7"/>
  <c r="I8"/>
  <c r="I9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M41"/>
  <c r="Q41"/>
  <c r="L42"/>
  <c r="N42"/>
  <c r="S10"/>
  <c r="S3"/>
  <c r="S4"/>
  <c r="S5"/>
  <c r="S6"/>
  <c r="S7"/>
  <c r="S8"/>
  <c r="S9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G10"/>
  <c r="G3"/>
  <c r="G4"/>
  <c r="G5"/>
  <c r="G6"/>
  <c r="G7"/>
  <c r="G8"/>
  <c r="G9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H35"/>
  <c r="K10"/>
  <c r="K3"/>
  <c r="K4"/>
  <c r="K5"/>
  <c r="K6"/>
  <c r="K7"/>
  <c r="K8"/>
  <c r="K9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M35"/>
  <c r="O10"/>
  <c r="O3"/>
  <c r="O4"/>
  <c r="O5"/>
  <c r="O6"/>
  <c r="O7"/>
  <c r="O8"/>
  <c r="O9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P35"/>
  <c r="M36"/>
  <c r="U36"/>
  <c r="M37"/>
  <c r="B3" i="62"/>
  <c r="B4"/>
  <c r="G9"/>
  <c r="G10"/>
  <c r="G11"/>
  <c r="G12"/>
  <c r="D17" i="57"/>
  <c r="D19"/>
  <c r="D6"/>
  <c r="D8" s="1"/>
  <c r="S1" i="55"/>
  <c r="S2"/>
  <c r="S3"/>
  <c r="S5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3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O42"/>
  <c r="P42"/>
  <c r="Q42"/>
  <c r="N43"/>
  <c r="H50"/>
  <c r="H46"/>
  <c r="H55" s="1"/>
  <c r="W47" s="1"/>
  <c r="O1" i="54"/>
  <c r="O2"/>
  <c r="O3"/>
  <c r="O4"/>
  <c r="O5"/>
  <c r="O6"/>
  <c r="O8"/>
  <c r="G12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H12"/>
  <c r="I12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J12"/>
  <c r="K12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M12"/>
  <c r="N12"/>
  <c r="E13"/>
  <c r="F13"/>
  <c r="H13"/>
  <c r="J13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L13"/>
  <c r="M13"/>
  <c r="N13"/>
  <c r="E14"/>
  <c r="F14"/>
  <c r="H14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L14"/>
  <c r="M14"/>
  <c r="N14"/>
  <c r="E15"/>
  <c r="F15"/>
  <c r="L15"/>
  <c r="M15"/>
  <c r="N15"/>
  <c r="E16"/>
  <c r="F16"/>
  <c r="L16"/>
  <c r="M16"/>
  <c r="N16"/>
  <c r="E17"/>
  <c r="F17"/>
  <c r="L17"/>
  <c r="M17"/>
  <c r="N17"/>
  <c r="E18"/>
  <c r="F18"/>
  <c r="L18"/>
  <c r="M18"/>
  <c r="N18"/>
  <c r="E19"/>
  <c r="F19"/>
  <c r="L19"/>
  <c r="M19"/>
  <c r="N19"/>
  <c r="E20"/>
  <c r="F20"/>
  <c r="L20"/>
  <c r="M20"/>
  <c r="N20"/>
  <c r="E21"/>
  <c r="F21"/>
  <c r="L21"/>
  <c r="M21"/>
  <c r="N21"/>
  <c r="E22"/>
  <c r="F22"/>
  <c r="L22"/>
  <c r="M22"/>
  <c r="N22"/>
  <c r="E23"/>
  <c r="F23"/>
  <c r="L23"/>
  <c r="M23"/>
  <c r="N23"/>
  <c r="E24"/>
  <c r="F24"/>
  <c r="L24"/>
  <c r="M24"/>
  <c r="N24"/>
  <c r="E25"/>
  <c r="F25"/>
  <c r="L25"/>
  <c r="M25"/>
  <c r="N25"/>
  <c r="E26"/>
  <c r="F26"/>
  <c r="L26"/>
  <c r="M26"/>
  <c r="N26"/>
  <c r="E27"/>
  <c r="F27"/>
  <c r="L27"/>
  <c r="M27"/>
  <c r="N27"/>
  <c r="E28"/>
  <c r="F28"/>
  <c r="L28"/>
  <c r="M28"/>
  <c r="N28"/>
  <c r="E29"/>
  <c r="F29"/>
  <c r="L29"/>
  <c r="M29"/>
  <c r="N29"/>
  <c r="E30"/>
  <c r="F30"/>
  <c r="L30"/>
  <c r="M30"/>
  <c r="N30"/>
  <c r="E31"/>
  <c r="F31"/>
  <c r="L31"/>
  <c r="M31"/>
  <c r="N31"/>
  <c r="E32"/>
  <c r="F32"/>
  <c r="L32"/>
  <c r="M32"/>
  <c r="N32"/>
  <c r="E33"/>
  <c r="F33"/>
  <c r="L33"/>
  <c r="M33"/>
  <c r="N33"/>
  <c r="E34"/>
  <c r="F34"/>
  <c r="L34"/>
  <c r="M34"/>
  <c r="N34"/>
  <c r="E35"/>
  <c r="F35"/>
  <c r="L35"/>
  <c r="M35"/>
  <c r="N35"/>
  <c r="E36"/>
  <c r="F36"/>
  <c r="L36"/>
  <c r="M36"/>
  <c r="N36"/>
  <c r="E37"/>
  <c r="F37"/>
  <c r="L37"/>
  <c r="M37"/>
  <c r="N37"/>
  <c r="E38"/>
  <c r="F38"/>
  <c r="L38"/>
  <c r="M38"/>
  <c r="N38"/>
  <c r="E39"/>
  <c r="F39"/>
  <c r="L39"/>
  <c r="M39"/>
  <c r="N39"/>
  <c r="E40"/>
  <c r="F40"/>
  <c r="L40"/>
  <c r="M40"/>
  <c r="N40"/>
  <c r="E41"/>
  <c r="F41"/>
  <c r="L41"/>
  <c r="M41"/>
  <c r="N41"/>
  <c r="E42"/>
  <c r="F42"/>
  <c r="L42"/>
  <c r="M42"/>
  <c r="N42"/>
  <c r="M43"/>
  <c r="N43"/>
  <c r="E44"/>
  <c r="L44"/>
  <c r="F46" s="1"/>
  <c r="G53" s="1"/>
  <c r="F51"/>
  <c r="F47"/>
  <c r="F56" s="1"/>
  <c r="G54"/>
  <c r="F60"/>
  <c r="M1" i="53"/>
  <c r="M2"/>
  <c r="M3"/>
  <c r="M4"/>
  <c r="M5"/>
  <c r="M6"/>
  <c r="M8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4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I12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K12"/>
  <c r="L12"/>
  <c r="K13"/>
  <c r="L13"/>
  <c r="K14"/>
  <c r="L14"/>
  <c r="K15"/>
  <c r="L15"/>
  <c r="K16"/>
  <c r="L16"/>
  <c r="K17"/>
  <c r="L17"/>
  <c r="K18"/>
  <c r="L18"/>
  <c r="K19"/>
  <c r="L19"/>
  <c r="K20"/>
  <c r="L20"/>
  <c r="K21"/>
  <c r="L21"/>
  <c r="K22"/>
  <c r="L22"/>
  <c r="K23"/>
  <c r="L23"/>
  <c r="K24"/>
  <c r="L24"/>
  <c r="K25"/>
  <c r="L25"/>
  <c r="K26"/>
  <c r="L26"/>
  <c r="K27"/>
  <c r="L27"/>
  <c r="K28"/>
  <c r="L28"/>
  <c r="K29"/>
  <c r="L29"/>
  <c r="K30"/>
  <c r="L30"/>
  <c r="K31"/>
  <c r="L31"/>
  <c r="K32"/>
  <c r="L32"/>
  <c r="K33"/>
  <c r="L33"/>
  <c r="K34"/>
  <c r="L34"/>
  <c r="K35"/>
  <c r="L35"/>
  <c r="K36"/>
  <c r="L36"/>
  <c r="K37"/>
  <c r="L37"/>
  <c r="K38"/>
  <c r="L38"/>
  <c r="K39"/>
  <c r="L39"/>
  <c r="K40"/>
  <c r="L40"/>
  <c r="K41"/>
  <c r="L41"/>
  <c r="K42"/>
  <c r="L42"/>
  <c r="K43"/>
  <c r="L43"/>
  <c r="K1" i="52"/>
  <c r="I2"/>
  <c r="K2"/>
  <c r="K3"/>
  <c r="K4"/>
  <c r="K5"/>
  <c r="K6"/>
  <c r="K8"/>
  <c r="B47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E10"/>
  <c r="I10"/>
  <c r="J10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I11"/>
  <c r="J11"/>
  <c r="I12"/>
  <c r="J12"/>
  <c r="I13"/>
  <c r="J13"/>
  <c r="I14"/>
  <c r="J14"/>
  <c r="I15"/>
  <c r="J15"/>
  <c r="I16"/>
  <c r="J16"/>
  <c r="I17"/>
  <c r="J17"/>
  <c r="I18"/>
  <c r="J18"/>
  <c r="I19"/>
  <c r="J19"/>
  <c r="I20"/>
  <c r="J20"/>
  <c r="I21"/>
  <c r="J21"/>
  <c r="I22"/>
  <c r="J22"/>
  <c r="I23"/>
  <c r="J23"/>
  <c r="I24"/>
  <c r="J24"/>
  <c r="I25"/>
  <c r="J25"/>
  <c r="I26"/>
  <c r="J26"/>
  <c r="I27"/>
  <c r="J27"/>
  <c r="I28"/>
  <c r="J28"/>
  <c r="I29"/>
  <c r="J29"/>
  <c r="I30"/>
  <c r="J30"/>
  <c r="I31"/>
  <c r="J31"/>
  <c r="I32"/>
  <c r="J32"/>
  <c r="I33"/>
  <c r="J33"/>
  <c r="I34"/>
  <c r="J34"/>
  <c r="I35"/>
  <c r="J35"/>
  <c r="I36"/>
  <c r="J36"/>
  <c r="I37"/>
  <c r="J37"/>
  <c r="I38"/>
  <c r="J38"/>
  <c r="I39"/>
  <c r="J39"/>
  <c r="I40"/>
  <c r="J40"/>
  <c r="I46"/>
  <c r="J46"/>
  <c r="K1" i="51"/>
  <c r="K2"/>
  <c r="K3"/>
  <c r="K4"/>
  <c r="K5"/>
  <c r="K6"/>
  <c r="K8"/>
  <c r="D12"/>
  <c r="D13"/>
  <c r="D14"/>
  <c r="D15"/>
  <c r="D16"/>
  <c r="D17"/>
  <c r="G11"/>
  <c r="F11" s="1"/>
  <c r="H11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S20" i="2"/>
  <c r="I47"/>
  <c r="I48"/>
  <c r="J48"/>
  <c r="I49"/>
  <c r="J49"/>
  <c r="D14"/>
  <c r="D34" s="1"/>
  <c r="M14" s="1"/>
  <c r="E14"/>
  <c r="E34" s="1"/>
  <c r="N14" s="1"/>
  <c r="J56" s="1"/>
  <c r="F14"/>
  <c r="F34" s="1"/>
  <c r="M13" s="1"/>
  <c r="G14"/>
  <c r="G34" s="1"/>
  <c r="N13" s="1"/>
  <c r="AA2" i="50"/>
  <c r="Y4"/>
  <c r="AA4"/>
  <c r="AB4"/>
  <c r="AA5"/>
  <c r="AB5"/>
  <c r="AA7"/>
  <c r="AB7"/>
  <c r="Z12"/>
  <c r="Z13"/>
  <c r="Z14"/>
  <c r="H39"/>
  <c r="J39"/>
  <c r="M39"/>
  <c r="N39"/>
  <c r="R39"/>
  <c r="U39"/>
  <c r="V39"/>
  <c r="G44"/>
  <c r="K44"/>
  <c r="O44"/>
  <c r="S44"/>
  <c r="V2" i="49"/>
  <c r="W3"/>
  <c r="AB3"/>
  <c r="G4"/>
  <c r="L4"/>
  <c r="E89"/>
  <c r="E91"/>
  <c r="E94" s="1"/>
  <c r="E96" s="1"/>
  <c r="E92"/>
  <c r="E95"/>
  <c r="E90"/>
  <c r="E93"/>
  <c r="E98"/>
  <c r="B15"/>
  <c r="C21"/>
  <c r="D23" s="1"/>
  <c r="E24" s="1"/>
  <c r="F24" s="1"/>
  <c r="I24" s="1"/>
  <c r="H24" s="1"/>
  <c r="C22"/>
  <c r="D21"/>
  <c r="C23"/>
  <c r="C24"/>
  <c r="D22" s="1"/>
  <c r="D24"/>
  <c r="C25"/>
  <c r="M26"/>
  <c r="D44"/>
  <c r="D56" s="1"/>
  <c r="D43"/>
  <c r="D41"/>
  <c r="D42"/>
  <c r="D67"/>
  <c r="D57"/>
  <c r="D58" s="1"/>
  <c r="D59"/>
  <c r="D60" s="1"/>
  <c r="D61"/>
  <c r="D71"/>
  <c r="D72"/>
  <c r="D73" s="1"/>
  <c r="D74"/>
  <c r="D78"/>
  <c r="D77"/>
  <c r="D76" s="1"/>
  <c r="D75"/>
  <c r="B123"/>
  <c r="B124"/>
  <c r="B125"/>
  <c r="B126" s="1"/>
  <c r="M27"/>
  <c r="E44"/>
  <c r="E67" s="1"/>
  <c r="E43"/>
  <c r="E42"/>
  <c r="E41"/>
  <c r="E63"/>
  <c r="E58"/>
  <c r="E59"/>
  <c r="E60" s="1"/>
  <c r="E61" s="1"/>
  <c r="E71"/>
  <c r="E72" s="1"/>
  <c r="E73"/>
  <c r="E74"/>
  <c r="E78"/>
  <c r="E77" s="1"/>
  <c r="E76"/>
  <c r="E75"/>
  <c r="C124"/>
  <c r="C125" s="1"/>
  <c r="C123"/>
  <c r="F44"/>
  <c r="F63" s="1"/>
  <c r="F41"/>
  <c r="F42"/>
  <c r="F43"/>
  <c r="F67"/>
  <c r="F56"/>
  <c r="F57"/>
  <c r="F58"/>
  <c r="F59" s="1"/>
  <c r="F60" s="1"/>
  <c r="F61"/>
  <c r="F71"/>
  <c r="F72"/>
  <c r="F73"/>
  <c r="F74" s="1"/>
  <c r="F77"/>
  <c r="F76"/>
  <c r="F75" s="1"/>
  <c r="F78"/>
  <c r="F79"/>
  <c r="F45" s="1"/>
  <c r="P28" s="1"/>
  <c r="D123"/>
  <c r="D124"/>
  <c r="D125" s="1"/>
  <c r="F104"/>
  <c r="F105"/>
  <c r="F106" s="1"/>
  <c r="B110"/>
  <c r="C110" s="1"/>
  <c r="B111"/>
  <c r="B112" s="1"/>
  <c r="B113" s="1"/>
  <c r="B114" s="1"/>
  <c r="B115" s="1"/>
  <c r="C53"/>
  <c r="M67"/>
  <c r="M55"/>
  <c r="M68"/>
  <c r="M56"/>
  <c r="M70"/>
  <c r="M58"/>
  <c r="M71"/>
  <c r="M59"/>
  <c r="M73"/>
  <c r="M61"/>
  <c r="M74"/>
  <c r="M62"/>
  <c r="M77"/>
  <c r="N64"/>
  <c r="N77"/>
  <c r="O64"/>
  <c r="M78"/>
  <c r="N65"/>
  <c r="N78"/>
  <c r="O65"/>
  <c r="L83"/>
  <c r="M83"/>
  <c r="O83"/>
  <c r="P83"/>
  <c r="L84"/>
  <c r="M84"/>
  <c r="O84"/>
  <c r="P84"/>
  <c r="L85"/>
  <c r="M85"/>
  <c r="O85"/>
  <c r="P85"/>
  <c r="L86"/>
  <c r="M86"/>
  <c r="O86"/>
  <c r="P86"/>
  <c r="L87"/>
  <c r="M87"/>
  <c r="O87"/>
  <c r="P87"/>
  <c r="L88"/>
  <c r="M88"/>
  <c r="O88"/>
  <c r="P88"/>
  <c r="L89"/>
  <c r="M89"/>
  <c r="O89"/>
  <c r="P89"/>
  <c r="L93"/>
  <c r="M93"/>
  <c r="L94"/>
  <c r="M94"/>
  <c r="L95"/>
  <c r="M95"/>
  <c r="L96"/>
  <c r="M96"/>
  <c r="L97"/>
  <c r="M97"/>
  <c r="L98"/>
  <c r="M98"/>
  <c r="L100"/>
  <c r="M100"/>
  <c r="L101"/>
  <c r="M101"/>
  <c r="F123"/>
  <c r="G123"/>
  <c r="H123"/>
  <c r="F124"/>
  <c r="G124"/>
  <c r="H124"/>
  <c r="F125"/>
  <c r="G125"/>
  <c r="H125"/>
  <c r="F126"/>
  <c r="F6" i="48"/>
  <c r="I6" s="1"/>
  <c r="K6"/>
  <c r="M6" s="1"/>
  <c r="F8"/>
  <c r="I8" s="1"/>
  <c r="K8"/>
  <c r="M8" s="1"/>
  <c r="D10"/>
  <c r="D13" s="1"/>
  <c r="E10"/>
  <c r="F10"/>
  <c r="E13"/>
  <c r="F13"/>
  <c r="D16"/>
  <c r="E16"/>
  <c r="D17"/>
  <c r="E17"/>
  <c r="D19"/>
  <c r="E19"/>
  <c r="I1" i="47"/>
  <c r="I2"/>
  <c r="I3"/>
  <c r="E10"/>
  <c r="F10"/>
  <c r="A11"/>
  <c r="G11"/>
  <c r="E11" s="1"/>
  <c r="F11"/>
  <c r="A12"/>
  <c r="G12"/>
  <c r="E12" s="1"/>
  <c r="F12"/>
  <c r="A13"/>
  <c r="G13"/>
  <c r="E13" s="1"/>
  <c r="F13"/>
  <c r="A14"/>
  <c r="G14"/>
  <c r="E14" s="1"/>
  <c r="F14"/>
  <c r="A15"/>
  <c r="G15"/>
  <c r="E15" s="1"/>
  <c r="F15"/>
  <c r="A16"/>
  <c r="G16"/>
  <c r="E16" s="1"/>
  <c r="F16"/>
  <c r="A17"/>
  <c r="G17"/>
  <c r="E17" s="1"/>
  <c r="F17"/>
  <c r="A18"/>
  <c r="G18"/>
  <c r="E18" s="1"/>
  <c r="F18"/>
  <c r="A19"/>
  <c r="G19"/>
  <c r="E19" s="1"/>
  <c r="F19"/>
  <c r="A20"/>
  <c r="G20"/>
  <c r="E20" s="1"/>
  <c r="F20"/>
  <c r="A21"/>
  <c r="G21"/>
  <c r="E21" s="1"/>
  <c r="F21"/>
  <c r="A22"/>
  <c r="G22"/>
  <c r="E22" s="1"/>
  <c r="F22"/>
  <c r="A23"/>
  <c r="G23"/>
  <c r="E23" s="1"/>
  <c r="F23"/>
  <c r="A24"/>
  <c r="G24"/>
  <c r="E24" s="1"/>
  <c r="F24"/>
  <c r="A25"/>
  <c r="G25"/>
  <c r="E25" s="1"/>
  <c r="F25"/>
  <c r="A26"/>
  <c r="G26"/>
  <c r="E26" s="1"/>
  <c r="F26"/>
  <c r="A27"/>
  <c r="G27"/>
  <c r="E27" s="1"/>
  <c r="F27"/>
  <c r="A28"/>
  <c r="G28"/>
  <c r="E28" s="1"/>
  <c r="F28"/>
  <c r="A29"/>
  <c r="G29"/>
  <c r="E29" s="1"/>
  <c r="F29"/>
  <c r="A30"/>
  <c r="G30"/>
  <c r="E30" s="1"/>
  <c r="F30"/>
  <c r="A31"/>
  <c r="G31"/>
  <c r="E31" s="1"/>
  <c r="F31"/>
  <c r="A32"/>
  <c r="G32"/>
  <c r="E32" s="1"/>
  <c r="F32"/>
  <c r="A33"/>
  <c r="G33"/>
  <c r="E33" s="1"/>
  <c r="F33"/>
  <c r="A34"/>
  <c r="G34"/>
  <c r="E34" s="1"/>
  <c r="F34"/>
  <c r="A35"/>
  <c r="G35"/>
  <c r="E35" s="1"/>
  <c r="F35"/>
  <c r="A36"/>
  <c r="G36"/>
  <c r="E36" s="1"/>
  <c r="F36"/>
  <c r="A37"/>
  <c r="G37"/>
  <c r="E37" s="1"/>
  <c r="F37"/>
  <c r="A38"/>
  <c r="G38"/>
  <c r="E38" s="1"/>
  <c r="F38"/>
  <c r="A39"/>
  <c r="G39"/>
  <c r="E39" s="1"/>
  <c r="F39"/>
  <c r="A40"/>
  <c r="G40"/>
  <c r="E40" s="1"/>
  <c r="F40"/>
  <c r="A41"/>
  <c r="G41"/>
  <c r="E41" s="1"/>
  <c r="F41"/>
  <c r="A42"/>
  <c r="G42"/>
  <c r="E42" s="1"/>
  <c r="F42"/>
  <c r="A43"/>
  <c r="G43"/>
  <c r="E43" s="1"/>
  <c r="F43"/>
  <c r="A44"/>
  <c r="G44"/>
  <c r="E44" s="1"/>
  <c r="F44"/>
  <c r="A45"/>
  <c r="G45"/>
  <c r="E45" s="1"/>
  <c r="F45"/>
  <c r="A46"/>
  <c r="G46"/>
  <c r="E46" s="1"/>
  <c r="F46"/>
  <c r="A47"/>
  <c r="A48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E49"/>
  <c r="F49"/>
  <c r="E50"/>
  <c r="F50"/>
  <c r="E51"/>
  <c r="F51"/>
  <c r="E52"/>
  <c r="F52"/>
  <c r="E53"/>
  <c r="F53"/>
  <c r="E54"/>
  <c r="F54"/>
  <c r="E55"/>
  <c r="F55"/>
  <c r="C1" i="45"/>
  <c r="D5"/>
  <c r="E5"/>
  <c r="F5"/>
  <c r="D6"/>
  <c r="E6"/>
  <c r="F6"/>
  <c r="G6"/>
  <c r="H6"/>
  <c r="A7"/>
  <c r="D7"/>
  <c r="E7"/>
  <c r="F7"/>
  <c r="G7"/>
  <c r="H7"/>
  <c r="A8"/>
  <c r="D8"/>
  <c r="E8"/>
  <c r="F8"/>
  <c r="G8"/>
  <c r="H8"/>
  <c r="A9"/>
  <c r="A10" s="1"/>
  <c r="A11" s="1"/>
  <c r="A12" s="1"/>
  <c r="A13" s="1"/>
  <c r="A14" s="1"/>
  <c r="A15" s="1"/>
  <c r="A16" s="1"/>
  <c r="A17" s="1"/>
  <c r="A18" s="1"/>
  <c r="A19" s="1"/>
  <c r="A20" s="1"/>
  <c r="A21" s="1"/>
  <c r="D9"/>
  <c r="E9"/>
  <c r="F9"/>
  <c r="G9"/>
  <c r="H9"/>
  <c r="T9"/>
  <c r="D10"/>
  <c r="E10"/>
  <c r="F10"/>
  <c r="G10"/>
  <c r="H10"/>
  <c r="T10"/>
  <c r="D11"/>
  <c r="E11"/>
  <c r="F11"/>
  <c r="G11"/>
  <c r="H11"/>
  <c r="T11"/>
  <c r="D12"/>
  <c r="E12"/>
  <c r="F12"/>
  <c r="G12"/>
  <c r="H12"/>
  <c r="T12"/>
  <c r="D13"/>
  <c r="E13"/>
  <c r="F13"/>
  <c r="G13"/>
  <c r="H13"/>
  <c r="D14"/>
  <c r="E14"/>
  <c r="F14"/>
  <c r="G14"/>
  <c r="H14"/>
  <c r="D15"/>
  <c r="E15"/>
  <c r="F15"/>
  <c r="G15"/>
  <c r="H15"/>
  <c r="D16"/>
  <c r="E16"/>
  <c r="F16"/>
  <c r="G16"/>
  <c r="H16"/>
  <c r="D17"/>
  <c r="E17"/>
  <c r="F17"/>
  <c r="G17"/>
  <c r="H17"/>
  <c r="D18"/>
  <c r="E18"/>
  <c r="F18"/>
  <c r="G18"/>
  <c r="H18"/>
  <c r="D19"/>
  <c r="E19"/>
  <c r="F19"/>
  <c r="G19"/>
  <c r="H19"/>
  <c r="D20"/>
  <c r="E20"/>
  <c r="F20"/>
  <c r="G20"/>
  <c r="H20"/>
  <c r="D21"/>
  <c r="E21"/>
  <c r="F21"/>
  <c r="G21"/>
  <c r="H21"/>
  <c r="M26"/>
  <c r="N26"/>
  <c r="R26"/>
  <c r="M27"/>
  <c r="N27"/>
  <c r="R27"/>
  <c r="D46"/>
  <c r="E46"/>
  <c r="F46"/>
  <c r="G46"/>
  <c r="H46"/>
  <c r="N1" i="39"/>
  <c r="D6"/>
  <c r="E6"/>
  <c r="A7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D7"/>
  <c r="E7"/>
  <c r="D8"/>
  <c r="E8"/>
  <c r="D9"/>
  <c r="E9"/>
  <c r="D10"/>
  <c r="E10"/>
  <c r="D11"/>
  <c r="E11"/>
  <c r="D12"/>
  <c r="E12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46"/>
  <c r="E46"/>
  <c r="N2" i="38"/>
  <c r="N3"/>
  <c r="N4"/>
  <c r="B20"/>
  <c r="F11" s="1"/>
  <c r="B15"/>
  <c r="D10"/>
  <c r="D12"/>
  <c r="B16"/>
  <c r="N2" i="37"/>
  <c r="N3"/>
  <c r="N4"/>
  <c r="B37"/>
  <c r="C37"/>
  <c r="D37"/>
  <c r="E37"/>
  <c r="C41"/>
  <c r="D41"/>
  <c r="E41"/>
  <c r="F41"/>
  <c r="G41"/>
  <c r="B45"/>
  <c r="R1" i="35"/>
  <c r="K2"/>
  <c r="R4" s="1"/>
  <c r="R2"/>
  <c r="R3"/>
  <c r="R5"/>
  <c r="B7"/>
  <c r="AA9"/>
  <c r="AA10" s="1"/>
  <c r="AB9"/>
  <c r="AB10" s="1"/>
  <c r="AC9"/>
  <c r="AC11" s="1"/>
  <c r="AD9"/>
  <c r="AD10" s="1"/>
  <c r="AE9"/>
  <c r="AE10" s="1"/>
  <c r="AF9"/>
  <c r="AF10" s="1"/>
  <c r="A10"/>
  <c r="A11"/>
  <c r="A12" s="1"/>
  <c r="A13" s="1"/>
  <c r="A14" s="1"/>
  <c r="A15" s="1"/>
  <c r="A16" s="1"/>
  <c r="A17" s="1"/>
  <c r="A18" s="1"/>
  <c r="A19" s="1"/>
  <c r="A20" s="1"/>
  <c r="A21" s="1"/>
  <c r="A33" s="1"/>
  <c r="A34" s="1"/>
  <c r="A35" s="1"/>
  <c r="A36" s="1"/>
  <c r="A37" s="1"/>
  <c r="A38" s="1"/>
  <c r="A39" s="1"/>
  <c r="A40" s="1"/>
  <c r="A41" s="1"/>
  <c r="A42" s="1"/>
  <c r="AB11"/>
  <c r="AD11"/>
  <c r="AF11"/>
  <c r="AC12"/>
  <c r="AB13"/>
  <c r="AD13"/>
  <c r="AF13"/>
  <c r="L14"/>
  <c r="AB14"/>
  <c r="AD14"/>
  <c r="AF14"/>
  <c r="L15"/>
  <c r="AA15"/>
  <c r="AB15"/>
  <c r="AC15"/>
  <c r="AD15"/>
  <c r="AE15"/>
  <c r="AF15"/>
  <c r="L16"/>
  <c r="AC24" s="1"/>
  <c r="AB16"/>
  <c r="AD16"/>
  <c r="AF16"/>
  <c r="L17"/>
  <c r="AA17"/>
  <c r="AB17"/>
  <c r="AC17"/>
  <c r="AD17"/>
  <c r="AE17"/>
  <c r="AF17"/>
  <c r="L20"/>
  <c r="L23" s="1"/>
  <c r="L19"/>
  <c r="L22" s="1"/>
  <c r="L21"/>
  <c r="AC30" s="1"/>
  <c r="AC25"/>
  <c r="AC26"/>
  <c r="AC27"/>
  <c r="AC28"/>
  <c r="J30"/>
  <c r="K31" s="1"/>
  <c r="L32"/>
  <c r="M31" s="1"/>
  <c r="P77"/>
  <c r="AC31"/>
  <c r="L73"/>
  <c r="M73"/>
  <c r="N73" s="1"/>
  <c r="AC32"/>
  <c r="AA33"/>
  <c r="AA34"/>
  <c r="T56"/>
  <c r="U56"/>
  <c r="V56"/>
  <c r="W56"/>
  <c r="X56"/>
  <c r="Y56"/>
  <c r="T57"/>
  <c r="U57"/>
  <c r="V57"/>
  <c r="W57"/>
  <c r="X57"/>
  <c r="Y57"/>
  <c r="B117"/>
  <c r="T58" s="1"/>
  <c r="C117"/>
  <c r="U58" s="1"/>
  <c r="D117"/>
  <c r="V58" s="1"/>
  <c r="E117"/>
  <c r="W58" s="1"/>
  <c r="F117"/>
  <c r="X58" s="1"/>
  <c r="G117"/>
  <c r="Y58" s="1"/>
  <c r="B116"/>
  <c r="T59" s="1"/>
  <c r="C116"/>
  <c r="U59" s="1"/>
  <c r="D116"/>
  <c r="V59" s="1"/>
  <c r="E116"/>
  <c r="W59" s="1"/>
  <c r="F116"/>
  <c r="X59" s="1"/>
  <c r="G116"/>
  <c r="Y59" s="1"/>
  <c r="B112"/>
  <c r="T60" s="1"/>
  <c r="C112"/>
  <c r="U60" s="1"/>
  <c r="D112"/>
  <c r="V60" s="1"/>
  <c r="E112"/>
  <c r="W60" s="1"/>
  <c r="F112"/>
  <c r="X60" s="1"/>
  <c r="G112"/>
  <c r="Y60" s="1"/>
  <c r="B111"/>
  <c r="T61" s="1"/>
  <c r="C111"/>
  <c r="U61" s="1"/>
  <c r="D111"/>
  <c r="V61" s="1"/>
  <c r="E111"/>
  <c r="W61" s="1"/>
  <c r="F111"/>
  <c r="X61" s="1"/>
  <c r="G111"/>
  <c r="Y61" s="1"/>
  <c r="T62"/>
  <c r="U62"/>
  <c r="V62"/>
  <c r="W62"/>
  <c r="X62"/>
  <c r="Y62"/>
  <c r="T63"/>
  <c r="U63"/>
  <c r="V63"/>
  <c r="W63"/>
  <c r="X63"/>
  <c r="Y63"/>
  <c r="M82"/>
  <c r="N82" s="1"/>
  <c r="P86"/>
  <c r="L91"/>
  <c r="M91"/>
  <c r="N91"/>
  <c r="O91" s="1"/>
  <c r="B110"/>
  <c r="C110"/>
  <c r="D110"/>
  <c r="E110"/>
  <c r="F110"/>
  <c r="G110"/>
  <c r="B114"/>
  <c r="B118"/>
  <c r="C114"/>
  <c r="C159" s="1"/>
  <c r="D114"/>
  <c r="C179" s="1"/>
  <c r="E114"/>
  <c r="C199" s="1"/>
  <c r="F114"/>
  <c r="C219" s="1"/>
  <c r="G114"/>
  <c r="C239" s="1"/>
  <c r="A123"/>
  <c r="E124"/>
  <c r="F124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202" s="1"/>
  <c r="F203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29" s="1"/>
  <c r="F230" s="1"/>
  <c r="F231" s="1"/>
  <c r="F232" s="1"/>
  <c r="F233" s="1"/>
  <c r="F234" s="1"/>
  <c r="F235" s="1"/>
  <c r="F236" s="1"/>
  <c r="F237" s="1"/>
  <c r="F238" s="1"/>
  <c r="F239" s="1"/>
  <c r="F240" s="1"/>
  <c r="F241" s="1"/>
  <c r="F242" s="1"/>
  <c r="E125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E202" s="1"/>
  <c r="E203" s="1"/>
  <c r="E204" s="1"/>
  <c r="E205" s="1"/>
  <c r="E206" s="1"/>
  <c r="E207" s="1"/>
  <c r="E208" s="1"/>
  <c r="E209" s="1"/>
  <c r="E210" s="1"/>
  <c r="E211" s="1"/>
  <c r="E212" s="1"/>
  <c r="E213" s="1"/>
  <c r="E214" s="1"/>
  <c r="E215" s="1"/>
  <c r="E216" s="1"/>
  <c r="E217" s="1"/>
  <c r="E218" s="1"/>
  <c r="E219" s="1"/>
  <c r="E220" s="1"/>
  <c r="E221" s="1"/>
  <c r="E222" s="1"/>
  <c r="E223" s="1"/>
  <c r="E224" s="1"/>
  <c r="E225" s="1"/>
  <c r="E226" s="1"/>
  <c r="E227" s="1"/>
  <c r="E228" s="1"/>
  <c r="E229" s="1"/>
  <c r="E230" s="1"/>
  <c r="E231" s="1"/>
  <c r="E232" s="1"/>
  <c r="E233" s="1"/>
  <c r="E234" s="1"/>
  <c r="E235" s="1"/>
  <c r="E236" s="1"/>
  <c r="E237" s="1"/>
  <c r="E238" s="1"/>
  <c r="E239" s="1"/>
  <c r="E240" s="1"/>
  <c r="E241" s="1"/>
  <c r="E242" s="1"/>
  <c r="C129"/>
  <c r="C136"/>
  <c r="C139"/>
  <c r="C140"/>
  <c r="C141"/>
  <c r="A143"/>
  <c r="B144"/>
  <c r="C144"/>
  <c r="B145"/>
  <c r="B165" s="1"/>
  <c r="B185" s="1"/>
  <c r="B205" s="1"/>
  <c r="B225" s="1"/>
  <c r="C145"/>
  <c r="B146"/>
  <c r="C146"/>
  <c r="B147"/>
  <c r="B167" s="1"/>
  <c r="B187" s="1"/>
  <c r="B207" s="1"/>
  <c r="B227" s="1"/>
  <c r="C147"/>
  <c r="B148"/>
  <c r="C148"/>
  <c r="B149"/>
  <c r="B169" s="1"/>
  <c r="B189" s="1"/>
  <c r="B209" s="1"/>
  <c r="B229" s="1"/>
  <c r="C149"/>
  <c r="B150"/>
  <c r="B151"/>
  <c r="B171" s="1"/>
  <c r="B191" s="1"/>
  <c r="B211" s="1"/>
  <c r="B231" s="1"/>
  <c r="L111"/>
  <c r="B152"/>
  <c r="B172" s="1"/>
  <c r="B192" s="1"/>
  <c r="B212" s="1"/>
  <c r="B232" s="1"/>
  <c r="C152"/>
  <c r="L112"/>
  <c r="B153"/>
  <c r="B173" s="1"/>
  <c r="B193" s="1"/>
  <c r="B213" s="1"/>
  <c r="B233" s="1"/>
  <c r="L113"/>
  <c r="B154"/>
  <c r="C154"/>
  <c r="L114"/>
  <c r="B155"/>
  <c r="B175" s="1"/>
  <c r="B195" s="1"/>
  <c r="B215" s="1"/>
  <c r="B235" s="1"/>
  <c r="L115"/>
  <c r="B156"/>
  <c r="B176" s="1"/>
  <c r="B196" s="1"/>
  <c r="B216" s="1"/>
  <c r="B236" s="1"/>
  <c r="C156"/>
  <c r="L116"/>
  <c r="B157"/>
  <c r="B177" s="1"/>
  <c r="B197" s="1"/>
  <c r="B217" s="1"/>
  <c r="B237" s="1"/>
  <c r="L117"/>
  <c r="B158"/>
  <c r="C158"/>
  <c r="L118"/>
  <c r="B159"/>
  <c r="B179" s="1"/>
  <c r="B199" s="1"/>
  <c r="B219" s="1"/>
  <c r="B239" s="1"/>
  <c r="L119"/>
  <c r="B160"/>
  <c r="B180" s="1"/>
  <c r="B200" s="1"/>
  <c r="B220" s="1"/>
  <c r="B240" s="1"/>
  <c r="C160"/>
  <c r="L120"/>
  <c r="B161"/>
  <c r="B181" s="1"/>
  <c r="B201" s="1"/>
  <c r="B221" s="1"/>
  <c r="B241" s="1"/>
  <c r="L121"/>
  <c r="B162"/>
  <c r="C162"/>
  <c r="L122"/>
  <c r="A163"/>
  <c r="L123"/>
  <c r="B164"/>
  <c r="B184" s="1"/>
  <c r="B204" s="1"/>
  <c r="B224" s="1"/>
  <c r="L124"/>
  <c r="L125"/>
  <c r="B166"/>
  <c r="B186" s="1"/>
  <c r="B206" s="1"/>
  <c r="B226" s="1"/>
  <c r="L126"/>
  <c r="L127"/>
  <c r="B168"/>
  <c r="B188" s="1"/>
  <c r="B208" s="1"/>
  <c r="B228" s="1"/>
  <c r="L128"/>
  <c r="L129"/>
  <c r="B170"/>
  <c r="B190" s="1"/>
  <c r="B210" s="1"/>
  <c r="B230" s="1"/>
  <c r="L130"/>
  <c r="L131"/>
  <c r="L132"/>
  <c r="L133"/>
  <c r="B174"/>
  <c r="B194" s="1"/>
  <c r="B214" s="1"/>
  <c r="B234" s="1"/>
  <c r="L134"/>
  <c r="L135"/>
  <c r="L136"/>
  <c r="L137"/>
  <c r="B178"/>
  <c r="B198" s="1"/>
  <c r="B218" s="1"/>
  <c r="B238" s="1"/>
  <c r="L138"/>
  <c r="L139"/>
  <c r="L140"/>
  <c r="L141"/>
  <c r="B182"/>
  <c r="B202" s="1"/>
  <c r="B222" s="1"/>
  <c r="B242" s="1"/>
  <c r="L142"/>
  <c r="A183"/>
  <c r="L143"/>
  <c r="L144"/>
  <c r="L145"/>
  <c r="L146"/>
  <c r="L147"/>
  <c r="L148"/>
  <c r="L149"/>
  <c r="C190"/>
  <c r="L150"/>
  <c r="L151"/>
  <c r="L152"/>
  <c r="L153"/>
  <c r="C194"/>
  <c r="L154"/>
  <c r="L155"/>
  <c r="C196"/>
  <c r="L156"/>
  <c r="L157"/>
  <c r="C198"/>
  <c r="L158"/>
  <c r="L159"/>
  <c r="L160"/>
  <c r="L161"/>
  <c r="L162"/>
  <c r="A203"/>
  <c r="L163"/>
  <c r="L164"/>
  <c r="L165"/>
  <c r="L166"/>
  <c r="L167"/>
  <c r="L168"/>
  <c r="L169"/>
  <c r="L170"/>
  <c r="C211"/>
  <c r="L171"/>
  <c r="L172"/>
  <c r="L173"/>
  <c r="L174"/>
  <c r="L175"/>
  <c r="L176"/>
  <c r="L177"/>
  <c r="L178"/>
  <c r="L179"/>
  <c r="L180"/>
  <c r="L181"/>
  <c r="L182"/>
  <c r="A223"/>
  <c r="L183"/>
  <c r="L184"/>
  <c r="L185"/>
  <c r="L186"/>
  <c r="L187"/>
  <c r="L188"/>
  <c r="L189"/>
  <c r="L190"/>
  <c r="L191"/>
  <c r="C232"/>
  <c r="L192"/>
  <c r="L193"/>
  <c r="C234"/>
  <c r="L194"/>
  <c r="L195"/>
  <c r="C236"/>
  <c r="L196"/>
  <c r="L197"/>
  <c r="C238"/>
  <c r="L198"/>
  <c r="L199"/>
  <c r="C240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AR1" i="34"/>
  <c r="BB1"/>
  <c r="V2"/>
  <c r="BL2"/>
  <c r="BV2"/>
  <c r="CF2"/>
  <c r="BD5"/>
  <c r="N53"/>
  <c r="N54"/>
  <c r="N55" s="1"/>
  <c r="N56"/>
  <c r="N57" s="1"/>
  <c r="N58"/>
  <c r="N59" s="1"/>
  <c r="N60"/>
  <c r="N61"/>
  <c r="N63"/>
  <c r="N62" s="1"/>
  <c r="N65"/>
  <c r="N64" s="1"/>
  <c r="N67"/>
  <c r="N66" s="1"/>
  <c r="N68"/>
  <c r="BM5"/>
  <c r="BR5"/>
  <c r="BD6"/>
  <c r="O53"/>
  <c r="O54" s="1"/>
  <c r="O55"/>
  <c r="O56"/>
  <c r="O57" s="1"/>
  <c r="O58" s="1"/>
  <c r="O59"/>
  <c r="O60"/>
  <c r="O61"/>
  <c r="O62"/>
  <c r="O65"/>
  <c r="O64" s="1"/>
  <c r="O63" s="1"/>
  <c r="O66"/>
  <c r="O68"/>
  <c r="O67" s="1"/>
  <c r="BD7"/>
  <c r="Q53"/>
  <c r="Q54" s="1"/>
  <c r="Q55" s="1"/>
  <c r="Q56" s="1"/>
  <c r="Q57"/>
  <c r="Q58"/>
  <c r="Q59"/>
  <c r="Q60"/>
  <c r="Q62"/>
  <c r="Q61"/>
  <c r="Q63"/>
  <c r="Q68"/>
  <c r="Q67" s="1"/>
  <c r="Q66" s="1"/>
  <c r="Q65" s="1"/>
  <c r="Q64"/>
  <c r="BD8"/>
  <c r="U53"/>
  <c r="U54" s="1"/>
  <c r="U68"/>
  <c r="U67" s="1"/>
  <c r="U66" s="1"/>
  <c r="U65" s="1"/>
  <c r="U64" s="1"/>
  <c r="U63" s="1"/>
  <c r="U62" s="1"/>
  <c r="U61" s="1"/>
  <c r="P25"/>
  <c r="BH9" s="1"/>
  <c r="R53"/>
  <c r="R54"/>
  <c r="R55" s="1"/>
  <c r="R56"/>
  <c r="R57"/>
  <c r="R58" s="1"/>
  <c r="R59"/>
  <c r="R60" s="1"/>
  <c r="R62"/>
  <c r="R61" s="1"/>
  <c r="R64"/>
  <c r="R63" s="1"/>
  <c r="R67"/>
  <c r="R66" s="1"/>
  <c r="R65"/>
  <c r="R68"/>
  <c r="R25"/>
  <c r="BH10" s="1"/>
  <c r="V25"/>
  <c r="BH11" s="1"/>
  <c r="S53"/>
  <c r="S54" s="1"/>
  <c r="S55"/>
  <c r="S56"/>
  <c r="S57"/>
  <c r="S58"/>
  <c r="S59" s="1"/>
  <c r="S60" s="1"/>
  <c r="S63"/>
  <c r="S62" s="1"/>
  <c r="S61" s="1"/>
  <c r="S65"/>
  <c r="S64"/>
  <c r="S68"/>
  <c r="S67" s="1"/>
  <c r="S66"/>
  <c r="S25"/>
  <c r="BH12" s="1"/>
  <c r="W25"/>
  <c r="BH13" s="1"/>
  <c r="Y53"/>
  <c r="Y54" s="1"/>
  <c r="Y55" s="1"/>
  <c r="Y56" s="1"/>
  <c r="Y57"/>
  <c r="Y58"/>
  <c r="Y59"/>
  <c r="Y60"/>
  <c r="Y61"/>
  <c r="Y62"/>
  <c r="Y68"/>
  <c r="Y67" s="1"/>
  <c r="Y66" s="1"/>
  <c r="Y65" s="1"/>
  <c r="Y64"/>
  <c r="Y63"/>
  <c r="Y25"/>
  <c r="BH14" s="1"/>
  <c r="B15"/>
  <c r="T53"/>
  <c r="T54"/>
  <c r="T55"/>
  <c r="T56" s="1"/>
  <c r="T57"/>
  <c r="T58" s="1"/>
  <c r="T59" s="1"/>
  <c r="T60"/>
  <c r="T61"/>
  <c r="T64"/>
  <c r="T63" s="1"/>
  <c r="T62" s="1"/>
  <c r="T66"/>
  <c r="T65" s="1"/>
  <c r="T68"/>
  <c r="T67"/>
  <c r="X53"/>
  <c r="X54"/>
  <c r="X55"/>
  <c r="X56" s="1"/>
  <c r="X57" s="1"/>
  <c r="X58"/>
  <c r="X59"/>
  <c r="X60" s="1"/>
  <c r="X62"/>
  <c r="X61" s="1"/>
  <c r="X63"/>
  <c r="X66"/>
  <c r="X65" s="1"/>
  <c r="X64" s="1"/>
  <c r="X67"/>
  <c r="X68"/>
  <c r="Z53"/>
  <c r="Z54"/>
  <c r="Z55" s="1"/>
  <c r="Z56"/>
  <c r="Z57"/>
  <c r="Z58" s="1"/>
  <c r="Z59"/>
  <c r="Z60" s="1"/>
  <c r="Z62"/>
  <c r="Z61" s="1"/>
  <c r="Z64"/>
  <c r="Z63" s="1"/>
  <c r="Z67"/>
  <c r="Z66" s="1"/>
  <c r="Z65"/>
  <c r="Z68"/>
  <c r="AA53"/>
  <c r="AA54" s="1"/>
  <c r="AA55"/>
  <c r="AA56"/>
  <c r="AA57"/>
  <c r="AA58"/>
  <c r="AA59" s="1"/>
  <c r="AA60" s="1"/>
  <c r="AA63"/>
  <c r="AA62" s="1"/>
  <c r="AA61" s="1"/>
  <c r="AA65"/>
  <c r="AA64"/>
  <c r="AA66"/>
  <c r="AA68"/>
  <c r="AA67" s="1"/>
  <c r="AB53"/>
  <c r="AB54"/>
  <c r="AB55"/>
  <c r="AB56" s="1"/>
  <c r="AB57"/>
  <c r="AB58" s="1"/>
  <c r="AB59" s="1"/>
  <c r="AB60"/>
  <c r="AB64"/>
  <c r="AB63" s="1"/>
  <c r="AB62" s="1"/>
  <c r="AB61"/>
  <c r="AB67"/>
  <c r="AB66"/>
  <c r="AB65" s="1"/>
  <c r="AB68"/>
  <c r="AB25"/>
  <c r="BH19" s="1"/>
  <c r="BM20"/>
  <c r="BR20"/>
  <c r="B21"/>
  <c r="B22"/>
  <c r="C21" s="1"/>
  <c r="B23"/>
  <c r="C30" s="1"/>
  <c r="B24"/>
  <c r="C22"/>
  <c r="B25"/>
  <c r="C31" s="1"/>
  <c r="D26" s="1"/>
  <c r="B26"/>
  <c r="C23"/>
  <c r="B27"/>
  <c r="B28"/>
  <c r="C24" s="1"/>
  <c r="B29"/>
  <c r="C33" s="1"/>
  <c r="D27" s="1"/>
  <c r="B30"/>
  <c r="C25"/>
  <c r="B31"/>
  <c r="B32"/>
  <c r="C26" s="1"/>
  <c r="B33"/>
  <c r="B34"/>
  <c r="C27" s="1"/>
  <c r="B35"/>
  <c r="C36" s="1"/>
  <c r="B36"/>
  <c r="C28"/>
  <c r="AK77"/>
  <c r="AK82" s="1"/>
  <c r="AK84" s="1"/>
  <c r="BH21" s="1"/>
  <c r="AK78"/>
  <c r="AK83"/>
  <c r="AK76"/>
  <c r="AK79"/>
  <c r="C29"/>
  <c r="C32"/>
  <c r="C34"/>
  <c r="D35" s="1"/>
  <c r="C35"/>
  <c r="B37"/>
  <c r="P53"/>
  <c r="V53"/>
  <c r="W53"/>
  <c r="W54" s="1"/>
  <c r="P54"/>
  <c r="V54"/>
  <c r="V55" s="1"/>
  <c r="P55"/>
  <c r="P56" s="1"/>
  <c r="P57" s="1"/>
  <c r="W55"/>
  <c r="V56"/>
  <c r="W56"/>
  <c r="W57" s="1"/>
  <c r="W58" s="1"/>
  <c r="V57"/>
  <c r="P58"/>
  <c r="V58"/>
  <c r="P59"/>
  <c r="P60" s="1"/>
  <c r="V59"/>
  <c r="W59"/>
  <c r="V60"/>
  <c r="W60"/>
  <c r="B61"/>
  <c r="F61"/>
  <c r="P62"/>
  <c r="P61" s="1"/>
  <c r="V61"/>
  <c r="W62"/>
  <c r="W61"/>
  <c r="B62"/>
  <c r="F62"/>
  <c r="V63"/>
  <c r="V62" s="1"/>
  <c r="P63"/>
  <c r="W66"/>
  <c r="W65"/>
  <c r="W64" s="1"/>
  <c r="W63" s="1"/>
  <c r="B64"/>
  <c r="G64"/>
  <c r="H64"/>
  <c r="P66"/>
  <c r="P65" s="1"/>
  <c r="P64" s="1"/>
  <c r="V65"/>
  <c r="V64" s="1"/>
  <c r="B65"/>
  <c r="G65"/>
  <c r="H65"/>
  <c r="V68"/>
  <c r="V67"/>
  <c r="V66" s="1"/>
  <c r="B67"/>
  <c r="F67"/>
  <c r="P67"/>
  <c r="W68"/>
  <c r="W67" s="1"/>
  <c r="B68"/>
  <c r="F68"/>
  <c r="P68"/>
  <c r="B70"/>
  <c r="G70"/>
  <c r="H70"/>
  <c r="B71"/>
  <c r="G71"/>
  <c r="H71"/>
  <c r="F73"/>
  <c r="F74"/>
  <c r="G76"/>
  <c r="H76"/>
  <c r="G77"/>
  <c r="H77"/>
  <c r="F81"/>
  <c r="F82"/>
  <c r="G84"/>
  <c r="H84"/>
  <c r="G85"/>
  <c r="H85"/>
  <c r="AK86"/>
  <c r="F87"/>
  <c r="F88"/>
  <c r="G90"/>
  <c r="H90"/>
  <c r="G91"/>
  <c r="H91"/>
  <c r="F93"/>
  <c r="F94"/>
  <c r="G96"/>
  <c r="H96"/>
  <c r="G97"/>
  <c r="H97"/>
  <c r="A102"/>
  <c r="B102"/>
  <c r="D102"/>
  <c r="E102"/>
  <c r="G102"/>
  <c r="H102"/>
  <c r="J102"/>
  <c r="K102"/>
  <c r="A103"/>
  <c r="B103"/>
  <c r="D103"/>
  <c r="E103"/>
  <c r="G103"/>
  <c r="H103"/>
  <c r="J103"/>
  <c r="K103"/>
  <c r="A104"/>
  <c r="B104"/>
  <c r="D104"/>
  <c r="E104"/>
  <c r="G104"/>
  <c r="H104"/>
  <c r="J104"/>
  <c r="K104"/>
  <c r="A105"/>
  <c r="B105"/>
  <c r="D105"/>
  <c r="E105"/>
  <c r="G105"/>
  <c r="H105"/>
  <c r="J105"/>
  <c r="K105"/>
  <c r="A106"/>
  <c r="B106"/>
  <c r="D106"/>
  <c r="E106"/>
  <c r="G106"/>
  <c r="H106"/>
  <c r="J106"/>
  <c r="K106"/>
  <c r="A107"/>
  <c r="B107"/>
  <c r="D107"/>
  <c r="E107"/>
  <c r="G107"/>
  <c r="H107"/>
  <c r="J107"/>
  <c r="K107"/>
  <c r="A108"/>
  <c r="B108"/>
  <c r="D108"/>
  <c r="E108"/>
  <c r="G108"/>
  <c r="H108"/>
  <c r="J108"/>
  <c r="K108"/>
  <c r="A109"/>
  <c r="B109"/>
  <c r="D109"/>
  <c r="E109"/>
  <c r="G109"/>
  <c r="H109"/>
  <c r="J109"/>
  <c r="K109"/>
  <c r="A110"/>
  <c r="B110"/>
  <c r="D110"/>
  <c r="E110"/>
  <c r="G110"/>
  <c r="H110"/>
  <c r="J110"/>
  <c r="K110"/>
  <c r="B114"/>
  <c r="C114"/>
  <c r="F114"/>
  <c r="G114"/>
  <c r="J114"/>
  <c r="K114"/>
  <c r="B115"/>
  <c r="C115"/>
  <c r="F115"/>
  <c r="G115"/>
  <c r="J115"/>
  <c r="K115"/>
  <c r="B116"/>
  <c r="C116"/>
  <c r="F116"/>
  <c r="G116"/>
  <c r="J116"/>
  <c r="K116"/>
  <c r="B117"/>
  <c r="C117"/>
  <c r="F117"/>
  <c r="G117"/>
  <c r="J117"/>
  <c r="K117"/>
  <c r="B118"/>
  <c r="C118"/>
  <c r="F118"/>
  <c r="G118"/>
  <c r="J118"/>
  <c r="K118"/>
  <c r="B119"/>
  <c r="C119"/>
  <c r="F119"/>
  <c r="G119"/>
  <c r="J119"/>
  <c r="K119"/>
  <c r="B120"/>
  <c r="C120"/>
  <c r="F120"/>
  <c r="G120"/>
  <c r="J120"/>
  <c r="K120"/>
  <c r="B121"/>
  <c r="C121"/>
  <c r="F121"/>
  <c r="G121"/>
  <c r="J121"/>
  <c r="K121"/>
  <c r="B123"/>
  <c r="C123"/>
  <c r="F123"/>
  <c r="G123"/>
  <c r="J123"/>
  <c r="K123"/>
  <c r="B124"/>
  <c r="C124"/>
  <c r="F124"/>
  <c r="G124"/>
  <c r="J124"/>
  <c r="K124"/>
  <c r="B128"/>
  <c r="C128"/>
  <c r="F128"/>
  <c r="G128"/>
  <c r="J128"/>
  <c r="K128"/>
  <c r="B129"/>
  <c r="C129"/>
  <c r="F129"/>
  <c r="G129"/>
  <c r="J129"/>
  <c r="K129"/>
  <c r="B130"/>
  <c r="C130"/>
  <c r="F130"/>
  <c r="G130"/>
  <c r="J130"/>
  <c r="K130"/>
  <c r="B131"/>
  <c r="C131"/>
  <c r="F131"/>
  <c r="G131"/>
  <c r="J131"/>
  <c r="K131"/>
  <c r="B132"/>
  <c r="C132"/>
  <c r="F132"/>
  <c r="G132"/>
  <c r="J132"/>
  <c r="K132"/>
  <c r="B133"/>
  <c r="C133"/>
  <c r="F133"/>
  <c r="G133"/>
  <c r="J133"/>
  <c r="K133"/>
  <c r="B134"/>
  <c r="C134"/>
  <c r="F134"/>
  <c r="G134"/>
  <c r="J134"/>
  <c r="K134"/>
  <c r="B135"/>
  <c r="C135"/>
  <c r="F135"/>
  <c r="G135"/>
  <c r="J135"/>
  <c r="K135"/>
  <c r="B137"/>
  <c r="C137"/>
  <c r="F137"/>
  <c r="G137"/>
  <c r="J137"/>
  <c r="K137"/>
  <c r="B138"/>
  <c r="C138"/>
  <c r="F138"/>
  <c r="G138"/>
  <c r="J138"/>
  <c r="K138"/>
  <c r="N1" i="33"/>
  <c r="N2" s="1"/>
  <c r="N3" s="1"/>
  <c r="X2"/>
  <c r="AH2"/>
  <c r="AQ3"/>
  <c r="BA3"/>
  <c r="AQ5"/>
  <c r="B18"/>
  <c r="AQ20"/>
  <c r="B23"/>
  <c r="C27" s="1"/>
  <c r="B24"/>
  <c r="C23"/>
  <c r="B26"/>
  <c r="B25"/>
  <c r="C24" s="1"/>
  <c r="B30"/>
  <c r="B29"/>
  <c r="C26" s="1"/>
  <c r="B28"/>
  <c r="B27"/>
  <c r="C25"/>
  <c r="C29"/>
  <c r="C28"/>
  <c r="M53"/>
  <c r="M54"/>
  <c r="M55" s="1"/>
  <c r="M56"/>
  <c r="M57" s="1"/>
  <c r="M58"/>
  <c r="M59" s="1"/>
  <c r="M60"/>
  <c r="M61"/>
  <c r="M63"/>
  <c r="M62" s="1"/>
  <c r="M65"/>
  <c r="M64" s="1"/>
  <c r="M67"/>
  <c r="M66" s="1"/>
  <c r="M68"/>
  <c r="N53"/>
  <c r="N54" s="1"/>
  <c r="N55"/>
  <c r="N56"/>
  <c r="N57"/>
  <c r="N58" s="1"/>
  <c r="N59"/>
  <c r="N60"/>
  <c r="N61"/>
  <c r="N62"/>
  <c r="N65"/>
  <c r="N64" s="1"/>
  <c r="N63" s="1"/>
  <c r="N66"/>
  <c r="N68"/>
  <c r="N67" s="1"/>
  <c r="O29"/>
  <c r="P53"/>
  <c r="P54" s="1"/>
  <c r="P57"/>
  <c r="P58"/>
  <c r="P59"/>
  <c r="P60"/>
  <c r="P61"/>
  <c r="P62"/>
  <c r="P63"/>
  <c r="P64"/>
  <c r="P68"/>
  <c r="P67" s="1"/>
  <c r="P66" s="1"/>
  <c r="P65" s="1"/>
  <c r="Q29"/>
  <c r="R29"/>
  <c r="S53"/>
  <c r="S54"/>
  <c r="S55"/>
  <c r="S56"/>
  <c r="S57"/>
  <c r="S58"/>
  <c r="S59" s="1"/>
  <c r="S60"/>
  <c r="S61"/>
  <c r="S64"/>
  <c r="S63" s="1"/>
  <c r="S62" s="1"/>
  <c r="S66"/>
  <c r="S65" s="1"/>
  <c r="S67"/>
  <c r="S68"/>
  <c r="T99"/>
  <c r="T100" s="1"/>
  <c r="T101" s="1"/>
  <c r="T102" s="1"/>
  <c r="T103" s="1"/>
  <c r="T104" s="1"/>
  <c r="T105" s="1"/>
  <c r="T106" s="1"/>
  <c r="T107" s="1"/>
  <c r="T108" s="1"/>
  <c r="T109" s="1"/>
  <c r="T110" s="1"/>
  <c r="T111" s="1"/>
  <c r="T112" s="1"/>
  <c r="T113" s="1"/>
  <c r="U99"/>
  <c r="U100"/>
  <c r="U101" s="1"/>
  <c r="V99"/>
  <c r="V100" s="1"/>
  <c r="V101" s="1"/>
  <c r="V102" s="1"/>
  <c r="V103" s="1"/>
  <c r="V104" s="1"/>
  <c r="V105" s="1"/>
  <c r="V106" s="1"/>
  <c r="V107" s="1"/>
  <c r="V108" s="1"/>
  <c r="V109" s="1"/>
  <c r="V110" s="1"/>
  <c r="V111" s="1"/>
  <c r="V112" s="1"/>
  <c r="V113" s="1"/>
  <c r="W99"/>
  <c r="W100" s="1"/>
  <c r="W101" s="1"/>
  <c r="X99"/>
  <c r="X100" s="1"/>
  <c r="X101" s="1"/>
  <c r="X102" s="1"/>
  <c r="X103" s="1"/>
  <c r="X104" s="1"/>
  <c r="X105" s="1"/>
  <c r="X106" s="1"/>
  <c r="X107" s="1"/>
  <c r="X108" s="1"/>
  <c r="X109" s="1"/>
  <c r="X110" s="1"/>
  <c r="X111" s="1"/>
  <c r="X112" s="1"/>
  <c r="X113" s="1"/>
  <c r="Y99"/>
  <c r="Y100" s="1"/>
  <c r="Y101" s="1"/>
  <c r="Z99"/>
  <c r="Z100" s="1"/>
  <c r="Z101" s="1"/>
  <c r="Z102" s="1"/>
  <c r="Z103" s="1"/>
  <c r="Z104" s="1"/>
  <c r="Z105" s="1"/>
  <c r="Z106" s="1"/>
  <c r="Z107" s="1"/>
  <c r="Z108" s="1"/>
  <c r="Z109" s="1"/>
  <c r="Z110" s="1"/>
  <c r="Z111" s="1"/>
  <c r="Z112" s="1"/>
  <c r="Z113" s="1"/>
  <c r="P74"/>
  <c r="P76" s="1"/>
  <c r="P77"/>
  <c r="P75"/>
  <c r="P78"/>
  <c r="O99"/>
  <c r="R99"/>
  <c r="R100" s="1"/>
  <c r="O100"/>
  <c r="N100"/>
  <c r="N101" s="1"/>
  <c r="N102" s="1"/>
  <c r="N103" s="1"/>
  <c r="N104" s="1"/>
  <c r="N105" s="1"/>
  <c r="N106" s="1"/>
  <c r="N107" s="1"/>
  <c r="O101"/>
  <c r="O102" s="1"/>
  <c r="O103" s="1"/>
  <c r="O104" s="1"/>
  <c r="O105" s="1"/>
  <c r="O106" s="1"/>
  <c r="O107" s="1"/>
  <c r="AQ35"/>
  <c r="Y39"/>
  <c r="Y40"/>
  <c r="Y41"/>
  <c r="AC42"/>
  <c r="AC43"/>
  <c r="AC44"/>
  <c r="AB46"/>
  <c r="O53"/>
  <c r="Q53"/>
  <c r="R53"/>
  <c r="B54"/>
  <c r="O54"/>
  <c r="Q54"/>
  <c r="R54"/>
  <c r="B55"/>
  <c r="O55"/>
  <c r="O56" s="1"/>
  <c r="O57" s="1"/>
  <c r="Q55"/>
  <c r="R55"/>
  <c r="Q56"/>
  <c r="R56"/>
  <c r="B57"/>
  <c r="Q57"/>
  <c r="R57"/>
  <c r="B58"/>
  <c r="O58"/>
  <c r="Q58"/>
  <c r="R58"/>
  <c r="R59" s="1"/>
  <c r="R60" s="1"/>
  <c r="O59"/>
  <c r="O60" s="1"/>
  <c r="Q59"/>
  <c r="Q60" s="1"/>
  <c r="B60"/>
  <c r="B61"/>
  <c r="O62"/>
  <c r="O61"/>
  <c r="Q62"/>
  <c r="Q61"/>
  <c r="R63"/>
  <c r="R62"/>
  <c r="R61" s="1"/>
  <c r="C63"/>
  <c r="C110" s="1"/>
  <c r="D63"/>
  <c r="H63"/>
  <c r="I63"/>
  <c r="O63"/>
  <c r="Q64"/>
  <c r="Q63" s="1"/>
  <c r="C64"/>
  <c r="D64"/>
  <c r="H64"/>
  <c r="I64"/>
  <c r="O66"/>
  <c r="O65" s="1"/>
  <c r="O64" s="1"/>
  <c r="R64"/>
  <c r="Q65"/>
  <c r="R65"/>
  <c r="B66"/>
  <c r="Q67"/>
  <c r="Q66" s="1"/>
  <c r="R66"/>
  <c r="B67"/>
  <c r="O67"/>
  <c r="R68"/>
  <c r="R67" s="1"/>
  <c r="O68"/>
  <c r="Q68"/>
  <c r="B69"/>
  <c r="B70"/>
  <c r="C72"/>
  <c r="D72"/>
  <c r="H72"/>
  <c r="I72"/>
  <c r="C73"/>
  <c r="D73"/>
  <c r="H73"/>
  <c r="I73"/>
  <c r="B75"/>
  <c r="B76"/>
  <c r="C78"/>
  <c r="D78"/>
  <c r="H78"/>
  <c r="I78"/>
  <c r="C79"/>
  <c r="D79"/>
  <c r="H79"/>
  <c r="I79"/>
  <c r="B81"/>
  <c r="B82"/>
  <c r="E83"/>
  <c r="F83"/>
  <c r="I83"/>
  <c r="J83"/>
  <c r="E84"/>
  <c r="F84"/>
  <c r="I84"/>
  <c r="J84"/>
  <c r="Q88"/>
  <c r="B89"/>
  <c r="C89"/>
  <c r="E89"/>
  <c r="F89"/>
  <c r="H89"/>
  <c r="I89"/>
  <c r="Q89"/>
  <c r="B90"/>
  <c r="B97" s="1"/>
  <c r="C90"/>
  <c r="E90"/>
  <c r="E97" s="1"/>
  <c r="F90"/>
  <c r="H90"/>
  <c r="H97" s="1"/>
  <c r="I90"/>
  <c r="Q90"/>
  <c r="B91"/>
  <c r="C91"/>
  <c r="E91"/>
  <c r="F91"/>
  <c r="H91"/>
  <c r="I91"/>
  <c r="Q91"/>
  <c r="B92"/>
  <c r="C92"/>
  <c r="E92"/>
  <c r="F92"/>
  <c r="H92"/>
  <c r="I92"/>
  <c r="Q92"/>
  <c r="B93"/>
  <c r="C93"/>
  <c r="E93"/>
  <c r="F93"/>
  <c r="H93"/>
  <c r="I93"/>
  <c r="Q93"/>
  <c r="B94"/>
  <c r="C94"/>
  <c r="E94"/>
  <c r="F94"/>
  <c r="H94"/>
  <c r="I94"/>
  <c r="Q94"/>
  <c r="B95"/>
  <c r="C95"/>
  <c r="E95"/>
  <c r="F95"/>
  <c r="H95"/>
  <c r="I95"/>
  <c r="B96"/>
  <c r="C96"/>
  <c r="E96"/>
  <c r="F96"/>
  <c r="H96"/>
  <c r="I96"/>
  <c r="C97"/>
  <c r="F97"/>
  <c r="I97"/>
  <c r="C101"/>
  <c r="D101"/>
  <c r="G101"/>
  <c r="H101"/>
  <c r="K101"/>
  <c r="L101"/>
  <c r="C102"/>
  <c r="D102"/>
  <c r="G102"/>
  <c r="G110" s="1"/>
  <c r="H102"/>
  <c r="K102"/>
  <c r="K110" s="1"/>
  <c r="L102"/>
  <c r="C103"/>
  <c r="D103"/>
  <c r="G103"/>
  <c r="H103"/>
  <c r="K103"/>
  <c r="L103"/>
  <c r="C104"/>
  <c r="D104"/>
  <c r="G104"/>
  <c r="H104"/>
  <c r="K104"/>
  <c r="L104"/>
  <c r="C105"/>
  <c r="D105"/>
  <c r="G105"/>
  <c r="H105"/>
  <c r="K105"/>
  <c r="L105"/>
  <c r="C106"/>
  <c r="D106"/>
  <c r="G106"/>
  <c r="H106"/>
  <c r="K106"/>
  <c r="L106"/>
  <c r="C107"/>
  <c r="D107"/>
  <c r="G107"/>
  <c r="H107"/>
  <c r="K107"/>
  <c r="L107"/>
  <c r="C108"/>
  <c r="D108"/>
  <c r="G108"/>
  <c r="H108"/>
  <c r="K108"/>
  <c r="L108"/>
  <c r="D110"/>
  <c r="H110"/>
  <c r="L110"/>
  <c r="C111"/>
  <c r="D111"/>
  <c r="G111"/>
  <c r="H111"/>
  <c r="K111"/>
  <c r="L111"/>
  <c r="C8" i="31"/>
  <c r="C9"/>
  <c r="C14" s="1"/>
  <c r="C13"/>
  <c r="C10"/>
  <c r="C15"/>
  <c r="C17"/>
  <c r="E3"/>
  <c r="F4"/>
  <c r="F28"/>
  <c r="F27"/>
  <c r="F29"/>
  <c r="F30" s="1"/>
  <c r="C24"/>
  <c r="D24" s="1"/>
  <c r="C33"/>
  <c r="F33" s="1"/>
  <c r="B34"/>
  <c r="C34"/>
  <c r="B35"/>
  <c r="C35"/>
  <c r="B36"/>
  <c r="C36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46"/>
  <c r="C46"/>
  <c r="B47"/>
  <c r="C47"/>
  <c r="B48"/>
  <c r="C48"/>
  <c r="B49"/>
  <c r="C49"/>
  <c r="B50"/>
  <c r="C50"/>
  <c r="B51"/>
  <c r="C51"/>
  <c r="B52"/>
  <c r="C52"/>
  <c r="B53"/>
  <c r="C53"/>
  <c r="B54"/>
  <c r="C54"/>
  <c r="B55"/>
  <c r="C55"/>
  <c r="B56"/>
  <c r="C56"/>
  <c r="B57"/>
  <c r="C57"/>
  <c r="B58"/>
  <c r="C58"/>
  <c r="B59"/>
  <c r="C59"/>
  <c r="B60"/>
  <c r="C60"/>
  <c r="B61"/>
  <c r="C61"/>
  <c r="B62"/>
  <c r="C62"/>
  <c r="B63"/>
  <c r="C63"/>
  <c r="B64"/>
  <c r="C64"/>
  <c r="B65"/>
  <c r="C65"/>
  <c r="B66"/>
  <c r="C66"/>
  <c r="B67"/>
  <c r="C67"/>
  <c r="B68"/>
  <c r="C68"/>
  <c r="B69"/>
  <c r="C69"/>
  <c r="B70"/>
  <c r="C70"/>
  <c r="B71"/>
  <c r="C71"/>
  <c r="B72"/>
  <c r="C72"/>
  <c r="B73"/>
  <c r="C73"/>
  <c r="B74"/>
  <c r="C74"/>
  <c r="B75"/>
  <c r="C75"/>
  <c r="B76"/>
  <c r="C76"/>
  <c r="B77"/>
  <c r="C77"/>
  <c r="B78"/>
  <c r="C78"/>
  <c r="B79"/>
  <c r="C79"/>
  <c r="B80"/>
  <c r="C80"/>
  <c r="B81"/>
  <c r="C81"/>
  <c r="B82"/>
  <c r="C82"/>
  <c r="B83"/>
  <c r="C83"/>
  <c r="B84"/>
  <c r="C84"/>
  <c r="B85"/>
  <c r="C85"/>
  <c r="B86"/>
  <c r="C86"/>
  <c r="B87"/>
  <c r="C87"/>
  <c r="B88"/>
  <c r="C88"/>
  <c r="B89"/>
  <c r="C89"/>
  <c r="B90"/>
  <c r="C90"/>
  <c r="B91"/>
  <c r="C91"/>
  <c r="B92"/>
  <c r="C92"/>
  <c r="B93"/>
  <c r="C93"/>
  <c r="B94"/>
  <c r="C94"/>
  <c r="B95"/>
  <c r="C95"/>
  <c r="B96"/>
  <c r="C96"/>
  <c r="B97"/>
  <c r="C97"/>
  <c r="B98"/>
  <c r="C98"/>
  <c r="B99"/>
  <c r="C99"/>
  <c r="B100"/>
  <c r="C100"/>
  <c r="B101"/>
  <c r="C101"/>
  <c r="B102"/>
  <c r="C102"/>
  <c r="B103"/>
  <c r="C103"/>
  <c r="B104"/>
  <c r="C104"/>
  <c r="B105"/>
  <c r="C105"/>
  <c r="B106"/>
  <c r="C106"/>
  <c r="B107"/>
  <c r="C107"/>
  <c r="B108"/>
  <c r="C108"/>
  <c r="B109"/>
  <c r="C109"/>
  <c r="B110"/>
  <c r="C110"/>
  <c r="B111"/>
  <c r="C111"/>
  <c r="B112"/>
  <c r="C112"/>
  <c r="B113"/>
  <c r="C113"/>
  <c r="B114"/>
  <c r="C114"/>
  <c r="B115"/>
  <c r="C115"/>
  <c r="B116"/>
  <c r="C116"/>
  <c r="B117"/>
  <c r="C117"/>
  <c r="B118"/>
  <c r="C118"/>
  <c r="B119"/>
  <c r="C119"/>
  <c r="B120"/>
  <c r="C120"/>
  <c r="C121" s="1"/>
  <c r="C122" s="1"/>
  <c r="C123" s="1"/>
  <c r="C124" s="1"/>
  <c r="C125" s="1"/>
  <c r="C126" s="1"/>
  <c r="C127" s="1"/>
  <c r="C128" s="1"/>
  <c r="C129" s="1"/>
  <c r="C130" s="1"/>
  <c r="C131" s="1"/>
  <c r="C132" s="1"/>
  <c r="B121"/>
  <c r="B122"/>
  <c r="B123"/>
  <c r="B124"/>
  <c r="B125"/>
  <c r="B126"/>
  <c r="B127"/>
  <c r="B128"/>
  <c r="B129"/>
  <c r="B130"/>
  <c r="B131"/>
  <c r="B132"/>
  <c r="A1" i="30"/>
  <c r="X1"/>
  <c r="Y2"/>
  <c r="B18"/>
  <c r="C18"/>
  <c r="AB3"/>
  <c r="AB4"/>
  <c r="AB5"/>
  <c r="E26"/>
  <c r="F26"/>
  <c r="G26"/>
  <c r="H26"/>
  <c r="I26"/>
  <c r="J26"/>
  <c r="K26"/>
  <c r="O26"/>
  <c r="P26"/>
  <c r="Q26"/>
  <c r="R26"/>
  <c r="S26"/>
  <c r="T26"/>
  <c r="U26"/>
  <c r="E44"/>
  <c r="F44"/>
  <c r="G44"/>
  <c r="H44"/>
  <c r="I44"/>
  <c r="J44"/>
  <c r="K44"/>
  <c r="O44"/>
  <c r="P44"/>
  <c r="Q44"/>
  <c r="R44"/>
  <c r="S44"/>
  <c r="T44"/>
  <c r="U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A1" i="29"/>
  <c r="C10"/>
  <c r="F7" s="1"/>
  <c r="F10"/>
  <c r="H8" s="1"/>
  <c r="E18" s="1"/>
  <c r="E19" s="1"/>
  <c r="E20" s="1"/>
  <c r="E21" s="1"/>
  <c r="E22" s="1"/>
  <c r="E23" s="1"/>
  <c r="E24" s="1"/>
  <c r="E25" s="1"/>
  <c r="E26" s="1"/>
  <c r="E27" s="1"/>
  <c r="E28" s="1"/>
  <c r="H10"/>
  <c r="G18" s="1"/>
  <c r="G19" s="1"/>
  <c r="G20" s="1"/>
  <c r="G21" s="1"/>
  <c r="G22" s="1"/>
  <c r="B11"/>
  <c r="F11"/>
  <c r="B12"/>
  <c r="B13"/>
  <c r="H22"/>
  <c r="G23"/>
  <c r="G24" s="1"/>
  <c r="G29" s="1"/>
  <c r="H23"/>
  <c r="H24"/>
  <c r="H25"/>
  <c r="H26"/>
  <c r="H27"/>
  <c r="M27"/>
  <c r="N27" s="1"/>
  <c r="H28"/>
  <c r="H31"/>
  <c r="A1" i="28"/>
  <c r="V1"/>
  <c r="V2"/>
  <c r="Y4"/>
  <c r="Y5"/>
  <c r="B14"/>
  <c r="B18" s="1"/>
  <c r="C14"/>
  <c r="F8" s="1"/>
  <c r="F11" s="1"/>
  <c r="F13"/>
  <c r="B17"/>
  <c r="N24"/>
  <c r="O24" s="1"/>
  <c r="N25"/>
  <c r="O25" s="1"/>
  <c r="N26"/>
  <c r="O26" s="1"/>
  <c r="B4" i="27"/>
  <c r="D2"/>
  <c r="E2"/>
  <c r="K12" i="25"/>
  <c r="E12" s="1"/>
  <c r="C15"/>
  <c r="F15" s="1"/>
  <c r="F16" s="1"/>
  <c r="C16"/>
  <c r="C17"/>
  <c r="C18"/>
  <c r="C19"/>
  <c r="C21"/>
  <c r="C22"/>
  <c r="C23"/>
  <c r="C24"/>
  <c r="C25"/>
  <c r="C26"/>
  <c r="C27"/>
  <c r="C28"/>
  <c r="C29"/>
  <c r="C30"/>
  <c r="C31"/>
  <c r="C32"/>
  <c r="C33"/>
  <c r="C34"/>
  <c r="F22"/>
  <c r="F23"/>
  <c r="F24" s="1"/>
  <c r="J32"/>
  <c r="J31"/>
  <c r="J29"/>
  <c r="F30" s="1"/>
  <c r="F29" s="1"/>
  <c r="F32" s="1"/>
  <c r="J30"/>
  <c r="C13" i="24"/>
  <c r="C11" s="1"/>
  <c r="C15" s="1"/>
  <c r="C5" i="23"/>
  <c r="C6" s="1"/>
  <c r="B6" i="22"/>
  <c r="C6"/>
  <c r="B7"/>
  <c r="C7"/>
  <c r="B8"/>
  <c r="C8"/>
  <c r="B9"/>
  <c r="C9"/>
  <c r="B10"/>
  <c r="C10"/>
  <c r="A11"/>
  <c r="B11"/>
  <c r="C11" s="1"/>
  <c r="A12"/>
  <c r="B12" s="1"/>
  <c r="C12" s="1"/>
  <c r="I21"/>
  <c r="A29"/>
  <c r="B29" s="1"/>
  <c r="C29"/>
  <c r="D6" i="21"/>
  <c r="H6"/>
  <c r="D7"/>
  <c r="H7"/>
  <c r="F24"/>
  <c r="D25"/>
  <c r="D5" i="20"/>
  <c r="F5"/>
  <c r="E5"/>
  <c r="G5"/>
  <c r="H5"/>
  <c r="I5"/>
  <c r="J5"/>
  <c r="K5"/>
  <c r="L5"/>
  <c r="C6"/>
  <c r="F6"/>
  <c r="E6"/>
  <c r="G6"/>
  <c r="H6"/>
  <c r="I6"/>
  <c r="J6"/>
  <c r="K6"/>
  <c r="L6"/>
  <c r="C7"/>
  <c r="D7"/>
  <c r="F7"/>
  <c r="G7"/>
  <c r="H7"/>
  <c r="I7"/>
  <c r="J7"/>
  <c r="K7"/>
  <c r="L7"/>
  <c r="C8"/>
  <c r="D8"/>
  <c r="E8"/>
  <c r="G8"/>
  <c r="H8"/>
  <c r="I8"/>
  <c r="J8"/>
  <c r="K8"/>
  <c r="L8"/>
  <c r="C9"/>
  <c r="D9"/>
  <c r="E9"/>
  <c r="F9"/>
  <c r="H9"/>
  <c r="I9"/>
  <c r="J9"/>
  <c r="K9"/>
  <c r="L9"/>
  <c r="C10"/>
  <c r="D10"/>
  <c r="E10"/>
  <c r="F10"/>
  <c r="G10"/>
  <c r="I10"/>
  <c r="J10"/>
  <c r="K10"/>
  <c r="L10"/>
  <c r="C11"/>
  <c r="D11"/>
  <c r="E11"/>
  <c r="F11"/>
  <c r="G11"/>
  <c r="H11"/>
  <c r="J11"/>
  <c r="K11"/>
  <c r="L11"/>
  <c r="C12"/>
  <c r="D12"/>
  <c r="E12"/>
  <c r="F12"/>
  <c r="G12"/>
  <c r="H12"/>
  <c r="I12"/>
  <c r="K12"/>
  <c r="L12"/>
  <c r="C13"/>
  <c r="D13"/>
  <c r="E13"/>
  <c r="F13"/>
  <c r="G13"/>
  <c r="H13"/>
  <c r="I13"/>
  <c r="J13"/>
  <c r="L13"/>
  <c r="C14"/>
  <c r="D14"/>
  <c r="E14"/>
  <c r="F14"/>
  <c r="G14"/>
  <c r="H14"/>
  <c r="I14"/>
  <c r="J14"/>
  <c r="K14"/>
  <c r="K18"/>
  <c r="L18"/>
  <c r="M18"/>
  <c r="M20"/>
  <c r="M22"/>
  <c r="U50"/>
  <c r="T50" s="1"/>
  <c r="S50" s="1"/>
  <c r="R50" s="1"/>
  <c r="Y50" s="1"/>
  <c r="V50"/>
  <c r="W50" s="1"/>
  <c r="AE50"/>
  <c r="AD50"/>
  <c r="AC50" s="1"/>
  <c r="AB50" s="1"/>
  <c r="AI50" s="1"/>
  <c r="AF50"/>
  <c r="AG50"/>
  <c r="U55"/>
  <c r="T55" s="1"/>
  <c r="S55" s="1"/>
  <c r="R55" s="1"/>
  <c r="Y55" s="1"/>
  <c r="V55"/>
  <c r="W55" s="1"/>
  <c r="AE55"/>
  <c r="AD55"/>
  <c r="AC55" s="1"/>
  <c r="AB55" s="1"/>
  <c r="AI55" s="1"/>
  <c r="AF55"/>
  <c r="AG55"/>
  <c r="U58"/>
  <c r="T58" s="1"/>
  <c r="S58" s="1"/>
  <c r="R58" s="1"/>
  <c r="Y58" s="1"/>
  <c r="V58"/>
  <c r="W58" s="1"/>
  <c r="C7" i="19"/>
  <c r="D7"/>
  <c r="C8"/>
  <c r="D8"/>
  <c r="C9"/>
  <c r="D9"/>
  <c r="C10"/>
  <c r="D10"/>
  <c r="C11"/>
  <c r="D11"/>
  <c r="C12"/>
  <c r="D12"/>
  <c r="C13"/>
  <c r="D13"/>
  <c r="C14"/>
  <c r="D14"/>
  <c r="C15"/>
  <c r="D15"/>
  <c r="C16"/>
  <c r="D16"/>
  <c r="E18"/>
  <c r="D19"/>
  <c r="E19"/>
  <c r="E20"/>
  <c r="E21"/>
  <c r="D5" i="18"/>
  <c r="C7" s="1"/>
  <c r="D7"/>
  <c r="D8"/>
  <c r="D9"/>
  <c r="D10"/>
  <c r="D11"/>
  <c r="D12"/>
  <c r="D13"/>
  <c r="D14"/>
  <c r="D15"/>
  <c r="D16"/>
  <c r="D17"/>
  <c r="D18"/>
  <c r="D19"/>
  <c r="D20"/>
  <c r="D21"/>
  <c r="D22"/>
  <c r="G3" i="17"/>
  <c r="B7"/>
  <c r="J27" s="1"/>
  <c r="E2" i="16"/>
  <c r="C2"/>
  <c r="B2" s="1"/>
  <c r="D2" s="1"/>
  <c r="J2"/>
  <c r="E3"/>
  <c r="C3" s="1"/>
  <c r="B3" s="1"/>
  <c r="D3" s="1"/>
  <c r="J3"/>
  <c r="E4"/>
  <c r="C4"/>
  <c r="B4" s="1"/>
  <c r="D4" s="1"/>
  <c r="E5"/>
  <c r="C5"/>
  <c r="B5" s="1"/>
  <c r="D5" s="1"/>
  <c r="E6"/>
  <c r="C6"/>
  <c r="B6" s="1"/>
  <c r="D6" s="1"/>
  <c r="E7"/>
  <c r="C7"/>
  <c r="B7" s="1"/>
  <c r="D7" s="1"/>
  <c r="E8"/>
  <c r="C8"/>
  <c r="B8" s="1"/>
  <c r="D8" s="1"/>
  <c r="E9"/>
  <c r="C9"/>
  <c r="B9" s="1"/>
  <c r="D9" s="1"/>
  <c r="E10"/>
  <c r="C10"/>
  <c r="B10" s="1"/>
  <c r="D10" s="1"/>
  <c r="E11"/>
  <c r="C11"/>
  <c r="B11" s="1"/>
  <c r="D11" s="1"/>
  <c r="E12"/>
  <c r="C12"/>
  <c r="B12" s="1"/>
  <c r="D12" s="1"/>
  <c r="E13"/>
  <c r="C13"/>
  <c r="B13" s="1"/>
  <c r="D13" s="1"/>
  <c r="E14"/>
  <c r="C14"/>
  <c r="B14" s="1"/>
  <c r="D14" s="1"/>
  <c r="E15"/>
  <c r="C15"/>
  <c r="B15" s="1"/>
  <c r="D15" s="1"/>
  <c r="E16"/>
  <c r="C16"/>
  <c r="B16" s="1"/>
  <c r="D16" s="1"/>
  <c r="E17"/>
  <c r="C17"/>
  <c r="B17" s="1"/>
  <c r="D17" s="1"/>
  <c r="E18"/>
  <c r="C18"/>
  <c r="B18" s="1"/>
  <c r="D18" s="1"/>
  <c r="E19"/>
  <c r="C19"/>
  <c r="B19" s="1"/>
  <c r="D19" s="1"/>
  <c r="E20"/>
  <c r="C20"/>
  <c r="B20" s="1"/>
  <c r="D20" s="1"/>
  <c r="E21"/>
  <c r="C21"/>
  <c r="B21" s="1"/>
  <c r="D21" s="1"/>
  <c r="Q6" i="15"/>
  <c r="Q7"/>
  <c r="A17" s="1"/>
  <c r="B11"/>
  <c r="B12"/>
  <c r="B13"/>
  <c r="B14"/>
  <c r="B15"/>
  <c r="B16"/>
  <c r="F2" i="14"/>
  <c r="E4"/>
  <c r="F4"/>
  <c r="G4"/>
  <c r="H4"/>
  <c r="I4"/>
  <c r="J4"/>
  <c r="K4"/>
  <c r="L4"/>
  <c r="E5"/>
  <c r="F5"/>
  <c r="G5"/>
  <c r="H5"/>
  <c r="I5"/>
  <c r="J5"/>
  <c r="K5"/>
  <c r="L5"/>
  <c r="E6"/>
  <c r="F6"/>
  <c r="G6"/>
  <c r="H6"/>
  <c r="I6"/>
  <c r="J6"/>
  <c r="K6"/>
  <c r="L6"/>
  <c r="E7"/>
  <c r="F7"/>
  <c r="G7"/>
  <c r="H7"/>
  <c r="I7"/>
  <c r="J7"/>
  <c r="K7"/>
  <c r="L7"/>
  <c r="E8"/>
  <c r="F8"/>
  <c r="G8"/>
  <c r="H8"/>
  <c r="I8"/>
  <c r="J8"/>
  <c r="K8"/>
  <c r="L8"/>
  <c r="E9"/>
  <c r="F9"/>
  <c r="G9"/>
  <c r="H9"/>
  <c r="I9"/>
  <c r="J9"/>
  <c r="K9"/>
  <c r="L9"/>
  <c r="E10"/>
  <c r="F10"/>
  <c r="G10"/>
  <c r="H10"/>
  <c r="I10"/>
  <c r="J10"/>
  <c r="K10"/>
  <c r="L10"/>
  <c r="E11"/>
  <c r="F11"/>
  <c r="G11"/>
  <c r="H11"/>
  <c r="I11"/>
  <c r="J11"/>
  <c r="K11"/>
  <c r="L11"/>
  <c r="G2" i="13"/>
  <c r="F4"/>
  <c r="G4"/>
  <c r="H4" s="1"/>
  <c r="I4"/>
  <c r="F5"/>
  <c r="G5"/>
  <c r="H5" s="1"/>
  <c r="F6"/>
  <c r="F7"/>
  <c r="G7"/>
  <c r="H7"/>
  <c r="I7"/>
  <c r="F8"/>
  <c r="G8"/>
  <c r="H8"/>
  <c r="I8"/>
  <c r="F9"/>
  <c r="G9"/>
  <c r="H9"/>
  <c r="I9"/>
  <c r="F10"/>
  <c r="G10"/>
  <c r="H10"/>
  <c r="I10"/>
  <c r="F11"/>
  <c r="F12"/>
  <c r="C13"/>
  <c r="B3" i="11"/>
  <c r="B4"/>
  <c r="G8"/>
  <c r="F9"/>
  <c r="G9"/>
  <c r="H9"/>
  <c r="I9"/>
  <c r="J9"/>
  <c r="K9"/>
  <c r="E7" i="10"/>
  <c r="E8"/>
  <c r="B16" i="9"/>
  <c r="C16"/>
  <c r="D7"/>
  <c r="E7"/>
  <c r="F7"/>
  <c r="L7"/>
  <c r="D8"/>
  <c r="E8"/>
  <c r="F8"/>
  <c r="L8"/>
  <c r="D9"/>
  <c r="E9"/>
  <c r="F9"/>
  <c r="L9"/>
  <c r="D10"/>
  <c r="E10"/>
  <c r="F10"/>
  <c r="L10"/>
  <c r="C18"/>
  <c r="F18" s="1"/>
  <c r="D9" i="2"/>
  <c r="F13" i="7"/>
  <c r="E13" s="1"/>
  <c r="F12"/>
  <c r="C9"/>
  <c r="K45" i="6"/>
  <c r="K44"/>
  <c r="O12"/>
  <c r="O13"/>
  <c r="U12"/>
  <c r="U13"/>
  <c r="C8"/>
  <c r="H45"/>
  <c r="H44"/>
  <c r="J44"/>
  <c r="J45" s="1"/>
  <c r="I44"/>
  <c r="I45" s="1"/>
  <c r="T13"/>
  <c r="T12"/>
  <c r="N13"/>
  <c r="N12"/>
  <c r="H13"/>
  <c r="H12"/>
  <c r="K1"/>
  <c r="O1"/>
  <c r="K2"/>
  <c r="O2"/>
  <c r="K3"/>
  <c r="O3"/>
  <c r="K4"/>
  <c r="N4"/>
  <c r="K5"/>
  <c r="K6"/>
  <c r="K7"/>
  <c r="K8"/>
  <c r="J13" i="7"/>
  <c r="J32"/>
  <c r="J33"/>
  <c r="J34"/>
  <c r="J35"/>
  <c r="J36"/>
  <c r="J12"/>
  <c r="F38"/>
  <c r="F37"/>
  <c r="E38"/>
  <c r="E37"/>
  <c r="E36"/>
  <c r="F36"/>
  <c r="F35"/>
  <c r="F34"/>
  <c r="E35"/>
  <c r="E34"/>
  <c r="O1"/>
  <c r="O3"/>
  <c r="K2"/>
  <c r="K3"/>
  <c r="K4"/>
  <c r="K5"/>
  <c r="K6"/>
  <c r="K7"/>
  <c r="K8"/>
  <c r="K9"/>
  <c r="K10"/>
  <c r="K11"/>
  <c r="K12"/>
  <c r="K13"/>
  <c r="K14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1"/>
  <c r="F40"/>
  <c r="O5" s="1"/>
  <c r="O2"/>
  <c r="N4"/>
  <c r="E43"/>
  <c r="F43" s="1"/>
  <c r="O3" i="5"/>
  <c r="X3"/>
  <c r="O4"/>
  <c r="X4"/>
  <c r="O5"/>
  <c r="X5"/>
  <c r="N6"/>
  <c r="W6"/>
  <c r="D9"/>
  <c r="B11"/>
  <c r="D11"/>
  <c r="I11"/>
  <c r="Z35" s="1"/>
  <c r="I12"/>
  <c r="F13"/>
  <c r="G13"/>
  <c r="F14"/>
  <c r="G14"/>
  <c r="F15"/>
  <c r="G15"/>
  <c r="F16"/>
  <c r="G16"/>
  <c r="F17"/>
  <c r="G17"/>
  <c r="F18"/>
  <c r="G18"/>
  <c r="F19"/>
  <c r="G19"/>
  <c r="F20"/>
  <c r="G20"/>
  <c r="B61"/>
  <c r="C61" s="1"/>
  <c r="E61"/>
  <c r="C44" s="1"/>
  <c r="B62"/>
  <c r="C62"/>
  <c r="E62"/>
  <c r="B63"/>
  <c r="C63" s="1"/>
  <c r="E63"/>
  <c r="B64"/>
  <c r="C64"/>
  <c r="E64"/>
  <c r="B65"/>
  <c r="C65" s="1"/>
  <c r="E65"/>
  <c r="B66"/>
  <c r="E66"/>
  <c r="B67"/>
  <c r="E67"/>
  <c r="B68"/>
  <c r="E68"/>
  <c r="B69"/>
  <c r="E69"/>
  <c r="B70"/>
  <c r="E70"/>
  <c r="B71"/>
  <c r="E71"/>
  <c r="B72"/>
  <c r="E72"/>
  <c r="B73"/>
  <c r="E73"/>
  <c r="B74"/>
  <c r="E74"/>
  <c r="B75"/>
  <c r="E75"/>
  <c r="B76"/>
  <c r="E76"/>
  <c r="B77"/>
  <c r="E77"/>
  <c r="B78"/>
  <c r="E78"/>
  <c r="B79"/>
  <c r="E79"/>
  <c r="B80"/>
  <c r="E80"/>
  <c r="B81"/>
  <c r="E81"/>
  <c r="B82"/>
  <c r="E82"/>
  <c r="B83"/>
  <c r="E83"/>
  <c r="B84"/>
  <c r="E84"/>
  <c r="B85"/>
  <c r="E85"/>
  <c r="B86"/>
  <c r="E86"/>
  <c r="B87"/>
  <c r="E87"/>
  <c r="B88"/>
  <c r="E88"/>
  <c r="B89"/>
  <c r="E89"/>
  <c r="B90"/>
  <c r="E90"/>
  <c r="B92"/>
  <c r="C92"/>
  <c r="E92"/>
  <c r="B93"/>
  <c r="C93" s="1"/>
  <c r="E93"/>
  <c r="B94"/>
  <c r="C94"/>
  <c r="E94"/>
  <c r="B95"/>
  <c r="C95" s="1"/>
  <c r="E95"/>
  <c r="B96"/>
  <c r="C96"/>
  <c r="E96"/>
  <c r="B97"/>
  <c r="E97" s="1"/>
  <c r="B98"/>
  <c r="E98" s="1"/>
  <c r="B99"/>
  <c r="E99" s="1"/>
  <c r="B100"/>
  <c r="E100" s="1"/>
  <c r="B101"/>
  <c r="E101" s="1"/>
  <c r="B102"/>
  <c r="E102" s="1"/>
  <c r="B103"/>
  <c r="E103" s="1"/>
  <c r="B104"/>
  <c r="E104" s="1"/>
  <c r="B105"/>
  <c r="E105" s="1"/>
  <c r="B106"/>
  <c r="E106" s="1"/>
  <c r="B107"/>
  <c r="E107" s="1"/>
  <c r="B108"/>
  <c r="E108" s="1"/>
  <c r="B109"/>
  <c r="E109" s="1"/>
  <c r="B110"/>
  <c r="E110" s="1"/>
  <c r="B111"/>
  <c r="E111" s="1"/>
  <c r="B112"/>
  <c r="E112" s="1"/>
  <c r="B113"/>
  <c r="E113" s="1"/>
  <c r="B114"/>
  <c r="E114" s="1"/>
  <c r="B115"/>
  <c r="E115" s="1"/>
  <c r="B116"/>
  <c r="E116" s="1"/>
  <c r="B117"/>
  <c r="E117" s="1"/>
  <c r="B118"/>
  <c r="E118" s="1"/>
  <c r="B119"/>
  <c r="E119" s="1"/>
  <c r="B120"/>
  <c r="E120" s="1"/>
  <c r="B121"/>
  <c r="E121" s="1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Z34"/>
  <c r="F35"/>
  <c r="G35"/>
  <c r="G43" s="1"/>
  <c r="H50" s="1"/>
  <c r="F36"/>
  <c r="G36"/>
  <c r="U36"/>
  <c r="F37"/>
  <c r="G37"/>
  <c r="F38"/>
  <c r="G38"/>
  <c r="F39"/>
  <c r="G39"/>
  <c r="F40"/>
  <c r="G40"/>
  <c r="F41"/>
  <c r="G41"/>
  <c r="A49"/>
  <c r="N41" s="1"/>
  <c r="D49"/>
  <c r="Q41" s="1"/>
  <c r="D62"/>
  <c r="D64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2"/>
  <c r="D93"/>
  <c r="D94"/>
  <c r="D95"/>
  <c r="D96"/>
  <c r="D97"/>
  <c r="D99"/>
  <c r="D101"/>
  <c r="D103"/>
  <c r="D105"/>
  <c r="D107"/>
  <c r="D109"/>
  <c r="D111"/>
  <c r="D113"/>
  <c r="D115"/>
  <c r="D117"/>
  <c r="D119"/>
  <c r="D121"/>
  <c r="F42"/>
  <c r="G42"/>
  <c r="C43"/>
  <c r="E43"/>
  <c r="F43"/>
  <c r="F44"/>
  <c r="E91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8"/>
  <c r="C100"/>
  <c r="C102"/>
  <c r="C104"/>
  <c r="C106"/>
  <c r="C108"/>
  <c r="C110"/>
  <c r="C112"/>
  <c r="C114"/>
  <c r="C116"/>
  <c r="C118"/>
  <c r="C120"/>
  <c r="A136"/>
  <c r="A137"/>
  <c r="X4" i="4"/>
  <c r="AG4"/>
  <c r="AP4"/>
  <c r="AY4"/>
  <c r="X5"/>
  <c r="AG5"/>
  <c r="AP5"/>
  <c r="AY5"/>
  <c r="X6"/>
  <c r="AG6"/>
  <c r="AP6"/>
  <c r="AY6"/>
  <c r="W7"/>
  <c r="AF7"/>
  <c r="AO7"/>
  <c r="AX7"/>
  <c r="D9"/>
  <c r="G43"/>
  <c r="I43"/>
  <c r="A10"/>
  <c r="J13"/>
  <c r="M13"/>
  <c r="N13"/>
  <c r="J14"/>
  <c r="M14"/>
  <c r="N14"/>
  <c r="J15"/>
  <c r="M15"/>
  <c r="N15"/>
  <c r="J16"/>
  <c r="M16"/>
  <c r="N16"/>
  <c r="J17"/>
  <c r="M17"/>
  <c r="N17"/>
  <c r="J18"/>
  <c r="M18"/>
  <c r="N18"/>
  <c r="J19"/>
  <c r="M19"/>
  <c r="N19"/>
  <c r="J20"/>
  <c r="M20"/>
  <c r="N20"/>
  <c r="J21"/>
  <c r="M21"/>
  <c r="N21"/>
  <c r="J22"/>
  <c r="M22"/>
  <c r="N22"/>
  <c r="J23"/>
  <c r="M23"/>
  <c r="N23"/>
  <c r="J24"/>
  <c r="M24"/>
  <c r="N24"/>
  <c r="B61"/>
  <c r="C61"/>
  <c r="E61"/>
  <c r="B62"/>
  <c r="C62" s="1"/>
  <c r="E62"/>
  <c r="I86" s="1"/>
  <c r="I87" s="1"/>
  <c r="B63"/>
  <c r="C63"/>
  <c r="E63"/>
  <c r="B64"/>
  <c r="C64" s="1"/>
  <c r="E64"/>
  <c r="B65"/>
  <c r="C65"/>
  <c r="E65"/>
  <c r="B66"/>
  <c r="C66" s="1"/>
  <c r="E66"/>
  <c r="B67"/>
  <c r="C67"/>
  <c r="E67"/>
  <c r="B68"/>
  <c r="C68" s="1"/>
  <c r="E68"/>
  <c r="B69"/>
  <c r="C69"/>
  <c r="E69"/>
  <c r="B70"/>
  <c r="C70" s="1"/>
  <c r="E70"/>
  <c r="B71"/>
  <c r="C71"/>
  <c r="E71"/>
  <c r="B72"/>
  <c r="C72" s="1"/>
  <c r="E72"/>
  <c r="B73"/>
  <c r="C73"/>
  <c r="E73"/>
  <c r="B74"/>
  <c r="C74" s="1"/>
  <c r="E74"/>
  <c r="B75"/>
  <c r="C75"/>
  <c r="E75"/>
  <c r="B76"/>
  <c r="C76" s="1"/>
  <c r="E76"/>
  <c r="B77"/>
  <c r="C77"/>
  <c r="E77"/>
  <c r="B78"/>
  <c r="C78" s="1"/>
  <c r="E78"/>
  <c r="B79"/>
  <c r="E79"/>
  <c r="B80"/>
  <c r="E80"/>
  <c r="B81"/>
  <c r="E81"/>
  <c r="B82"/>
  <c r="E82"/>
  <c r="B83"/>
  <c r="E83"/>
  <c r="B84"/>
  <c r="E84"/>
  <c r="B85"/>
  <c r="E85"/>
  <c r="B86"/>
  <c r="E86"/>
  <c r="B87"/>
  <c r="E87"/>
  <c r="B88"/>
  <c r="E88"/>
  <c r="B89"/>
  <c r="E89"/>
  <c r="B90"/>
  <c r="E90"/>
  <c r="B92"/>
  <c r="C92" s="1"/>
  <c r="E92"/>
  <c r="B93"/>
  <c r="C93"/>
  <c r="E93"/>
  <c r="B94"/>
  <c r="C94" s="1"/>
  <c r="E94"/>
  <c r="B95"/>
  <c r="C95"/>
  <c r="E95"/>
  <c r="B96"/>
  <c r="C96" s="1"/>
  <c r="E96"/>
  <c r="B97"/>
  <c r="C97"/>
  <c r="E97"/>
  <c r="B98"/>
  <c r="C98" s="1"/>
  <c r="E98"/>
  <c r="B99"/>
  <c r="C99"/>
  <c r="E99"/>
  <c r="B100"/>
  <c r="C100" s="1"/>
  <c r="E100"/>
  <c r="B101"/>
  <c r="C101"/>
  <c r="E101"/>
  <c r="B102"/>
  <c r="C102" s="1"/>
  <c r="E102"/>
  <c r="B103"/>
  <c r="C103"/>
  <c r="E103"/>
  <c r="B104"/>
  <c r="C104" s="1"/>
  <c r="E104"/>
  <c r="B105"/>
  <c r="C105"/>
  <c r="E105"/>
  <c r="B106"/>
  <c r="C106" s="1"/>
  <c r="E106"/>
  <c r="B107"/>
  <c r="C107"/>
  <c r="E107"/>
  <c r="B108"/>
  <c r="C108" s="1"/>
  <c r="E108"/>
  <c r="B109"/>
  <c r="C109"/>
  <c r="E109"/>
  <c r="B110"/>
  <c r="E110" s="1"/>
  <c r="B111"/>
  <c r="E111" s="1"/>
  <c r="B112"/>
  <c r="E112" s="1"/>
  <c r="B113"/>
  <c r="E113" s="1"/>
  <c r="B114"/>
  <c r="E114" s="1"/>
  <c r="B115"/>
  <c r="E115" s="1"/>
  <c r="B116"/>
  <c r="E116" s="1"/>
  <c r="B117"/>
  <c r="E117" s="1"/>
  <c r="B118"/>
  <c r="E118" s="1"/>
  <c r="B119"/>
  <c r="E119" s="1"/>
  <c r="B120"/>
  <c r="E120" s="1"/>
  <c r="B121"/>
  <c r="E121" s="1"/>
  <c r="J25"/>
  <c r="M25"/>
  <c r="N25"/>
  <c r="D61"/>
  <c r="D63"/>
  <c r="D65"/>
  <c r="D67"/>
  <c r="D69"/>
  <c r="D71"/>
  <c r="D73"/>
  <c r="D75"/>
  <c r="D77"/>
  <c r="D79"/>
  <c r="D80"/>
  <c r="D81"/>
  <c r="D82"/>
  <c r="D83"/>
  <c r="D84"/>
  <c r="D85"/>
  <c r="D86"/>
  <c r="D87"/>
  <c r="D88"/>
  <c r="D89"/>
  <c r="D90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2"/>
  <c r="D114"/>
  <c r="D116"/>
  <c r="D118"/>
  <c r="D120"/>
  <c r="J26"/>
  <c r="M26"/>
  <c r="N26"/>
  <c r="J27"/>
  <c r="M27"/>
  <c r="N27"/>
  <c r="J28"/>
  <c r="M28"/>
  <c r="N28"/>
  <c r="J29"/>
  <c r="M29"/>
  <c r="N29"/>
  <c r="J30"/>
  <c r="M30"/>
  <c r="N30"/>
  <c r="J31"/>
  <c r="M31"/>
  <c r="N31"/>
  <c r="J32"/>
  <c r="M32"/>
  <c r="N32"/>
  <c r="J33"/>
  <c r="M33"/>
  <c r="N33"/>
  <c r="J34"/>
  <c r="M34"/>
  <c r="N34"/>
  <c r="B123"/>
  <c r="C123"/>
  <c r="E123"/>
  <c r="B154"/>
  <c r="C154" s="1"/>
  <c r="E91"/>
  <c r="E122"/>
  <c r="B124"/>
  <c r="C124"/>
  <c r="E124"/>
  <c r="B125"/>
  <c r="E125" s="1"/>
  <c r="B126"/>
  <c r="C126"/>
  <c r="E126"/>
  <c r="B127"/>
  <c r="E127" s="1"/>
  <c r="B128"/>
  <c r="C128"/>
  <c r="E128"/>
  <c r="B129"/>
  <c r="C129" s="1"/>
  <c r="E129"/>
  <c r="B130"/>
  <c r="C130"/>
  <c r="E130"/>
  <c r="B131"/>
  <c r="C131" s="1"/>
  <c r="B132"/>
  <c r="C132"/>
  <c r="E132"/>
  <c r="B133"/>
  <c r="C133" s="1"/>
  <c r="B134"/>
  <c r="C134"/>
  <c r="E134"/>
  <c r="B135"/>
  <c r="C135" s="1"/>
  <c r="B136"/>
  <c r="C136"/>
  <c r="E136"/>
  <c r="B137"/>
  <c r="C137" s="1"/>
  <c r="B138"/>
  <c r="C138"/>
  <c r="E138"/>
  <c r="B139"/>
  <c r="C139" s="1"/>
  <c r="E139"/>
  <c r="B140"/>
  <c r="C140"/>
  <c r="E140"/>
  <c r="B141"/>
  <c r="E141" s="1"/>
  <c r="B142"/>
  <c r="E142" s="1"/>
  <c r="B143"/>
  <c r="E143" s="1"/>
  <c r="B144"/>
  <c r="E144" s="1"/>
  <c r="B145"/>
  <c r="E145" s="1"/>
  <c r="B146"/>
  <c r="E146" s="1"/>
  <c r="B147"/>
  <c r="E147" s="1"/>
  <c r="B148"/>
  <c r="E148" s="1"/>
  <c r="B149"/>
  <c r="E149" s="1"/>
  <c r="B150"/>
  <c r="E150" s="1"/>
  <c r="B151"/>
  <c r="E151" s="1"/>
  <c r="B152"/>
  <c r="E152" s="1"/>
  <c r="E153"/>
  <c r="B155"/>
  <c r="C155"/>
  <c r="E155"/>
  <c r="B156"/>
  <c r="C156" s="1"/>
  <c r="B157"/>
  <c r="C157"/>
  <c r="E157"/>
  <c r="B158"/>
  <c r="C158" s="1"/>
  <c r="E158"/>
  <c r="B159"/>
  <c r="C159"/>
  <c r="E159"/>
  <c r="B160"/>
  <c r="E160" s="1"/>
  <c r="B161"/>
  <c r="C161"/>
  <c r="E161"/>
  <c r="B162"/>
  <c r="E162" s="1"/>
  <c r="B163"/>
  <c r="C163"/>
  <c r="E163"/>
  <c r="B164"/>
  <c r="E164" s="1"/>
  <c r="B165"/>
  <c r="C165"/>
  <c r="E165"/>
  <c r="B166"/>
  <c r="E166" s="1"/>
  <c r="B167"/>
  <c r="C167"/>
  <c r="E167"/>
  <c r="B168"/>
  <c r="C168" s="1"/>
  <c r="E168"/>
  <c r="B169"/>
  <c r="C169"/>
  <c r="E169"/>
  <c r="B170"/>
  <c r="C170" s="1"/>
  <c r="B171"/>
  <c r="C171"/>
  <c r="E171"/>
  <c r="B172"/>
  <c r="E172" s="1"/>
  <c r="B173"/>
  <c r="E173" s="1"/>
  <c r="B174"/>
  <c r="E174" s="1"/>
  <c r="B175"/>
  <c r="E175" s="1"/>
  <c r="B176"/>
  <c r="E176" s="1"/>
  <c r="B177"/>
  <c r="E177" s="1"/>
  <c r="B178"/>
  <c r="E178" s="1"/>
  <c r="B179"/>
  <c r="E179" s="1"/>
  <c r="B180"/>
  <c r="E180" s="1"/>
  <c r="B181"/>
  <c r="E181" s="1"/>
  <c r="B182"/>
  <c r="E182" s="1"/>
  <c r="B183"/>
  <c r="E183" s="1"/>
  <c r="J35"/>
  <c r="M35"/>
  <c r="N35"/>
  <c r="C43"/>
  <c r="M48" s="1"/>
  <c r="M50" s="1"/>
  <c r="B48"/>
  <c r="E48"/>
  <c r="E43"/>
  <c r="D52"/>
  <c r="AG35" s="1"/>
  <c r="J36"/>
  <c r="M36"/>
  <c r="N36"/>
  <c r="J37"/>
  <c r="J38"/>
  <c r="J39"/>
  <c r="J40"/>
  <c r="J41"/>
  <c r="J42"/>
  <c r="M37"/>
  <c r="N37"/>
  <c r="M38"/>
  <c r="N38"/>
  <c r="M39"/>
  <c r="N39"/>
  <c r="M40"/>
  <c r="N40"/>
  <c r="I148"/>
  <c r="I149"/>
  <c r="AN40" s="1"/>
  <c r="M41"/>
  <c r="N41"/>
  <c r="D123"/>
  <c r="D124"/>
  <c r="D126"/>
  <c r="D128"/>
  <c r="D130"/>
  <c r="D132"/>
  <c r="D134"/>
  <c r="D136"/>
  <c r="D138"/>
  <c r="D140"/>
  <c r="D142"/>
  <c r="D144"/>
  <c r="D146"/>
  <c r="D148"/>
  <c r="D150"/>
  <c r="D152"/>
  <c r="I151"/>
  <c r="I152"/>
  <c r="AN41"/>
  <c r="D155"/>
  <c r="D157"/>
  <c r="D159"/>
  <c r="D161"/>
  <c r="D163"/>
  <c r="D165"/>
  <c r="D167"/>
  <c r="D169"/>
  <c r="D171"/>
  <c r="D173"/>
  <c r="D175"/>
  <c r="D177"/>
  <c r="D179"/>
  <c r="D181"/>
  <c r="D183"/>
  <c r="M42"/>
  <c r="N42"/>
  <c r="C44"/>
  <c r="G44"/>
  <c r="I44"/>
  <c r="J44"/>
  <c r="M47"/>
  <c r="M49" s="1"/>
  <c r="B49"/>
  <c r="E49"/>
  <c r="A56"/>
  <c r="C79"/>
  <c r="C80"/>
  <c r="C81"/>
  <c r="C82"/>
  <c r="C83"/>
  <c r="C84"/>
  <c r="C85"/>
  <c r="C86"/>
  <c r="C87"/>
  <c r="C88"/>
  <c r="C89"/>
  <c r="C90"/>
  <c r="C111"/>
  <c r="C113"/>
  <c r="C115"/>
  <c r="C117"/>
  <c r="C119"/>
  <c r="C121"/>
  <c r="C142"/>
  <c r="C144"/>
  <c r="C146"/>
  <c r="C148"/>
  <c r="C150"/>
  <c r="C152"/>
  <c r="C173"/>
  <c r="C175"/>
  <c r="C177"/>
  <c r="C179"/>
  <c r="C181"/>
  <c r="C183"/>
  <c r="B203"/>
  <c r="B205"/>
  <c r="B206"/>
  <c r="B207"/>
  <c r="B208" s="1"/>
  <c r="H203"/>
  <c r="C204"/>
  <c r="H204"/>
  <c r="C205"/>
  <c r="H205"/>
  <c r="C206"/>
  <c r="H206"/>
  <c r="J22" i="2"/>
  <c r="M32"/>
  <c r="K5"/>
  <c r="K4"/>
  <c r="K3"/>
  <c r="K2"/>
  <c r="K1"/>
  <c r="L164" i="55"/>
  <c r="L170"/>
  <c r="L79"/>
  <c r="L92"/>
  <c r="L101"/>
  <c r="L165"/>
  <c r="L81"/>
  <c r="L120"/>
  <c r="L177"/>
  <c r="L70"/>
  <c r="L65"/>
  <c r="L111"/>
  <c r="L194"/>
  <c r="L94"/>
  <c r="L197"/>
  <c r="L135"/>
  <c r="L199"/>
  <c r="L95"/>
  <c r="L145"/>
  <c r="L183"/>
  <c r="L131"/>
  <c r="L123"/>
  <c r="L181"/>
  <c r="L86"/>
  <c r="L61"/>
  <c r="L163"/>
  <c r="L140"/>
  <c r="L93"/>
  <c r="L127"/>
  <c r="L116"/>
  <c r="L154"/>
  <c r="L53"/>
  <c r="L64"/>
  <c r="L113"/>
  <c r="L126"/>
  <c r="L124"/>
  <c r="L144"/>
  <c r="L108"/>
  <c r="L155"/>
  <c r="L168"/>
  <c r="L148"/>
  <c r="L128"/>
  <c r="L189"/>
  <c r="L59"/>
  <c r="L176"/>
  <c r="L115"/>
  <c r="L112"/>
  <c r="L152"/>
  <c r="L191"/>
  <c r="L106"/>
  <c r="L178"/>
  <c r="L55"/>
  <c r="L167"/>
  <c r="L66"/>
  <c r="L151"/>
  <c r="L84"/>
  <c r="L52"/>
  <c r="L57"/>
  <c r="L143"/>
  <c r="L146"/>
  <c r="L157"/>
  <c r="L169"/>
  <c r="L72"/>
  <c r="L132"/>
  <c r="L62"/>
  <c r="L174"/>
  <c r="L67"/>
  <c r="L175"/>
  <c r="L56"/>
  <c r="L117"/>
  <c r="L142"/>
  <c r="L134"/>
  <c r="L179"/>
  <c r="L195"/>
  <c r="L139"/>
  <c r="L76"/>
  <c r="L74"/>
  <c r="L129"/>
  <c r="L161"/>
  <c r="L63"/>
  <c r="L182"/>
  <c r="L147"/>
  <c r="L107"/>
  <c r="L88"/>
  <c r="L100"/>
  <c r="L51"/>
  <c r="L68"/>
  <c r="L166"/>
  <c r="L105"/>
  <c r="L50"/>
  <c r="L156"/>
  <c r="L173"/>
  <c r="L54"/>
  <c r="L114"/>
  <c r="L82"/>
  <c r="L192"/>
  <c r="L136"/>
  <c r="L102"/>
  <c r="L58"/>
  <c r="L193"/>
  <c r="L85"/>
  <c r="L130"/>
  <c r="L73"/>
  <c r="L104"/>
  <c r="L110"/>
  <c r="L90"/>
  <c r="L180"/>
  <c r="L159"/>
  <c r="L69"/>
  <c r="L188"/>
  <c r="L172"/>
  <c r="L162"/>
  <c r="L138"/>
  <c r="L118"/>
  <c r="L190"/>
  <c r="L125"/>
  <c r="L196"/>
  <c r="L78"/>
  <c r="L187"/>
  <c r="L149"/>
  <c r="L137"/>
  <c r="L171"/>
  <c r="L185"/>
  <c r="L99"/>
  <c r="L121"/>
  <c r="L80"/>
  <c r="L153"/>
  <c r="L103"/>
  <c r="L150"/>
  <c r="L75"/>
  <c r="L186"/>
  <c r="L160"/>
  <c r="L98"/>
  <c r="L97"/>
  <c r="L87"/>
  <c r="L77"/>
  <c r="L89"/>
  <c r="L109"/>
  <c r="L133"/>
  <c r="L71"/>
  <c r="L119"/>
  <c r="L158"/>
  <c r="L96"/>
  <c r="L83"/>
  <c r="L60"/>
  <c r="L198"/>
  <c r="L141"/>
  <c r="L91"/>
  <c r="L122"/>
  <c r="L184"/>
  <c r="G6" i="13" l="1"/>
  <c r="H6" s="1"/>
  <c r="I5"/>
  <c r="E10" i="10"/>
  <c r="E11"/>
  <c r="E12" s="1"/>
  <c r="E13" s="1"/>
  <c r="E14" s="1"/>
  <c r="B16" s="1"/>
  <c r="G25" i="29"/>
  <c r="G26" s="1"/>
  <c r="G27" s="1"/>
  <c r="G28" s="1"/>
  <c r="E29"/>
  <c r="E30"/>
  <c r="G30"/>
  <c r="D21" i="57"/>
  <c r="F9" i="28"/>
  <c r="C8" i="23"/>
  <c r="C14"/>
  <c r="U40" i="50"/>
  <c r="U44" s="1"/>
  <c r="I41"/>
  <c r="I44" s="1"/>
  <c r="K35"/>
  <c r="R40"/>
  <c r="K37"/>
  <c r="K39" s="1"/>
  <c r="L40"/>
  <c r="J43"/>
  <c r="E46" i="52"/>
  <c r="E42"/>
  <c r="E43"/>
  <c r="E45"/>
  <c r="E44"/>
  <c r="C47"/>
  <c r="F17" i="9"/>
  <c r="C17"/>
  <c r="C21" s="1"/>
  <c r="C242" i="35"/>
  <c r="C230"/>
  <c r="C229"/>
  <c r="C228"/>
  <c r="C227"/>
  <c r="C226"/>
  <c r="C225"/>
  <c r="C224"/>
  <c r="C200"/>
  <c r="C192"/>
  <c r="AC29"/>
  <c r="C215"/>
  <c r="C175"/>
  <c r="C173"/>
  <c r="C132"/>
  <c r="AE16"/>
  <c r="AC16"/>
  <c r="AA16"/>
  <c r="AE13"/>
  <c r="AC13"/>
  <c r="AA13"/>
  <c r="AC10"/>
  <c r="F12" i="38"/>
  <c r="F10"/>
  <c r="B19"/>
  <c r="B22" s="1"/>
  <c r="G11" s="1"/>
  <c r="G9"/>
  <c r="G13"/>
  <c r="B21"/>
  <c r="E11" s="1"/>
  <c r="C206" i="35"/>
  <c r="C205"/>
  <c r="C204"/>
  <c r="C181"/>
  <c r="C180"/>
  <c r="C165"/>
  <c r="C164"/>
  <c r="C127"/>
  <c r="C124"/>
  <c r="A43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33" i="39"/>
  <c r="A34" s="1"/>
  <c r="A35" s="1"/>
  <c r="A36" s="1"/>
  <c r="A37" s="1"/>
  <c r="A38" s="1"/>
  <c r="A39" s="1"/>
  <c r="A40" s="1"/>
  <c r="A41" s="1"/>
  <c r="A42" s="1"/>
  <c r="A43" s="1"/>
  <c r="A44" s="1"/>
  <c r="A45" s="1"/>
  <c r="A33" i="68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2" i="45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C222" i="35"/>
  <c r="C217"/>
  <c r="C213"/>
  <c r="C177"/>
  <c r="C171"/>
  <c r="C169"/>
  <c r="C168"/>
  <c r="C166"/>
  <c r="P91"/>
  <c r="C221"/>
  <c r="C220"/>
  <c r="C142"/>
  <c r="C138"/>
  <c r="C134"/>
  <c r="C130"/>
  <c r="C128"/>
  <c r="C126"/>
  <c r="C125"/>
  <c r="F118"/>
  <c r="F113" s="1"/>
  <c r="AE14"/>
  <c r="AC14"/>
  <c r="AA14"/>
  <c r="AE12"/>
  <c r="AA12"/>
  <c r="AE11"/>
  <c r="AA11"/>
  <c r="G32" i="7"/>
  <c r="M37" s="1"/>
  <c r="M39" s="1"/>
  <c r="M38" s="1"/>
  <c r="E32"/>
  <c r="H43"/>
  <c r="F44"/>
  <c r="O37"/>
  <c r="O39" s="1"/>
  <c r="B17" i="15"/>
  <c r="F8" s="1"/>
  <c r="F10" s="1"/>
  <c r="C209" i="35"/>
  <c r="C208"/>
  <c r="C207"/>
  <c r="C202"/>
  <c r="C189"/>
  <c r="C188"/>
  <c r="C187"/>
  <c r="C186"/>
  <c r="C185"/>
  <c r="C184"/>
  <c r="C182"/>
  <c r="C167"/>
  <c r="D118"/>
  <c r="D113" s="1"/>
  <c r="P73"/>
  <c r="P75" s="1"/>
  <c r="B113"/>
  <c r="S26" i="45"/>
  <c r="S27"/>
  <c r="D11" i="68"/>
  <c r="R30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J57" i="67"/>
  <c r="H57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T51"/>
  <c r="T52"/>
  <c r="J55"/>
  <c r="C57"/>
  <c r="C82"/>
  <c r="C92"/>
  <c r="S51"/>
  <c r="S52"/>
  <c r="E38" i="66"/>
  <c r="L6"/>
  <c r="X6"/>
  <c r="S30"/>
  <c r="U30"/>
  <c r="S31"/>
  <c r="U31"/>
  <c r="E24" i="65"/>
  <c r="E25" s="1"/>
  <c r="E26" s="1"/>
  <c r="E27" s="1"/>
  <c r="E28" s="1"/>
  <c r="E79" i="49"/>
  <c r="E45" s="1"/>
  <c r="P27" s="1"/>
  <c r="E56"/>
  <c r="E57" s="1"/>
  <c r="F66"/>
  <c r="F65" s="1"/>
  <c r="F64" s="1"/>
  <c r="F62"/>
  <c r="E66"/>
  <c r="E65" s="1"/>
  <c r="E64" s="1"/>
  <c r="D66"/>
  <c r="D65" s="1"/>
  <c r="D64" s="1"/>
  <c r="D63"/>
  <c r="D203" i="4"/>
  <c r="D204"/>
  <c r="D205"/>
  <c r="D206"/>
  <c r="I117"/>
  <c r="I118" s="1"/>
  <c r="AN24"/>
  <c r="B136" i="5"/>
  <c r="B50"/>
  <c r="F33" i="25"/>
  <c r="F31"/>
  <c r="F34"/>
  <c r="E44" i="4"/>
  <c r="B204" s="1"/>
  <c r="E44" i="5"/>
  <c r="H51"/>
  <c r="N46"/>
  <c r="H52"/>
  <c r="H53" s="1"/>
  <c r="N47" s="1"/>
  <c r="R7" i="17"/>
  <c r="S7" s="1"/>
  <c r="R8"/>
  <c r="S8" s="1"/>
  <c r="R9"/>
  <c r="S9" s="1"/>
  <c r="R10"/>
  <c r="S10" s="1"/>
  <c r="R11"/>
  <c r="S11" s="1"/>
  <c r="R12"/>
  <c r="S12" s="1"/>
  <c r="R13"/>
  <c r="S13" s="1"/>
  <c r="R14"/>
  <c r="S14" s="1"/>
  <c r="R15"/>
  <c r="S15" s="1"/>
  <c r="R16"/>
  <c r="S16" s="1"/>
  <c r="R17"/>
  <c r="S17" s="1"/>
  <c r="R18"/>
  <c r="S18" s="1"/>
  <c r="R19"/>
  <c r="S19" s="1"/>
  <c r="R20"/>
  <c r="S20" s="1"/>
  <c r="R21"/>
  <c r="S21" s="1"/>
  <c r="R22"/>
  <c r="S22" s="1"/>
  <c r="R23"/>
  <c r="S23" s="1"/>
  <c r="R24"/>
  <c r="S24" s="1"/>
  <c r="R25"/>
  <c r="S25" s="1"/>
  <c r="R26"/>
  <c r="S26" s="1"/>
  <c r="R27"/>
  <c r="S27" s="1"/>
  <c r="R28"/>
  <c r="S28" s="1"/>
  <c r="J29"/>
  <c r="K29" s="1"/>
  <c r="R29"/>
  <c r="S29" s="1"/>
  <c r="J30"/>
  <c r="K30" s="1"/>
  <c r="R30"/>
  <c r="S30" s="1"/>
  <c r="J31"/>
  <c r="K31" s="1"/>
  <c r="R31"/>
  <c r="S31" s="1"/>
  <c r="J32"/>
  <c r="K32" s="1"/>
  <c r="R32"/>
  <c r="S32" s="1"/>
  <c r="J33"/>
  <c r="K33" s="1"/>
  <c r="R33"/>
  <c r="S33" s="1"/>
  <c r="J34"/>
  <c r="K34" s="1"/>
  <c r="R34"/>
  <c r="S34" s="1"/>
  <c r="J35"/>
  <c r="K35" s="1"/>
  <c r="R35"/>
  <c r="S35" s="1"/>
  <c r="J36"/>
  <c r="K36" s="1"/>
  <c r="R36"/>
  <c r="S36" s="1"/>
  <c r="J37"/>
  <c r="K37" s="1"/>
  <c r="R37"/>
  <c r="S37" s="1"/>
  <c r="J38"/>
  <c r="K38" s="1"/>
  <c r="R38"/>
  <c r="S38" s="1"/>
  <c r="J39"/>
  <c r="K39" s="1"/>
  <c r="R39"/>
  <c r="S39" s="1"/>
  <c r="J40"/>
  <c r="K40" s="1"/>
  <c r="R40"/>
  <c r="S40" s="1"/>
  <c r="R41"/>
  <c r="S41" s="1"/>
  <c r="R42"/>
  <c r="S42" s="1"/>
  <c r="R43"/>
  <c r="S43" s="1"/>
  <c r="R44"/>
  <c r="S44" s="1"/>
  <c r="R45"/>
  <c r="S45" s="1"/>
  <c r="R46"/>
  <c r="S46" s="1"/>
  <c r="R47"/>
  <c r="S47" s="1"/>
  <c r="R48"/>
  <c r="S48" s="1"/>
  <c r="R49"/>
  <c r="S49" s="1"/>
  <c r="R50"/>
  <c r="S50" s="1"/>
  <c r="R51"/>
  <c r="S51" s="1"/>
  <c r="R52"/>
  <c r="S52" s="1"/>
  <c r="R53"/>
  <c r="S53" s="1"/>
  <c r="R54"/>
  <c r="S54" s="1"/>
  <c r="R55"/>
  <c r="S55" s="1"/>
  <c r="R56"/>
  <c r="S56" s="1"/>
  <c r="R57"/>
  <c r="S57" s="1"/>
  <c r="R58"/>
  <c r="S58" s="1"/>
  <c r="R59"/>
  <c r="S59" s="1"/>
  <c r="R60"/>
  <c r="S60" s="1"/>
  <c r="R61"/>
  <c r="S61" s="1"/>
  <c r="R62"/>
  <c r="S62" s="1"/>
  <c r="R63"/>
  <c r="S63" s="1"/>
  <c r="R64"/>
  <c r="S64" s="1"/>
  <c r="R65"/>
  <c r="S65" s="1"/>
  <c r="R66"/>
  <c r="S66" s="1"/>
  <c r="R67"/>
  <c r="S67" s="1"/>
  <c r="R68"/>
  <c r="S68" s="1"/>
  <c r="R69"/>
  <c r="S69" s="1"/>
  <c r="R70"/>
  <c r="S70" s="1"/>
  <c r="R71"/>
  <c r="S71" s="1"/>
  <c r="R72"/>
  <c r="S72" s="1"/>
  <c r="R73"/>
  <c r="S73" s="1"/>
  <c r="R74"/>
  <c r="S74" s="1"/>
  <c r="R75"/>
  <c r="S75" s="1"/>
  <c r="R76"/>
  <c r="S76" s="1"/>
  <c r="R77"/>
  <c r="S77" s="1"/>
  <c r="R78"/>
  <c r="S78" s="1"/>
  <c r="R79"/>
  <c r="S79" s="1"/>
  <c r="R80"/>
  <c r="S80" s="1"/>
  <c r="R81"/>
  <c r="S81" s="1"/>
  <c r="R82"/>
  <c r="S82" s="1"/>
  <c r="R83"/>
  <c r="S83" s="1"/>
  <c r="R84"/>
  <c r="S84" s="1"/>
  <c r="R85"/>
  <c r="S85" s="1"/>
  <c r="R86"/>
  <c r="S86" s="1"/>
  <c r="R87"/>
  <c r="S87" s="1"/>
  <c r="R88"/>
  <c r="S88" s="1"/>
  <c r="R89"/>
  <c r="S89" s="1"/>
  <c r="R90"/>
  <c r="S90" s="1"/>
  <c r="R91"/>
  <c r="S91" s="1"/>
  <c r="R92"/>
  <c r="S92" s="1"/>
  <c r="R93"/>
  <c r="S93" s="1"/>
  <c r="R94"/>
  <c r="S94" s="1"/>
  <c r="R95"/>
  <c r="S95" s="1"/>
  <c r="R96"/>
  <c r="S96" s="1"/>
  <c r="R5"/>
  <c r="F25" i="25"/>
  <c r="F26"/>
  <c r="F18"/>
  <c r="F17"/>
  <c r="F12" i="28"/>
  <c r="B19" s="1"/>
  <c r="P23"/>
  <c r="P24" s="1"/>
  <c r="P25" s="1"/>
  <c r="P26" s="1"/>
  <c r="P27" s="1"/>
  <c r="P28" s="1"/>
  <c r="P29" s="1"/>
  <c r="P30" s="1"/>
  <c r="P31" s="1"/>
  <c r="P32" s="1"/>
  <c r="P33" s="1"/>
  <c r="P34" s="1"/>
  <c r="P35" s="1"/>
  <c r="P36" s="1"/>
  <c r="R23"/>
  <c r="R24" s="1"/>
  <c r="Q23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S23"/>
  <c r="S24" s="1"/>
  <c r="S25" s="1"/>
  <c r="S26" s="1"/>
  <c r="S27" s="1"/>
  <c r="S28" s="1"/>
  <c r="S29" s="1"/>
  <c r="S30" s="1"/>
  <c r="S31" s="1"/>
  <c r="S32" s="1"/>
  <c r="S33" s="1"/>
  <c r="S34" s="1"/>
  <c r="S35" s="1"/>
  <c r="S36" s="1"/>
  <c r="L45" i="5"/>
  <c r="H7" i="29"/>
  <c r="D18" s="1"/>
  <c r="D19" s="1"/>
  <c r="D20" s="1"/>
  <c r="D21" s="1"/>
  <c r="D22" s="1"/>
  <c r="D23" s="1"/>
  <c r="D24" s="1"/>
  <c r="H9"/>
  <c r="F18" s="1"/>
  <c r="F19" s="1"/>
  <c r="F20" s="1"/>
  <c r="F21" s="1"/>
  <c r="F22" s="1"/>
  <c r="F23" s="1"/>
  <c r="F24" s="1"/>
  <c r="B14"/>
  <c r="P81" i="33"/>
  <c r="P82"/>
  <c r="P83" s="1"/>
  <c r="P32" s="1"/>
  <c r="AC46" s="1"/>
  <c r="Y102"/>
  <c r="Y103" s="1"/>
  <c r="Y104" s="1"/>
  <c r="Y105" s="1"/>
  <c r="Y106" s="1"/>
  <c r="Y107" s="1"/>
  <c r="Y108" s="1"/>
  <c r="Y109" s="1"/>
  <c r="Y110" s="1"/>
  <c r="Y111" s="1"/>
  <c r="Y112" s="1"/>
  <c r="Y113" s="1"/>
  <c r="U102"/>
  <c r="U103" s="1"/>
  <c r="U104" s="1"/>
  <c r="U105" s="1"/>
  <c r="U106" s="1"/>
  <c r="U107" s="1"/>
  <c r="U108" s="1"/>
  <c r="U109" s="1"/>
  <c r="U110" s="1"/>
  <c r="U111" s="1"/>
  <c r="U112" s="1"/>
  <c r="U113" s="1"/>
  <c r="D28" i="34"/>
  <c r="E32" s="1"/>
  <c r="D36"/>
  <c r="E36" s="1"/>
  <c r="D22"/>
  <c r="E29" s="1"/>
  <c r="D30"/>
  <c r="D29"/>
  <c r="E25" s="1"/>
  <c r="D21"/>
  <c r="U55"/>
  <c r="U56" s="1"/>
  <c r="U57" s="1"/>
  <c r="U58" s="1"/>
  <c r="U59" s="1"/>
  <c r="U60" s="1"/>
  <c r="L25" i="35"/>
  <c r="L26" s="1"/>
  <c r="L27"/>
  <c r="L18" s="1"/>
  <c r="K32" s="1"/>
  <c r="E170" i="4"/>
  <c r="E156"/>
  <c r="E137"/>
  <c r="E135"/>
  <c r="E133"/>
  <c r="E131"/>
  <c r="F61" s="1"/>
  <c r="D51" s="1"/>
  <c r="E154"/>
  <c r="C203"/>
  <c r="I202"/>
  <c r="C182"/>
  <c r="C180"/>
  <c r="C178"/>
  <c r="C176"/>
  <c r="C174"/>
  <c r="C172"/>
  <c r="C151"/>
  <c r="C149"/>
  <c r="C147"/>
  <c r="C145"/>
  <c r="C143"/>
  <c r="C141"/>
  <c r="C120"/>
  <c r="C118"/>
  <c r="C116"/>
  <c r="C114"/>
  <c r="C112"/>
  <c r="C110"/>
  <c r="A187" s="1"/>
  <c r="B187" s="1"/>
  <c r="D45"/>
  <c r="J43"/>
  <c r="D182"/>
  <c r="D180"/>
  <c r="D178"/>
  <c r="D176"/>
  <c r="D174"/>
  <c r="D172"/>
  <c r="D170"/>
  <c r="D168"/>
  <c r="D166"/>
  <c r="D164"/>
  <c r="D162"/>
  <c r="D160"/>
  <c r="D158"/>
  <c r="D156"/>
  <c r="D154"/>
  <c r="D151"/>
  <c r="D149"/>
  <c r="D147"/>
  <c r="D145"/>
  <c r="D143"/>
  <c r="D141"/>
  <c r="D139"/>
  <c r="D137"/>
  <c r="D135"/>
  <c r="D133"/>
  <c r="D131"/>
  <c r="D129"/>
  <c r="D127"/>
  <c r="D125"/>
  <c r="I150" s="1"/>
  <c r="C166"/>
  <c r="C164"/>
  <c r="C162"/>
  <c r="C160"/>
  <c r="C127"/>
  <c r="C125"/>
  <c r="D121"/>
  <c r="D119"/>
  <c r="D117"/>
  <c r="D115"/>
  <c r="D113"/>
  <c r="D111"/>
  <c r="I119" s="1"/>
  <c r="D78"/>
  <c r="D76"/>
  <c r="D74"/>
  <c r="D72"/>
  <c r="D70"/>
  <c r="D68"/>
  <c r="D66"/>
  <c r="D64"/>
  <c r="D62"/>
  <c r="C121" i="5"/>
  <c r="C119"/>
  <c r="C117"/>
  <c r="C115"/>
  <c r="C113"/>
  <c r="C111"/>
  <c r="C109"/>
  <c r="C107"/>
  <c r="C105"/>
  <c r="C103"/>
  <c r="C101"/>
  <c r="C99"/>
  <c r="C97"/>
  <c r="A124" s="1"/>
  <c r="B124" s="1"/>
  <c r="F61"/>
  <c r="D120"/>
  <c r="D118"/>
  <c r="D116"/>
  <c r="D114"/>
  <c r="D112"/>
  <c r="D110"/>
  <c r="D108"/>
  <c r="D106"/>
  <c r="D104"/>
  <c r="D102"/>
  <c r="D100"/>
  <c r="D98"/>
  <c r="D65"/>
  <c r="D63"/>
  <c r="D61"/>
  <c r="B51" s="1"/>
  <c r="U38"/>
  <c r="F32" i="7"/>
  <c r="A19" i="9"/>
  <c r="C22" i="18"/>
  <c r="C21"/>
  <c r="C20"/>
  <c r="C19"/>
  <c r="C18"/>
  <c r="C17"/>
  <c r="C16"/>
  <c r="C15"/>
  <c r="C14"/>
  <c r="C13"/>
  <c r="C12"/>
  <c r="C11"/>
  <c r="C10"/>
  <c r="C9"/>
  <c r="C8"/>
  <c r="A13" i="22"/>
  <c r="S29" i="33"/>
  <c r="AC45" s="1"/>
  <c r="E28" i="34"/>
  <c r="AA25"/>
  <c r="BH18" s="1"/>
  <c r="X25"/>
  <c r="BH16" s="1"/>
  <c r="O25"/>
  <c r="BH6" s="1"/>
  <c r="D33" i="31"/>
  <c r="F34"/>
  <c r="R101" i="33"/>
  <c r="P100"/>
  <c r="W102"/>
  <c r="W103" s="1"/>
  <c r="W104" s="1"/>
  <c r="W105" s="1"/>
  <c r="W106" s="1"/>
  <c r="W107" s="1"/>
  <c r="W108" s="1"/>
  <c r="W109" s="1"/>
  <c r="W110" s="1"/>
  <c r="W111" s="1"/>
  <c r="W112" s="1"/>
  <c r="W113" s="1"/>
  <c r="P55"/>
  <c r="P56" s="1"/>
  <c r="D24"/>
  <c r="D28"/>
  <c r="D23"/>
  <c r="D27"/>
  <c r="D25"/>
  <c r="D29"/>
  <c r="D32" i="34"/>
  <c r="E34" s="1"/>
  <c r="D24"/>
  <c r="D23"/>
  <c r="E22" s="1"/>
  <c r="D31"/>
  <c r="D25"/>
  <c r="E23" s="1"/>
  <c r="D33"/>
  <c r="M30" i="35"/>
  <c r="J50"/>
  <c r="E9" i="38"/>
  <c r="E13"/>
  <c r="E10"/>
  <c r="E12"/>
  <c r="N29" i="33"/>
  <c r="AC40" s="1"/>
  <c r="D34" i="34"/>
  <c r="E35" s="1"/>
  <c r="F28" s="1"/>
  <c r="G28" s="1"/>
  <c r="J28" s="1"/>
  <c r="I28" s="1"/>
  <c r="E24"/>
  <c r="F30" s="1"/>
  <c r="G30" s="1"/>
  <c r="J30" s="1"/>
  <c r="I30" s="1"/>
  <c r="T25"/>
  <c r="BH15" s="1"/>
  <c r="P99" i="33"/>
  <c r="P85"/>
  <c r="B31"/>
  <c r="Z114"/>
  <c r="S30" s="1"/>
  <c r="AD45" s="1"/>
  <c r="X114"/>
  <c r="Q30" s="1"/>
  <c r="AD43" s="1"/>
  <c r="V114"/>
  <c r="O30" s="1"/>
  <c r="AD41" s="1"/>
  <c r="T114"/>
  <c r="M30" s="1"/>
  <c r="AD39" s="1"/>
  <c r="M29"/>
  <c r="AC39" s="1"/>
  <c r="C30"/>
  <c r="Z25" i="34"/>
  <c r="BH17" s="1"/>
  <c r="Q25"/>
  <c r="BH7" s="1"/>
  <c r="N25"/>
  <c r="BH5" s="1"/>
  <c r="C241" i="35"/>
  <c r="C237"/>
  <c r="C235"/>
  <c r="C233"/>
  <c r="C231"/>
  <c r="C218"/>
  <c r="C216"/>
  <c r="C214"/>
  <c r="C212"/>
  <c r="C210"/>
  <c r="C201"/>
  <c r="C197"/>
  <c r="C195"/>
  <c r="C193"/>
  <c r="C191"/>
  <c r="C178"/>
  <c r="C176"/>
  <c r="C174"/>
  <c r="C172"/>
  <c r="C170"/>
  <c r="C161"/>
  <c r="C157"/>
  <c r="C155"/>
  <c r="C153"/>
  <c r="C151"/>
  <c r="C150"/>
  <c r="C137"/>
  <c r="C135"/>
  <c r="C133"/>
  <c r="C131"/>
  <c r="F115"/>
  <c r="B115"/>
  <c r="G118"/>
  <c r="E118"/>
  <c r="C118"/>
  <c r="L82"/>
  <c r="O73"/>
  <c r="AF12"/>
  <c r="AD12"/>
  <c r="AB12"/>
  <c r="N28" i="38"/>
  <c r="F13"/>
  <c r="G12"/>
  <c r="G10"/>
  <c r="F9"/>
  <c r="D126" i="49"/>
  <c r="H126"/>
  <c r="C126"/>
  <c r="G126"/>
  <c r="B14"/>
  <c r="P29"/>
  <c r="E22"/>
  <c r="F22" s="1"/>
  <c r="I22" s="1"/>
  <c r="H22" s="1"/>
  <c r="G26" s="1"/>
  <c r="M21" s="1"/>
  <c r="N21" s="1"/>
  <c r="F110"/>
  <c r="C111"/>
  <c r="C112" s="1"/>
  <c r="C113" s="1"/>
  <c r="C114" s="1"/>
  <c r="C115" s="1"/>
  <c r="B127"/>
  <c r="F127"/>
  <c r="E21"/>
  <c r="E23"/>
  <c r="F23" s="1"/>
  <c r="I23" s="1"/>
  <c r="H23" s="1"/>
  <c r="J58" i="2"/>
  <c r="N15"/>
  <c r="J57"/>
  <c r="O13"/>
  <c r="M15"/>
  <c r="J55"/>
  <c r="O14"/>
  <c r="D10" i="52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F10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H10"/>
  <c r="H11" s="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G10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F68" i="49"/>
  <c r="F54" i="54"/>
  <c r="F59"/>
  <c r="G57" s="1"/>
  <c r="J11" i="55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H56"/>
  <c r="W48" s="1"/>
  <c r="E62" i="49"/>
  <c r="D79"/>
  <c r="D45" s="1"/>
  <c r="P26" s="1"/>
  <c r="D62"/>
  <c r="G12" i="51"/>
  <c r="D44" i="53"/>
  <c r="F57" i="54"/>
  <c r="H45" i="55"/>
  <c r="H43"/>
  <c r="F44" i="54"/>
  <c r="F45" s="1"/>
  <c r="F53" s="1"/>
  <c r="F9" i="62"/>
  <c r="F10"/>
  <c r="F11"/>
  <c r="F12"/>
  <c r="Q40" i="50"/>
  <c r="Q35"/>
  <c r="Q37"/>
  <c r="P41"/>
  <c r="P42"/>
  <c r="P36"/>
  <c r="B15" i="63"/>
  <c r="C19"/>
  <c r="C20"/>
  <c r="G35" i="50"/>
  <c r="I35"/>
  <c r="I39" s="1"/>
  <c r="V40"/>
  <c r="V44" s="1"/>
  <c r="O35"/>
  <c r="O37"/>
  <c r="T40"/>
  <c r="T44" s="1"/>
  <c r="T36"/>
  <c r="T39" s="1"/>
  <c r="B36" i="37"/>
  <c r="B39"/>
  <c r="C39" s="1"/>
  <c r="D39" s="1"/>
  <c r="E39" s="1"/>
  <c r="F39" s="1"/>
  <c r="G39" s="1"/>
  <c r="P37" i="50"/>
  <c r="Q36"/>
  <c r="S38"/>
  <c r="Q42"/>
  <c r="H41"/>
  <c r="R42"/>
  <c r="R44" s="1"/>
  <c r="N40"/>
  <c r="N44" s="1"/>
  <c r="M42"/>
  <c r="L37"/>
  <c r="W37" s="1"/>
  <c r="L36"/>
  <c r="W36" s="1"/>
  <c r="L35"/>
  <c r="L41"/>
  <c r="L44" s="1"/>
  <c r="F8" i="61"/>
  <c r="B13" s="1"/>
  <c r="I19" i="63"/>
  <c r="C17"/>
  <c r="I15"/>
  <c r="F11"/>
  <c r="I6" i="13" l="1"/>
  <c r="D25" i="29"/>
  <c r="D29"/>
  <c r="F25"/>
  <c r="F29"/>
  <c r="F26"/>
  <c r="F30"/>
  <c r="D26"/>
  <c r="D30"/>
  <c r="F27"/>
  <c r="D27"/>
  <c r="F28"/>
  <c r="D28"/>
  <c r="C10" i="23"/>
  <c r="C11" s="1"/>
  <c r="C13"/>
  <c r="C12" s="1"/>
  <c r="P39" i="50"/>
  <c r="P44"/>
  <c r="W43"/>
  <c r="J44"/>
  <c r="D43" i="52"/>
  <c r="D42"/>
  <c r="G43"/>
  <c r="G42"/>
  <c r="F43"/>
  <c r="F42"/>
  <c r="H43"/>
  <c r="H42"/>
  <c r="G46"/>
  <c r="G44"/>
  <c r="G45"/>
  <c r="F46"/>
  <c r="F45"/>
  <c r="F44"/>
  <c r="H46"/>
  <c r="H45"/>
  <c r="H44"/>
  <c r="D46"/>
  <c r="D45"/>
  <c r="D44"/>
  <c r="Y114" i="33"/>
  <c r="R30" s="1"/>
  <c r="AD44" s="1"/>
  <c r="D115" i="35"/>
  <c r="O38" i="7"/>
  <c r="L41" s="1"/>
  <c r="H44"/>
  <c r="F45"/>
  <c r="F9" i="15"/>
  <c r="D82" i="67"/>
  <c r="C81"/>
  <c r="D92"/>
  <c r="C91"/>
  <c r="D57"/>
  <c r="C56"/>
  <c r="E31" i="65"/>
  <c r="E32"/>
  <c r="L24" i="35"/>
  <c r="E68" i="49"/>
  <c r="D68"/>
  <c r="D187" i="4"/>
  <c r="B188"/>
  <c r="K33" i="35"/>
  <c r="M32"/>
  <c r="J51"/>
  <c r="D124" i="5"/>
  <c r="B125"/>
  <c r="D53" i="4"/>
  <c r="AG36" s="1"/>
  <c r="AG34"/>
  <c r="F53"/>
  <c r="N48"/>
  <c r="N50" s="1"/>
  <c r="M52" s="1"/>
  <c r="H202"/>
  <c r="D54"/>
  <c r="AG37" s="1"/>
  <c r="W42" i="50"/>
  <c r="M44"/>
  <c r="W35"/>
  <c r="G39"/>
  <c r="L11" i="55"/>
  <c r="L12" s="1"/>
  <c r="L13" s="1"/>
  <c r="L14" s="1"/>
  <c r="L15" s="1"/>
  <c r="L16" s="1"/>
  <c r="L17" s="1"/>
  <c r="L18" s="1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L38" s="1"/>
  <c r="L39" s="1"/>
  <c r="L40" s="1"/>
  <c r="L41" s="1"/>
  <c r="L42" s="1"/>
  <c r="M11"/>
  <c r="M12" s="1"/>
  <c r="M13" s="1"/>
  <c r="M14" s="1"/>
  <c r="M15" s="1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H44"/>
  <c r="K1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F12" i="51"/>
  <c r="G13"/>
  <c r="H12"/>
  <c r="C113" i="35"/>
  <c r="C115"/>
  <c r="G113"/>
  <c r="G115"/>
  <c r="E25" i="33"/>
  <c r="F25" s="1"/>
  <c r="I25" s="1"/>
  <c r="H25" s="1"/>
  <c r="E29"/>
  <c r="F29" s="1"/>
  <c r="I29" s="1"/>
  <c r="H29" s="1"/>
  <c r="D34" i="31"/>
  <c r="F35"/>
  <c r="R25" i="28"/>
  <c r="R26" s="1"/>
  <c r="R27" s="1"/>
  <c r="R28" s="1"/>
  <c r="R29" s="1"/>
  <c r="R30" s="1"/>
  <c r="R31" s="1"/>
  <c r="R32" s="1"/>
  <c r="R33" s="1"/>
  <c r="R34" s="1"/>
  <c r="R35" s="1"/>
  <c r="R36" s="1"/>
  <c r="B20"/>
  <c r="B138" i="5"/>
  <c r="AR24" i="4"/>
  <c r="I120"/>
  <c r="I121" s="1"/>
  <c r="AR25" s="1"/>
  <c r="Q39" i="50"/>
  <c r="N17" i="2"/>
  <c r="N26" i="38"/>
  <c r="E27" i="34"/>
  <c r="F24" s="1"/>
  <c r="G24" s="1"/>
  <c r="J24" s="1"/>
  <c r="I24" s="1"/>
  <c r="E26"/>
  <c r="F31" s="1"/>
  <c r="G31" s="1"/>
  <c r="J31" s="1"/>
  <c r="I31" s="1"/>
  <c r="E30"/>
  <c r="F33" s="1"/>
  <c r="G33" s="1"/>
  <c r="J33" s="1"/>
  <c r="I33" s="1"/>
  <c r="P29" i="33"/>
  <c r="AC41" s="1"/>
  <c r="W114"/>
  <c r="P30" s="1"/>
  <c r="AD42" s="1"/>
  <c r="E31" i="34"/>
  <c r="F26" s="1"/>
  <c r="G26" s="1"/>
  <c r="J26" s="1"/>
  <c r="I26" s="1"/>
  <c r="F23"/>
  <c r="G23" s="1"/>
  <c r="J23" s="1"/>
  <c r="I23" s="1"/>
  <c r="F25"/>
  <c r="G25" s="1"/>
  <c r="J25" s="1"/>
  <c r="I25" s="1"/>
  <c r="F34"/>
  <c r="G34" s="1"/>
  <c r="J34" s="1"/>
  <c r="I34" s="1"/>
  <c r="W41" i="50"/>
  <c r="H44"/>
  <c r="W38"/>
  <c r="S39"/>
  <c r="C36" i="37"/>
  <c r="D36" s="1"/>
  <c r="E36" s="1"/>
  <c r="F36" s="1"/>
  <c r="G36" s="1"/>
  <c r="N27"/>
  <c r="I52" i="55"/>
  <c r="X44" s="1"/>
  <c r="I53"/>
  <c r="X45" s="1"/>
  <c r="F12" i="53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H12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G12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F128" i="49"/>
  <c r="B128"/>
  <c r="F111"/>
  <c r="D110"/>
  <c r="G127"/>
  <c r="C127"/>
  <c r="D127"/>
  <c r="H127"/>
  <c r="O82" i="35"/>
  <c r="P82"/>
  <c r="P84" s="1"/>
  <c r="E113"/>
  <c r="E115"/>
  <c r="D26" i="33"/>
  <c r="D30"/>
  <c r="P30" i="35"/>
  <c r="E23" i="33"/>
  <c r="E27"/>
  <c r="F27" s="1"/>
  <c r="I27" s="1"/>
  <c r="H27" s="1"/>
  <c r="R102"/>
  <c r="P101"/>
  <c r="B13" i="22"/>
  <c r="C13" s="1"/>
  <c r="A14"/>
  <c r="J202" i="4"/>
  <c r="K202"/>
  <c r="I203"/>
  <c r="I204"/>
  <c r="I205"/>
  <c r="I206"/>
  <c r="I180"/>
  <c r="AR40" s="1"/>
  <c r="I183"/>
  <c r="AR41" s="1"/>
  <c r="I179"/>
  <c r="I182"/>
  <c r="E50" i="5"/>
  <c r="E51" s="1"/>
  <c r="B137"/>
  <c r="B52"/>
  <c r="B53" s="1"/>
  <c r="O42"/>
  <c r="L39" i="50"/>
  <c r="O39"/>
  <c r="Q44"/>
  <c r="W40"/>
  <c r="I11" i="55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F22" i="34"/>
  <c r="G22" s="1"/>
  <c r="J22" s="1"/>
  <c r="I22" s="1"/>
  <c r="F32"/>
  <c r="G32" s="1"/>
  <c r="J32" s="1"/>
  <c r="I32" s="1"/>
  <c r="I88" i="4"/>
  <c r="I89" s="1"/>
  <c r="I90" s="1"/>
  <c r="AN25" s="1"/>
  <c r="U25" i="34"/>
  <c r="BH8" s="1"/>
  <c r="E21"/>
  <c r="F21" s="1"/>
  <c r="E33"/>
  <c r="F27" s="1"/>
  <c r="G27" s="1"/>
  <c r="J27" s="1"/>
  <c r="I27" s="1"/>
  <c r="F36"/>
  <c r="G36" s="1"/>
  <c r="J36" s="1"/>
  <c r="I36" s="1"/>
  <c r="U114" i="33"/>
  <c r="N30" s="1"/>
  <c r="AD40" s="1"/>
  <c r="H45" i="7" l="1"/>
  <c r="F46"/>
  <c r="D91" i="67"/>
  <c r="C90"/>
  <c r="D81"/>
  <c r="C80"/>
  <c r="C55"/>
  <c r="D56"/>
  <c r="R103" i="33"/>
  <c r="P102"/>
  <c r="E24"/>
  <c r="F24" s="1"/>
  <c r="I24" s="1"/>
  <c r="H24" s="1"/>
  <c r="E28"/>
  <c r="F28" s="1"/>
  <c r="I28" s="1"/>
  <c r="H28" s="1"/>
  <c r="C128" i="49"/>
  <c r="G128"/>
  <c r="B129"/>
  <c r="F129"/>
  <c r="C136" i="5"/>
  <c r="C137"/>
  <c r="B139"/>
  <c r="H52" i="55"/>
  <c r="W44" s="1"/>
  <c r="H53"/>
  <c r="W45" s="1"/>
  <c r="W39" i="50"/>
  <c r="AA11" s="1"/>
  <c r="O32" i="35"/>
  <c r="P31"/>
  <c r="AA14" i="50"/>
  <c r="I181" i="4"/>
  <c r="F51"/>
  <c r="G40" i="34"/>
  <c r="BD25" s="1"/>
  <c r="G41"/>
  <c r="BD26" s="1"/>
  <c r="O43" i="5"/>
  <c r="E52"/>
  <c r="E53" s="1"/>
  <c r="R43" s="1"/>
  <c r="R42"/>
  <c r="J203" i="4"/>
  <c r="J205"/>
  <c r="J204"/>
  <c r="J206"/>
  <c r="W44" i="50"/>
  <c r="AB14" s="1"/>
  <c r="K203" i="4"/>
  <c r="K204"/>
  <c r="K205"/>
  <c r="K206"/>
  <c r="B14" i="22"/>
  <c r="C14" s="1"/>
  <c r="A15"/>
  <c r="E30" i="33"/>
  <c r="F30" s="1"/>
  <c r="I30" s="1"/>
  <c r="H30" s="1"/>
  <c r="E26"/>
  <c r="F26" s="1"/>
  <c r="I26" s="1"/>
  <c r="H26" s="1"/>
  <c r="D128" i="49"/>
  <c r="H128"/>
  <c r="F112"/>
  <c r="D111"/>
  <c r="D35" i="31"/>
  <c r="F36"/>
  <c r="H13" i="51"/>
  <c r="F13"/>
  <c r="G14"/>
  <c r="J53" i="4"/>
  <c r="AH36" s="1"/>
  <c r="H53"/>
  <c r="D125" i="5"/>
  <c r="B126"/>
  <c r="K34" i="35"/>
  <c r="L33"/>
  <c r="M33" s="1"/>
  <c r="P32" s="1"/>
  <c r="J52"/>
  <c r="M34"/>
  <c r="D188" i="4"/>
  <c r="B189"/>
  <c r="F35" i="34"/>
  <c r="G35" s="1"/>
  <c r="J35" s="1"/>
  <c r="I35" s="1"/>
  <c r="F29"/>
  <c r="G29" s="1"/>
  <c r="J29" s="1"/>
  <c r="I29" s="1"/>
  <c r="H46" i="7" l="1"/>
  <c r="F47"/>
  <c r="D80" i="67"/>
  <c r="C79"/>
  <c r="D90"/>
  <c r="C89"/>
  <c r="C54"/>
  <c r="D54" s="1"/>
  <c r="D55"/>
  <c r="J51" i="4"/>
  <c r="H51"/>
  <c r="AE39" s="1"/>
  <c r="H40" i="34"/>
  <c r="BE25" s="1"/>
  <c r="H41"/>
  <c r="BE26" s="1"/>
  <c r="B190" i="4"/>
  <c r="D189"/>
  <c r="O34" i="35"/>
  <c r="O33"/>
  <c r="P33"/>
  <c r="D126" i="5"/>
  <c r="B127"/>
  <c r="AE40" i="4"/>
  <c r="E54"/>
  <c r="AG40" s="1"/>
  <c r="F14" i="51"/>
  <c r="G15"/>
  <c r="H14"/>
  <c r="F113" i="49"/>
  <c r="D112"/>
  <c r="B15" i="22"/>
  <c r="C15" s="1"/>
  <c r="A16"/>
  <c r="D136" i="5"/>
  <c r="A140" s="1"/>
  <c r="O20" s="1"/>
  <c r="D137"/>
  <c r="G129" i="49"/>
  <c r="C129"/>
  <c r="B34" i="33"/>
  <c r="X34" s="1"/>
  <c r="B35"/>
  <c r="X35" s="1"/>
  <c r="R104"/>
  <c r="P103"/>
  <c r="AB11" i="50"/>
  <c r="T42" i="5"/>
  <c r="T41"/>
  <c r="AB13" i="50"/>
  <c r="AB12"/>
  <c r="K35" i="35"/>
  <c r="M36"/>
  <c r="J53"/>
  <c r="L34"/>
  <c r="M35" s="1"/>
  <c r="P34" s="1"/>
  <c r="D36" i="31"/>
  <c r="F37"/>
  <c r="D129" i="49"/>
  <c r="H129"/>
  <c r="AA13" i="50"/>
  <c r="AA12"/>
  <c r="F130" i="49"/>
  <c r="F131" s="1"/>
  <c r="B130"/>
  <c r="H47" i="7" l="1"/>
  <c r="F48"/>
  <c r="D89" i="67"/>
  <c r="C88"/>
  <c r="D79"/>
  <c r="C78"/>
  <c r="F114" i="49"/>
  <c r="D113"/>
  <c r="H15" i="51"/>
  <c r="F15"/>
  <c r="G16"/>
  <c r="D127" i="5"/>
  <c r="B128"/>
  <c r="B131" i="49"/>
  <c r="B132" s="1"/>
  <c r="B133" s="1"/>
  <c r="B134" s="1"/>
  <c r="D37" i="31"/>
  <c r="F38"/>
  <c r="O35" i="35"/>
  <c r="P35"/>
  <c r="O36"/>
  <c r="R105" i="33"/>
  <c r="P104"/>
  <c r="D130" i="49"/>
  <c r="D131" s="1"/>
  <c r="D132" s="1"/>
  <c r="D133" s="1"/>
  <c r="D134" s="1"/>
  <c r="H130"/>
  <c r="H131" s="1"/>
  <c r="K36" i="35"/>
  <c r="J54"/>
  <c r="L35"/>
  <c r="M37" s="1"/>
  <c r="M38"/>
  <c r="C130" i="49"/>
  <c r="C131" s="1"/>
  <c r="C132" s="1"/>
  <c r="C133" s="1"/>
  <c r="C134" s="1"/>
  <c r="G130"/>
  <c r="G131" s="1"/>
  <c r="B16" i="22"/>
  <c r="C16" s="1"/>
  <c r="A17"/>
  <c r="D190" i="4"/>
  <c r="B191"/>
  <c r="H48" i="7" l="1"/>
  <c r="F49"/>
  <c r="D78" i="67"/>
  <c r="C77"/>
  <c r="D88"/>
  <c r="C87"/>
  <c r="C135" i="49"/>
  <c r="E46" s="1"/>
  <c r="Q27" s="1"/>
  <c r="P105" i="33"/>
  <c r="R109" s="1"/>
  <c r="R106"/>
  <c r="B192" i="4"/>
  <c r="D191"/>
  <c r="B17" i="22"/>
  <c r="C17" s="1"/>
  <c r="A18"/>
  <c r="O37" i="35"/>
  <c r="P37"/>
  <c r="K37"/>
  <c r="M40"/>
  <c r="J55"/>
  <c r="L36"/>
  <c r="M39" s="1"/>
  <c r="P38" s="1"/>
  <c r="D38" i="31"/>
  <c r="F39"/>
  <c r="D128" i="5"/>
  <c r="B129"/>
  <c r="F16" i="51"/>
  <c r="G17"/>
  <c r="H16"/>
  <c r="D114" i="49"/>
  <c r="F117" s="1"/>
  <c r="Q30" s="1"/>
  <c r="F115"/>
  <c r="D115" s="1"/>
  <c r="P36" i="35"/>
  <c r="B135" i="49"/>
  <c r="D46" s="1"/>
  <c r="Q26" s="1"/>
  <c r="O38" i="35"/>
  <c r="D135" i="49"/>
  <c r="F46" s="1"/>
  <c r="Q28" s="1"/>
  <c r="H49" i="7" l="1"/>
  <c r="F50"/>
  <c r="H50" s="1"/>
  <c r="D87" i="67"/>
  <c r="C86"/>
  <c r="D77"/>
  <c r="C76"/>
  <c r="D192" i="4"/>
  <c r="B193"/>
  <c r="AD47" i="33"/>
  <c r="P33"/>
  <c r="K38" i="35"/>
  <c r="L37"/>
  <c r="M41" s="1"/>
  <c r="P40" s="1"/>
  <c r="J56"/>
  <c r="M42"/>
  <c r="H17" i="51"/>
  <c r="G18"/>
  <c r="F17"/>
  <c r="D129" i="5"/>
  <c r="B130"/>
  <c r="D39" i="31"/>
  <c r="F40"/>
  <c r="O39" i="35"/>
  <c r="P39"/>
  <c r="O40"/>
  <c r="B18" i="22"/>
  <c r="C18" s="1"/>
  <c r="A19"/>
  <c r="P106" i="33"/>
  <c r="R107"/>
  <c r="P107" s="1"/>
  <c r="D76" i="67" l="1"/>
  <c r="C75"/>
  <c r="D86"/>
  <c r="C85"/>
  <c r="H18" i="51"/>
  <c r="G19"/>
  <c r="F18"/>
  <c r="O42" i="35"/>
  <c r="B194" i="4"/>
  <c r="D194" s="1"/>
  <c r="D193"/>
  <c r="B19" i="22"/>
  <c r="C19" s="1"/>
  <c r="A20"/>
  <c r="D40" i="31"/>
  <c r="F41"/>
  <c r="D130" i="5"/>
  <c r="B131"/>
  <c r="D131" s="1"/>
  <c r="K39" i="35"/>
  <c r="L38"/>
  <c r="M43" s="1"/>
  <c r="M44"/>
  <c r="J57"/>
  <c r="O41"/>
  <c r="P41"/>
  <c r="D85" i="67" l="1"/>
  <c r="C84"/>
  <c r="D84" s="1"/>
  <c r="C74"/>
  <c r="D74" s="1"/>
  <c r="D75"/>
  <c r="H19" i="51"/>
  <c r="G20"/>
  <c r="F19"/>
  <c r="O43" i="35"/>
  <c r="P43"/>
  <c r="D41" i="31"/>
  <c r="F42"/>
  <c r="B20" i="22"/>
  <c r="C20" s="1"/>
  <c r="A21"/>
  <c r="P42" i="35"/>
  <c r="O44"/>
  <c r="K40"/>
  <c r="J58"/>
  <c r="L39"/>
  <c r="M45" s="1"/>
  <c r="P44" s="1"/>
  <c r="M46"/>
  <c r="O46" l="1"/>
  <c r="O45"/>
  <c r="P45"/>
  <c r="K41"/>
  <c r="M48"/>
  <c r="J59"/>
  <c r="L40"/>
  <c r="M47" s="1"/>
  <c r="B21" i="22"/>
  <c r="C21" s="1"/>
  <c r="A22"/>
  <c r="D42" i="31"/>
  <c r="F43"/>
  <c r="H20" i="51"/>
  <c r="G21"/>
  <c r="F20"/>
  <c r="K42" i="35" l="1"/>
  <c r="L41"/>
  <c r="M49" s="1"/>
  <c r="J60"/>
  <c r="M50"/>
  <c r="H21" i="51"/>
  <c r="G22"/>
  <c r="F21"/>
  <c r="D43" i="31"/>
  <c r="F44"/>
  <c r="B22" i="22"/>
  <c r="C22" s="1"/>
  <c r="A23"/>
  <c r="O47" i="35"/>
  <c r="P47"/>
  <c r="O48"/>
  <c r="P46"/>
  <c r="H22" i="51" l="1"/>
  <c r="G23"/>
  <c r="F22"/>
  <c r="O50" i="35"/>
  <c r="O49"/>
  <c r="P49"/>
  <c r="B23" i="22"/>
  <c r="C23" s="1"/>
  <c r="A24"/>
  <c r="D44" i="31"/>
  <c r="F45"/>
  <c r="K43" i="35"/>
  <c r="L42"/>
  <c r="M51" s="1"/>
  <c r="M52"/>
  <c r="J61"/>
  <c r="P48"/>
  <c r="O52" l="1"/>
  <c r="K44"/>
  <c r="J62"/>
  <c r="L43"/>
  <c r="M53" s="1"/>
  <c r="P52" s="1"/>
  <c r="M54"/>
  <c r="O51"/>
  <c r="P51"/>
  <c r="D45" i="31"/>
  <c r="F46"/>
  <c r="B24" i="22"/>
  <c r="C24" s="1"/>
  <c r="A25"/>
  <c r="P50" i="35"/>
  <c r="H23" i="51"/>
  <c r="G24"/>
  <c r="F23"/>
  <c r="O53" i="35" l="1"/>
  <c r="P53"/>
  <c r="K45"/>
  <c r="M56"/>
  <c r="J63"/>
  <c r="L44"/>
  <c r="M55" s="1"/>
  <c r="H24" i="51"/>
  <c r="G25"/>
  <c r="F24"/>
  <c r="B25" i="22"/>
  <c r="C25" s="1"/>
  <c r="A26"/>
  <c r="D46" i="31"/>
  <c r="F47"/>
  <c r="O54" i="35"/>
  <c r="H25" i="51" l="1"/>
  <c r="G26"/>
  <c r="F25"/>
  <c r="O55" i="35"/>
  <c r="P55"/>
  <c r="O56"/>
  <c r="D47" i="31"/>
  <c r="F48"/>
  <c r="B26" i="22"/>
  <c r="C26" s="1"/>
  <c r="A27"/>
  <c r="B27" s="1"/>
  <c r="C27" s="1"/>
  <c r="A28"/>
  <c r="B28" s="1"/>
  <c r="C28" s="1"/>
  <c r="K46" i="35"/>
  <c r="L45"/>
  <c r="M57" s="1"/>
  <c r="J64"/>
  <c r="M58"/>
  <c r="P54"/>
  <c r="O58" l="1"/>
  <c r="O57"/>
  <c r="P57"/>
  <c r="K47"/>
  <c r="L46"/>
  <c r="M59" s="1"/>
  <c r="M60"/>
  <c r="J65"/>
  <c r="D48" i="31"/>
  <c r="F49"/>
  <c r="P56" i="35"/>
  <c r="H26" i="51"/>
  <c r="G27"/>
  <c r="F26"/>
  <c r="H27" l="1"/>
  <c r="G28"/>
  <c r="F27"/>
  <c r="O60" i="35"/>
  <c r="J66"/>
  <c r="K50" s="1" a="1"/>
  <c r="L47"/>
  <c r="M61" s="1"/>
  <c r="K48"/>
  <c r="M62"/>
  <c r="D49" i="31"/>
  <c r="F50"/>
  <c r="O59" i="35"/>
  <c r="P59"/>
  <c r="P58"/>
  <c r="L48" l="1"/>
  <c r="M63" s="1"/>
  <c r="M64"/>
  <c r="J67"/>
  <c r="D50" i="31"/>
  <c r="F51"/>
  <c r="O62" i="35"/>
  <c r="P62"/>
  <c r="O61"/>
  <c r="P61"/>
  <c r="P60"/>
  <c r="K50"/>
  <c r="K53"/>
  <c r="N35" s="1"/>
  <c r="K54"/>
  <c r="N37" s="1"/>
  <c r="K57"/>
  <c r="N43" s="1"/>
  <c r="K58"/>
  <c r="N45" s="1"/>
  <c r="K61"/>
  <c r="N51" s="1"/>
  <c r="K62"/>
  <c r="N53" s="1"/>
  <c r="K64"/>
  <c r="N57" s="1"/>
  <c r="K65"/>
  <c r="N59" s="1"/>
  <c r="K51"/>
  <c r="N31" s="1"/>
  <c r="N65" s="1"/>
  <c r="K52"/>
  <c r="N33" s="1"/>
  <c r="K55"/>
  <c r="N39" s="1"/>
  <c r="K56"/>
  <c r="N41" s="1"/>
  <c r="K59"/>
  <c r="N47" s="1"/>
  <c r="K60"/>
  <c r="N49" s="1"/>
  <c r="K63"/>
  <c r="N55" s="1"/>
  <c r="K66"/>
  <c r="N61" s="1"/>
  <c r="H28" i="51"/>
  <c r="G29"/>
  <c r="F28"/>
  <c r="H29" l="1"/>
  <c r="G30"/>
  <c r="F29"/>
  <c r="K69" i="35"/>
  <c r="K68"/>
  <c r="L68" s="1"/>
  <c r="D51" i="31"/>
  <c r="F52"/>
  <c r="O63" i="35"/>
  <c r="P63"/>
  <c r="P64"/>
  <c r="O64"/>
  <c r="D52" i="31" l="1"/>
  <c r="F53"/>
  <c r="O31" i="35"/>
  <c r="O30"/>
  <c r="H30" i="51"/>
  <c r="G31"/>
  <c r="F30"/>
  <c r="H31" l="1"/>
  <c r="G32"/>
  <c r="F31"/>
  <c r="D53" i="31"/>
  <c r="F54"/>
  <c r="D54" l="1"/>
  <c r="F55"/>
  <c r="H32" i="51"/>
  <c r="G33"/>
  <c r="F32"/>
  <c r="H33" l="1"/>
  <c r="G34"/>
  <c r="F33"/>
  <c r="D55" i="31"/>
  <c r="F56"/>
  <c r="H34" i="51" l="1"/>
  <c r="G35"/>
  <c r="F34"/>
  <c r="D56" i="31"/>
  <c r="F57"/>
  <c r="H35" i="51" l="1"/>
  <c r="G36"/>
  <c r="F35"/>
  <c r="D57" i="31"/>
  <c r="F58"/>
  <c r="H36" i="51" l="1"/>
  <c r="G37"/>
  <c r="F36"/>
  <c r="D58" i="31"/>
  <c r="F59"/>
  <c r="H37" i="51" l="1"/>
  <c r="G38"/>
  <c r="F37"/>
  <c r="D59" i="31"/>
  <c r="F60"/>
  <c r="H38" i="51" l="1"/>
  <c r="G39"/>
  <c r="F38"/>
  <c r="D60" i="31"/>
  <c r="F61"/>
  <c r="H39" i="51" l="1"/>
  <c r="G40"/>
  <c r="F39"/>
  <c r="D61" i="31"/>
  <c r="F62"/>
  <c r="H40" i="51" l="1"/>
  <c r="F40"/>
  <c r="D62" i="31"/>
  <c r="F63"/>
  <c r="D63" l="1"/>
  <c r="F64"/>
  <c r="D64" l="1"/>
  <c r="F65"/>
  <c r="D65" l="1"/>
  <c r="F66"/>
  <c r="D66" l="1"/>
  <c r="F67"/>
  <c r="D67" l="1"/>
  <c r="F68"/>
  <c r="D68" l="1"/>
  <c r="F69"/>
  <c r="D69" l="1"/>
  <c r="F70"/>
  <c r="D70" l="1"/>
  <c r="F71"/>
  <c r="D71" l="1"/>
  <c r="F72"/>
  <c r="D72" l="1"/>
  <c r="F73"/>
  <c r="D73" l="1"/>
  <c r="F74"/>
  <c r="D74" l="1"/>
  <c r="F75"/>
  <c r="D75" l="1"/>
  <c r="F76"/>
  <c r="D76" l="1"/>
  <c r="F77"/>
  <c r="D77" l="1"/>
  <c r="F78"/>
  <c r="D78" l="1"/>
  <c r="F79"/>
  <c r="D79" l="1"/>
  <c r="F80"/>
  <c r="D80" l="1"/>
  <c r="F81"/>
  <c r="D81" l="1"/>
  <c r="F82"/>
  <c r="D82" l="1"/>
  <c r="F83"/>
  <c r="D83" l="1"/>
  <c r="F84"/>
  <c r="D84" l="1"/>
  <c r="F85"/>
  <c r="D85" l="1"/>
  <c r="F86"/>
  <c r="D86" l="1"/>
  <c r="F87"/>
  <c r="D87" l="1"/>
  <c r="F88"/>
  <c r="D88" l="1"/>
  <c r="F89"/>
  <c r="D89" l="1"/>
  <c r="F90"/>
  <c r="D90" l="1"/>
  <c r="F91"/>
  <c r="D91" l="1"/>
  <c r="F92"/>
  <c r="D92" l="1"/>
  <c r="F93"/>
  <c r="D93" l="1"/>
  <c r="F94"/>
  <c r="D94" l="1"/>
  <c r="F95"/>
  <c r="D95" l="1"/>
  <c r="F96"/>
  <c r="D96" l="1"/>
  <c r="F97"/>
  <c r="D97" l="1"/>
  <c r="F98"/>
  <c r="D98" l="1"/>
  <c r="F99"/>
  <c r="D99" l="1"/>
  <c r="F100"/>
  <c r="D100" l="1"/>
  <c r="F101"/>
  <c r="D101" l="1"/>
  <c r="F102"/>
  <c r="D102" l="1"/>
  <c r="F103"/>
  <c r="D103" l="1"/>
  <c r="F104"/>
  <c r="D104" l="1"/>
  <c r="F105"/>
  <c r="D105" l="1"/>
  <c r="F106"/>
  <c r="D106" l="1"/>
  <c r="F107"/>
  <c r="D107" l="1"/>
  <c r="F108"/>
  <c r="D108" l="1"/>
  <c r="F109"/>
  <c r="D109" l="1"/>
  <c r="F110"/>
  <c r="D110" l="1"/>
  <c r="F111"/>
  <c r="D111" l="1"/>
  <c r="F112"/>
  <c r="D112" l="1"/>
  <c r="F113"/>
  <c r="D113" l="1"/>
  <c r="F114"/>
  <c r="D114" l="1"/>
  <c r="F115"/>
  <c r="D115" l="1"/>
  <c r="F116"/>
  <c r="D116" l="1"/>
  <c r="F117"/>
  <c r="D117" l="1"/>
  <c r="F118"/>
  <c r="D118" l="1"/>
  <c r="F119"/>
  <c r="F120" l="1"/>
  <c r="D119"/>
  <c r="F121" l="1"/>
  <c r="D120"/>
  <c r="F122" l="1"/>
  <c r="D121"/>
  <c r="F123" l="1"/>
  <c r="D122"/>
  <c r="F124" l="1"/>
  <c r="D123"/>
  <c r="F125" l="1"/>
  <c r="D124"/>
  <c r="F126" l="1"/>
  <c r="D125"/>
  <c r="F127" l="1"/>
  <c r="D126"/>
  <c r="F128" l="1"/>
  <c r="D127"/>
  <c r="F129" l="1"/>
  <c r="D128"/>
  <c r="F130" l="1"/>
  <c r="D129"/>
  <c r="F131" l="1"/>
  <c r="D130"/>
  <c r="F132" l="1"/>
  <c r="D132" s="1"/>
  <c r="D131"/>
</calcChain>
</file>

<file path=xl/sharedStrings.xml><?xml version="1.0" encoding="utf-8"?>
<sst xmlns="http://schemas.openxmlformats.org/spreadsheetml/2006/main" count="3298" uniqueCount="1406">
  <si>
    <t>Required Endcount =</t>
  </si>
  <si>
    <t>Confidence Levels: .90, .95, .99 &amp; .999</t>
  </si>
  <si>
    <t/>
  </si>
  <si>
    <t>Sample Size for One Level</t>
  </si>
  <si>
    <t>Total Sample Size =</t>
  </si>
  <si>
    <t>Low Sample Size:</t>
  </si>
  <si>
    <t>High Sample Size:</t>
  </si>
  <si>
    <r>
      <t>Hi</t>
    </r>
    <r>
      <rPr>
        <vertAlign val="subscript"/>
        <sz val="10"/>
        <rFont val="Times New Roman"/>
        <family val="1"/>
      </rPr>
      <t>1</t>
    </r>
  </si>
  <si>
    <r>
      <t>Hi</t>
    </r>
    <r>
      <rPr>
        <vertAlign val="subscript"/>
        <sz val="10"/>
        <rFont val="Times New Roman"/>
        <family val="1"/>
      </rPr>
      <t>2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</si>
  <si>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3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</si>
  <si>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4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</si>
  <si>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5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</si>
  <si>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6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</si>
  <si>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7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</si>
  <si>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8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</si>
  <si>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9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</si>
  <si>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10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</si>
  <si>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2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</si>
  <si>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3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</si>
  <si>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4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</si>
  <si>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5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</si>
  <si>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6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</si>
  <si>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7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</si>
  <si>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8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</si>
  <si>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9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</si>
  <si>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10</t>
    </r>
    <r>
      <rPr>
        <sz val="10"/>
        <rFont val="Arial"/>
        <family val="2"/>
      </rPr>
      <t/>
    </r>
  </si>
  <si>
    <r>
      <t xml:space="preserve">Both levels must have the </t>
    </r>
    <r>
      <rPr>
        <b/>
        <i/>
        <sz val="10"/>
        <rFont val="Times New Roman"/>
        <family val="1"/>
      </rPr>
      <t>same</t>
    </r>
    <r>
      <rPr>
        <b/>
        <sz val="10"/>
        <rFont val="Times New Roman"/>
        <family val="1"/>
      </rPr>
      <t xml:space="preserve"> sample size</t>
    </r>
  </si>
  <si>
    <r>
      <t>Hi</t>
    </r>
    <r>
      <rPr>
        <vertAlign val="subscript"/>
        <sz val="10"/>
        <rFont val="Times New Roman"/>
        <family val="1"/>
      </rPr>
      <t>11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</si>
  <si>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12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</si>
  <si>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13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</si>
  <si>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14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</si>
  <si>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15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</si>
  <si>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16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</si>
  <si>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17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</si>
  <si>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18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</si>
  <si>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19</t>
    </r>
    <r>
      <rPr>
        <sz val="10"/>
        <rFont val="Arial"/>
        <family val="2"/>
      </rPr>
      <t/>
    </r>
  </si>
  <si>
    <r>
      <t>Hi</t>
    </r>
    <r>
      <rPr>
        <vertAlign val="subscript"/>
        <sz val="10"/>
        <rFont val="Times New Roman"/>
        <family val="1"/>
      </rPr>
      <t>20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</si>
  <si>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11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</si>
  <si>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12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</si>
  <si>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13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</si>
  <si>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14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</si>
  <si>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15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</si>
  <si>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16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</si>
  <si>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17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</si>
  <si>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18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</si>
  <si>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19</t>
    </r>
    <r>
      <rPr>
        <sz val="10"/>
        <rFont val="Arial"/>
        <family val="2"/>
      </rPr>
      <t/>
    </r>
  </si>
  <si>
    <r>
      <t>Lo</t>
    </r>
    <r>
      <rPr>
        <vertAlign val="subscript"/>
        <sz val="10"/>
        <rFont val="Times New Roman"/>
        <family val="1"/>
      </rPr>
      <t>20</t>
    </r>
    <r>
      <rPr>
        <sz val="10"/>
        <rFont val="Arial"/>
        <family val="2"/>
      </rPr>
      <t/>
    </r>
  </si>
  <si>
    <t>Sequence Range</t>
  </si>
  <si>
    <t>Random Number Sequence</t>
  </si>
  <si>
    <t>Lowerbound of number sequence is 1</t>
  </si>
  <si>
    <t>(1) select 'Generate Random Numbers' button and enter lower and upper bounds</t>
  </si>
  <si>
    <t>In the appropriate fields as prompted.</t>
  </si>
  <si>
    <t xml:space="preserve">X = </t>
  </si>
  <si>
    <t xml:space="preserve">The Y = </t>
  </si>
  <si>
    <t>Lower Limit</t>
  </si>
  <si>
    <t>Expected Value</t>
  </si>
  <si>
    <t>Upper Limit</t>
  </si>
  <si>
    <t>Se =</t>
  </si>
  <si>
    <t>Given Y:</t>
  </si>
  <si>
    <t>Then X:</t>
  </si>
  <si>
    <t>Formulas:</t>
  </si>
  <si>
    <r>
      <t>r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 xml:space="preserve"> =</t>
    </r>
  </si>
  <si>
    <t xml:space="preserve">(The Tool) X = </t>
  </si>
  <si>
    <t>LTL</t>
  </si>
  <si>
    <t>UTL</t>
  </si>
  <si>
    <r>
      <t>s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 xml:space="preserve"> =</t>
    </r>
  </si>
  <si>
    <r>
      <t>LTL</t>
    </r>
    <r>
      <rPr>
        <b/>
        <vertAlign val="subscript"/>
        <sz val="10"/>
        <rFont val="Times New Roman"/>
        <family val="1"/>
      </rPr>
      <t>Y</t>
    </r>
  </si>
  <si>
    <r>
      <t>UTL</t>
    </r>
    <r>
      <rPr>
        <b/>
        <vertAlign val="subscript"/>
        <sz val="10"/>
        <rFont val="Times New Roman"/>
        <family val="1"/>
      </rPr>
      <t>Y</t>
    </r>
  </si>
  <si>
    <t xml:space="preserve">adjust X &amp; Y scales to be the same </t>
  </si>
  <si>
    <t>Units</t>
  </si>
  <si>
    <t>so the tolerance zone is a circle</t>
  </si>
  <si>
    <t>Date</t>
  </si>
  <si>
    <t>Center Line Length:</t>
  </si>
  <si>
    <t xml:space="preserve">   True Position</t>
  </si>
  <si>
    <t>R</t>
  </si>
  <si>
    <t>X SPEC</t>
  </si>
  <si>
    <t>Y SPEC</t>
  </si>
  <si>
    <t>Degrees</t>
  </si>
  <si>
    <t>Nominal Lines</t>
  </si>
  <si>
    <t>Nominal X,Y</t>
  </si>
  <si>
    <t>Nominal X, Max Y</t>
  </si>
  <si>
    <t>Nominal X, Y</t>
  </si>
  <si>
    <t>Max X, Nom Y</t>
  </si>
  <si>
    <t>Min X, Nom Y</t>
  </si>
  <si>
    <t>Nom X, Min Y</t>
  </si>
  <si>
    <t>Sensitivity, Specificity, PPR &amp; NPR Calculator</t>
  </si>
  <si>
    <t>Modify BLUE values ONLY</t>
  </si>
  <si>
    <t>Truth / Standard</t>
  </si>
  <si>
    <t>Pos</t>
  </si>
  <si>
    <t>Neg</t>
  </si>
  <si>
    <t>Parameter</t>
  </si>
  <si>
    <t>Desired Minimum PPR or NPR</t>
  </si>
  <si>
    <t>Probability Parameter
Meets Minimum</t>
  </si>
  <si>
    <t>Target Confidence Level</t>
  </si>
  <si>
    <t>Pass/Fail</t>
  </si>
  <si>
    <t>Result</t>
  </si>
  <si>
    <t>Positive Predictive Value</t>
  </si>
  <si>
    <t>True Positives</t>
  </si>
  <si>
    <t>False Positives</t>
  </si>
  <si>
    <t>Negative Predictive Value</t>
  </si>
  <si>
    <t>False Negatives</t>
  </si>
  <si>
    <t>True Negatives</t>
  </si>
  <si>
    <t>Sensitivity</t>
  </si>
  <si>
    <t>Specificity</t>
  </si>
  <si>
    <t>Prevalence</t>
  </si>
  <si>
    <t>Desired Minimum
Sensitivity or Specificity</t>
  </si>
  <si>
    <t>Binomial Result</t>
  </si>
  <si>
    <t>Enter Data in shaded cells</t>
  </si>
  <si>
    <r>
      <t xml:space="preserve"> </t>
    </r>
    <r>
      <rPr>
        <sz val="10"/>
        <rFont val="Symbol"/>
        <family val="1"/>
        <charset val="2"/>
      </rPr>
      <t>s</t>
    </r>
    <r>
      <rPr>
        <vertAlign val="subscript"/>
        <sz val="10"/>
        <rFont val="Times New Roman"/>
        <family val="1"/>
      </rPr>
      <t>T</t>
    </r>
    <r>
      <rPr>
        <sz val="10"/>
        <rFont val="Times New Roman"/>
        <family val="1"/>
      </rPr>
      <t xml:space="preserve"> = </t>
    </r>
  </si>
  <si>
    <t>Measurement</t>
  </si>
  <si>
    <t>MR</t>
  </si>
  <si>
    <t>Product</t>
  </si>
  <si>
    <t>Readings</t>
  </si>
  <si>
    <t>Unit</t>
  </si>
  <si>
    <t>A</t>
  </si>
  <si>
    <t>B</t>
  </si>
  <si>
    <t>Average X</t>
  </si>
  <si>
    <t>Range</t>
  </si>
  <si>
    <r>
      <t>s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= </t>
    </r>
  </si>
  <si>
    <t>r =</t>
  </si>
  <si>
    <r>
      <t>s</t>
    </r>
    <r>
      <rPr>
        <vertAlign val="subscript"/>
        <sz val="10"/>
        <rFont val="Times New Roman"/>
        <family val="1"/>
      </rPr>
      <t>p</t>
    </r>
    <r>
      <rPr>
        <sz val="10"/>
        <rFont val="Arial"/>
        <family val="2"/>
      </rPr>
      <t xml:space="preserve"> = </t>
    </r>
  </si>
  <si>
    <r>
      <t>D</t>
    </r>
    <r>
      <rPr>
        <b/>
        <vertAlign val="subscript"/>
        <sz val="10"/>
        <rFont val="Arial"/>
        <family val="2"/>
      </rPr>
      <t>r</t>
    </r>
    <r>
      <rPr>
        <b/>
        <sz val="10"/>
        <rFont val="Times New Roman"/>
        <family val="1"/>
      </rPr>
      <t xml:space="preserve"> = </t>
    </r>
  </si>
  <si>
    <r>
      <t>s</t>
    </r>
    <r>
      <rPr>
        <vertAlign val="subscript"/>
        <sz val="10"/>
        <rFont val="Times New Roman"/>
        <family val="1"/>
      </rPr>
      <t>T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</si>
  <si>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is </t>
    </r>
  </si>
  <si>
    <t>of the total variation</t>
  </si>
  <si>
    <t>n=</t>
  </si>
  <si>
    <t>Averages:</t>
  </si>
  <si>
    <t>Scratch Pad - Do Not Edit</t>
  </si>
  <si>
    <t xml:space="preserve">Characteristic: </t>
  </si>
  <si>
    <t xml:space="preserve">Problem: </t>
  </si>
  <si>
    <t xml:space="preserve">Date: </t>
  </si>
  <si>
    <t xml:space="preserve">Measurement 'A': </t>
  </si>
  <si>
    <t xml:space="preserve">Measurement 'B': </t>
  </si>
  <si>
    <t>Change graph scales (X AND Y)</t>
  </si>
  <si>
    <t xml:space="preserve">to be equal and just greater than </t>
  </si>
  <si>
    <t>your data range…</t>
  </si>
  <si>
    <r>
      <t xml:space="preserve">If </t>
    </r>
    <r>
      <rPr>
        <sz val="8"/>
        <rFont val="Symbol"/>
        <family val="1"/>
        <charset val="2"/>
      </rPr>
      <t>s</t>
    </r>
    <r>
      <rPr>
        <vertAlign val="subscript"/>
        <sz val="8"/>
        <rFont val="Times New Roman"/>
        <family val="1"/>
      </rPr>
      <t>T</t>
    </r>
    <r>
      <rPr>
        <sz val="8"/>
        <rFont val="Times New Roman"/>
        <family val="1"/>
      </rPr>
      <t xml:space="preserve"> is known, from historical data,</t>
    </r>
  </si>
  <si>
    <t xml:space="preserve">Equipment/Units: </t>
  </si>
  <si>
    <t>Measurement A</t>
  </si>
  <si>
    <t>Measurement B</t>
  </si>
  <si>
    <t>A/B</t>
  </si>
  <si>
    <t>K=</t>
  </si>
  <si>
    <t>Bubble</t>
  </si>
  <si>
    <t>sample size default = 20</t>
  </si>
  <si>
    <t>P/P</t>
  </si>
  <si>
    <t>F/P</t>
  </si>
  <si>
    <t>P/F</t>
  </si>
  <si>
    <t>F/F</t>
  </si>
  <si>
    <t>Pass</t>
  </si>
  <si>
    <t>Fail</t>
  </si>
  <si>
    <t>1=Pass</t>
  </si>
  <si>
    <t>2=Fail</t>
  </si>
  <si>
    <t>Enter Data in lightly shaded cells</t>
  </si>
  <si>
    <t>Tolerance Zone</t>
  </si>
  <si>
    <t>LSL</t>
  </si>
  <si>
    <t>USL</t>
  </si>
  <si>
    <r>
      <t>UCL</t>
    </r>
    <r>
      <rPr>
        <vertAlign val="subscript"/>
        <sz val="8"/>
        <color indexed="9"/>
        <rFont val="Times New Roman"/>
        <family val="1"/>
      </rPr>
      <t>R</t>
    </r>
  </si>
  <si>
    <t>Dr should be &gt; 7.0 to proceed.</t>
  </si>
  <si>
    <t>Instructions</t>
  </si>
  <si>
    <t>Amount</t>
  </si>
  <si>
    <t>Step 1. Fill out yellow spaces under Amount then click make table</t>
  </si>
  <si>
    <t>Number of Sample</t>
  </si>
  <si>
    <t>Kscore</t>
  </si>
  <si>
    <t>Step 2. Fill in yellow space in table with data</t>
  </si>
  <si>
    <t>Number of Judges</t>
  </si>
  <si>
    <t>Step 3. Click Calculate Results</t>
  </si>
  <si>
    <t>Number of Catagories</t>
  </si>
  <si>
    <t>Cat 0</t>
  </si>
  <si>
    <t>Cat 1</t>
  </si>
  <si>
    <t>Sample 1</t>
  </si>
  <si>
    <t>Sample 2</t>
  </si>
  <si>
    <t>Sum</t>
  </si>
  <si>
    <t>Pj</t>
  </si>
  <si>
    <t>Kj</t>
  </si>
  <si>
    <t>Gage R &amp; R:  Multiple Operators</t>
  </si>
  <si>
    <t>Data Sheet</t>
  </si>
  <si>
    <t>REPEATABILLITY &amp; REPRODUCIBILITY</t>
  </si>
  <si>
    <t>Part Name/Number</t>
  </si>
  <si>
    <t>Initial Check</t>
  </si>
  <si>
    <t>Overall System R&amp;R</t>
  </si>
  <si>
    <t>Individual Operator Repeatability</t>
  </si>
  <si>
    <t>Operator to Operator Comparison Plots</t>
  </si>
  <si>
    <t>Characteristic Name</t>
  </si>
  <si>
    <t>Equipment &amp; Units</t>
  </si>
  <si>
    <t>Date of Study</t>
  </si>
  <si>
    <t>Tolerance Range</t>
  </si>
  <si>
    <t>Round to:</t>
  </si>
  <si>
    <t>decimals</t>
  </si>
  <si>
    <t>Enter Data in Shaded Cells</t>
  </si>
  <si>
    <t>Operator 1</t>
  </si>
  <si>
    <t>Operator 2</t>
  </si>
  <si>
    <t>Operator 3</t>
  </si>
  <si>
    <t>Operator 4</t>
  </si>
  <si>
    <t>Trial A</t>
  </si>
  <si>
    <t>Trial B</t>
  </si>
  <si>
    <t>Average</t>
  </si>
  <si>
    <t xml:space="preserve">Dr = </t>
  </si>
  <si>
    <t>Repeatability</t>
  </si>
  <si>
    <t>Reproducibility</t>
  </si>
  <si>
    <t>R&amp;R</t>
  </si>
  <si>
    <t>Total Variation</t>
  </si>
  <si>
    <t>Avg</t>
  </si>
  <si>
    <t>Avg_1:</t>
  </si>
  <si>
    <t>Avg_2:</t>
  </si>
  <si>
    <t>Avg_3:</t>
  </si>
  <si>
    <t>Avg_4:</t>
  </si>
  <si>
    <t>Grand Unit Avg</t>
  </si>
  <si>
    <t>Rng</t>
  </si>
  <si>
    <t>Avg R_Op1:</t>
  </si>
  <si>
    <t>Avg R_Op2:</t>
  </si>
  <si>
    <t>Avg R_Op3:</t>
  </si>
  <si>
    <t>Avg R_Op4:</t>
  </si>
  <si>
    <t>Unit Avg Range</t>
  </si>
  <si>
    <t># Oper</t>
  </si>
  <si>
    <t>#Units</t>
  </si>
  <si>
    <t>=SQRT(((MAX(C43,E43,G43,I43)-MIN(C43,E43,G43,I43))/E48)^2-(D51^2/B48))</t>
  </si>
  <si>
    <t>CONTROL CHART CALCULATIONS</t>
  </si>
  <si>
    <t>Op/Unit</t>
  </si>
  <si>
    <t>Unit Avg</t>
  </si>
  <si>
    <t>Average R</t>
  </si>
  <si>
    <t>Vector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</si>
  <si>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</si>
  <si>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</si>
  <si>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</si>
  <si>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</si>
  <si>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</si>
  <si>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</si>
  <si>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</si>
  <si>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</si>
  <si>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</si>
  <si>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</si>
  <si>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</si>
  <si>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</si>
  <si>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</si>
  <si>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</si>
  <si>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</si>
  <si>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</si>
  <si>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</si>
  <si>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</si>
  <si>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</si>
  <si>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</si>
  <si>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</si>
  <si>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</si>
  <si>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</si>
  <si>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</si>
  <si>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</si>
  <si>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</si>
  <si>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Rbar 1</t>
  </si>
  <si>
    <t>1-27</t>
  </si>
  <si>
    <t>1-28</t>
  </si>
  <si>
    <t>1-29</t>
  </si>
  <si>
    <t xml:space="preserve">r </t>
  </si>
  <si>
    <t>1-30</t>
  </si>
  <si>
    <t>Dr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</si>
  <si>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</si>
  <si>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</si>
  <si>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</si>
  <si>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</si>
  <si>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</si>
  <si>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</si>
  <si>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</si>
  <si>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</si>
  <si>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</si>
  <si>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</si>
  <si>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</si>
  <si>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</si>
  <si>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</si>
  <si>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</si>
  <si>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</si>
  <si>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</si>
  <si>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</si>
  <si>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</si>
  <si>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</si>
  <si>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</si>
  <si>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</si>
  <si>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</si>
  <si>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</si>
  <si>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</si>
  <si>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</si>
  <si>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</si>
  <si>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Rbar 2</t>
  </si>
  <si>
    <t>2-27</t>
  </si>
  <si>
    <t>2-28</t>
  </si>
  <si>
    <t>2-29</t>
  </si>
  <si>
    <t>2-30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</si>
  <si>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</si>
  <si>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</si>
  <si>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</si>
  <si>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</si>
  <si>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</si>
  <si>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</si>
  <si>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</si>
  <si>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</si>
  <si>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</si>
  <si>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</si>
  <si>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</si>
  <si>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</si>
  <si>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</si>
  <si>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</si>
  <si>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</si>
  <si>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</si>
  <si>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</si>
  <si>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</si>
  <si>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</si>
  <si>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</si>
  <si>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</si>
  <si>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</si>
  <si>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</si>
  <si>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</si>
  <si>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</si>
  <si>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</si>
  <si>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Rbar 3</t>
  </si>
  <si>
    <t>3-27</t>
  </si>
  <si>
    <t>3-28</t>
  </si>
  <si>
    <t>3-29</t>
  </si>
  <si>
    <t>3-30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</si>
  <si>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</si>
  <si>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</si>
  <si>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</si>
  <si>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</si>
  <si>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</si>
  <si>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</si>
  <si>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</si>
  <si>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</si>
  <si>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</si>
  <si>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</si>
  <si>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</si>
  <si>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</si>
  <si>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</si>
  <si>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</si>
  <si>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</si>
  <si>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</si>
  <si>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</si>
  <si>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</si>
  <si>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</si>
  <si>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</si>
  <si>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</si>
  <si>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</si>
  <si>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</si>
  <si>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</si>
  <si>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</si>
  <si>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</si>
  <si>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Rbar 4</t>
  </si>
  <si>
    <t>4-27</t>
  </si>
  <si>
    <t>4-28</t>
  </si>
  <si>
    <t>4-29</t>
  </si>
  <si>
    <t>4-30</t>
  </si>
  <si>
    <t>MEAUREMENT VARIATION STABILITY CALCULATIONS</t>
  </si>
  <si>
    <t>REPRODUCIBILITY CALCULATIONS</t>
  </si>
  <si>
    <t>Op Avg</t>
  </si>
  <si>
    <t>UCL</t>
  </si>
  <si>
    <t>LCL</t>
  </si>
  <si>
    <t>Avg R</t>
  </si>
  <si>
    <t>Grand R</t>
  </si>
  <si>
    <t>UCLR</t>
  </si>
  <si>
    <t>Op 1</t>
  </si>
  <si>
    <t>Avg_Op1</t>
  </si>
  <si>
    <t>Op 2</t>
  </si>
  <si>
    <t>Avg_Op2</t>
  </si>
  <si>
    <t>Op 3</t>
  </si>
  <si>
    <t>Avg_Op3</t>
  </si>
  <si>
    <t>Op 4</t>
  </si>
  <si>
    <t>Avg_Op4</t>
  </si>
  <si>
    <t>=IF(OR(B203&gt;D203,B204&gt;D204,B205&gt;D205,B206&gt;D206),"measurement variation is NOT stable","Measurement variation is stable")</t>
  </si>
  <si>
    <t>=IF(OR(H203&gt;J203,H203&lt;K203,H204&gt;J204,H204&lt;K204,H205&gt;J205,H205&lt;K205,H206&gt;J206,H206&gt;K206),"There is a statistically significant diference between operators","There is no statistically significant difference between operators")</t>
  </si>
  <si>
    <t xml:space="preserve">The control chart method used here was first published in the AT&amp;T book "Statistical Quality </t>
  </si>
  <si>
    <t>Control Handbook", 1956</t>
  </si>
  <si>
    <t xml:space="preserve">This method has been enhanced based on the work by Donald Wheeler and </t>
  </si>
  <si>
    <t>Richard Lyday, published in "Evaluating The Measurement Process", 1989</t>
  </si>
  <si>
    <r>
      <t>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, If Known</t>
    </r>
  </si>
  <si>
    <r>
      <t>s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</si>
  <si>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2"/>
        <rFont val="Times New Roman"/>
        <family val="1"/>
      </rPr>
      <t>e</t>
    </r>
    <r>
      <rPr>
        <sz val="12"/>
        <rFont val="Arial"/>
        <family val="2"/>
      </rPr>
      <t xml:space="preserve"> = </t>
    </r>
  </si>
  <si>
    <r>
      <t>s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 xml:space="preserve"> = </t>
    </r>
  </si>
  <si>
    <r>
      <t>s</t>
    </r>
    <r>
      <rPr>
        <vertAlign val="subscript"/>
        <sz val="12"/>
        <rFont val="Times New Roman"/>
        <family val="1"/>
      </rPr>
      <t>R&amp;R</t>
    </r>
    <r>
      <rPr>
        <sz val="12"/>
        <rFont val="Arial"/>
        <family val="2"/>
      </rPr>
      <t xml:space="preserve"> =</t>
    </r>
  </si>
  <si>
    <r>
      <t>s</t>
    </r>
    <r>
      <rPr>
        <vertAlign val="subscript"/>
        <sz val="12"/>
        <rFont val="Times New Roman"/>
        <family val="1"/>
      </rPr>
      <t>T</t>
    </r>
    <r>
      <rPr>
        <sz val="12"/>
        <rFont val="Arial"/>
        <family val="2"/>
      </rPr>
      <t xml:space="preserve"> =</t>
    </r>
  </si>
  <si>
    <r>
      <t>D</t>
    </r>
    <r>
      <rPr>
        <vertAlign val="subscript"/>
        <sz val="12"/>
        <rFont val="Times New Roman"/>
        <family val="1"/>
      </rPr>
      <t xml:space="preserve">re </t>
    </r>
    <r>
      <rPr>
        <sz val="12"/>
        <rFont val="Times New Roman"/>
        <family val="1"/>
      </rPr>
      <t xml:space="preserve">= </t>
    </r>
  </si>
  <si>
    <r>
      <t>D</t>
    </r>
    <r>
      <rPr>
        <b/>
        <vertAlign val="subscript"/>
        <sz val="12"/>
        <rFont val="Arial"/>
        <family val="2"/>
      </rPr>
      <t>r</t>
    </r>
    <r>
      <rPr>
        <b/>
        <vertAlign val="subscript"/>
        <sz val="12"/>
        <rFont val="Times New Roman"/>
        <family val="1"/>
      </rPr>
      <t xml:space="preserve"> R&amp;R</t>
    </r>
    <r>
      <rPr>
        <b/>
        <sz val="12"/>
        <rFont val="Arial"/>
        <family val="2"/>
      </rPr>
      <t xml:space="preserve">= </t>
    </r>
  </si>
  <si>
    <r>
      <t>d</t>
    </r>
    <r>
      <rPr>
        <vertAlign val="subscript"/>
        <sz val="10"/>
        <color indexed="9"/>
        <rFont val="Arial"/>
        <family val="2"/>
      </rPr>
      <t>2</t>
    </r>
    <r>
      <rPr>
        <sz val="10"/>
        <color indexed="9"/>
        <rFont val="Arial"/>
        <family val="2"/>
      </rPr>
      <t xml:space="preserve"> (#op):</t>
    </r>
  </si>
  <si>
    <r>
      <t>d</t>
    </r>
    <r>
      <rPr>
        <vertAlign val="subscript"/>
        <sz val="10"/>
        <color indexed="9"/>
        <rFont val="Arial"/>
        <family val="2"/>
      </rPr>
      <t>2</t>
    </r>
    <r>
      <rPr>
        <sz val="10"/>
        <color indexed="9"/>
        <rFont val="Arial"/>
        <family val="2"/>
      </rPr>
      <t xml:space="preserve"> (test-retest):</t>
    </r>
  </si>
  <si>
    <r>
      <t>d</t>
    </r>
    <r>
      <rPr>
        <vertAlign val="subscript"/>
        <sz val="10"/>
        <color indexed="9"/>
        <rFont val="Arial"/>
        <family val="2"/>
      </rPr>
      <t>2</t>
    </r>
    <r>
      <rPr>
        <sz val="10"/>
        <color indexed="9"/>
        <rFont val="Arial"/>
        <family val="2"/>
      </rPr>
      <t xml:space="preserve"> (#units):</t>
    </r>
  </si>
  <si>
    <r>
      <t>s</t>
    </r>
    <r>
      <rPr>
        <vertAlign val="subscript"/>
        <sz val="12"/>
        <color indexed="9"/>
        <rFont val="Arial"/>
        <family val="2"/>
      </rPr>
      <t>e</t>
    </r>
    <r>
      <rPr>
        <sz val="12"/>
        <color indexed="9"/>
        <rFont val="Arial"/>
        <family val="2"/>
      </rPr>
      <t xml:space="preserve"> = </t>
    </r>
  </si>
  <si>
    <r>
      <t>r</t>
    </r>
    <r>
      <rPr>
        <vertAlign val="subscript"/>
        <sz val="12"/>
        <color indexed="9"/>
        <rFont val="Arial"/>
        <family val="2"/>
      </rPr>
      <t>e</t>
    </r>
    <r>
      <rPr>
        <sz val="12"/>
        <color indexed="9"/>
        <rFont val="Arial"/>
        <family val="2"/>
      </rPr>
      <t xml:space="preserve"> =</t>
    </r>
  </si>
  <si>
    <r>
      <t>D</t>
    </r>
    <r>
      <rPr>
        <vertAlign val="subscript"/>
        <sz val="12"/>
        <color indexed="9"/>
        <rFont val="Arial"/>
        <family val="2"/>
      </rPr>
      <t xml:space="preserve">Re </t>
    </r>
    <r>
      <rPr>
        <sz val="12"/>
        <color indexed="9"/>
        <rFont val="Arial"/>
        <family val="2"/>
      </rPr>
      <t xml:space="preserve">= </t>
    </r>
  </si>
  <si>
    <r>
      <t>s</t>
    </r>
    <r>
      <rPr>
        <vertAlign val="subscript"/>
        <sz val="12"/>
        <color indexed="9"/>
        <rFont val="Arial"/>
        <family val="2"/>
      </rPr>
      <t>e</t>
    </r>
    <r>
      <rPr>
        <sz val="12"/>
        <color indexed="9"/>
        <rFont val="Arial"/>
        <family val="2"/>
      </rPr>
      <t xml:space="preserve"> is </t>
    </r>
  </si>
  <si>
    <r>
      <t>s</t>
    </r>
    <r>
      <rPr>
        <vertAlign val="subscript"/>
        <sz val="12"/>
        <color indexed="9"/>
        <rFont val="Arial"/>
        <family val="2"/>
      </rPr>
      <t>o</t>
    </r>
    <r>
      <rPr>
        <sz val="12"/>
        <color indexed="9"/>
        <rFont val="Arial"/>
        <family val="2"/>
      </rPr>
      <t xml:space="preserve"> = </t>
    </r>
  </si>
  <si>
    <r>
      <t>s</t>
    </r>
    <r>
      <rPr>
        <vertAlign val="subscript"/>
        <sz val="12"/>
        <color indexed="9"/>
        <rFont val="Arial"/>
        <family val="2"/>
      </rPr>
      <t>R&amp;R</t>
    </r>
    <r>
      <rPr>
        <sz val="12"/>
        <color indexed="9"/>
        <rFont val="Arial"/>
        <family val="2"/>
      </rPr>
      <t xml:space="preserve"> =</t>
    </r>
  </si>
  <si>
    <r>
      <t>r</t>
    </r>
    <r>
      <rPr>
        <vertAlign val="subscript"/>
        <sz val="12"/>
        <color indexed="9"/>
        <rFont val="Arial"/>
        <family val="2"/>
      </rPr>
      <t>R&amp;R</t>
    </r>
    <r>
      <rPr>
        <sz val="12"/>
        <color indexed="9"/>
        <rFont val="Arial"/>
        <family val="2"/>
      </rPr>
      <t xml:space="preserve"> =</t>
    </r>
  </si>
  <si>
    <r>
      <t>D</t>
    </r>
    <r>
      <rPr>
        <b/>
        <vertAlign val="subscript"/>
        <sz val="12"/>
        <color indexed="9"/>
        <rFont val="Arial"/>
        <family val="2"/>
      </rPr>
      <t>R R&amp;R</t>
    </r>
    <r>
      <rPr>
        <b/>
        <sz val="12"/>
        <color indexed="9"/>
        <rFont val="Arial"/>
        <family val="2"/>
      </rPr>
      <t xml:space="preserve">= </t>
    </r>
  </si>
  <si>
    <r>
      <t>s</t>
    </r>
    <r>
      <rPr>
        <vertAlign val="subscript"/>
        <sz val="12"/>
        <color indexed="9"/>
        <rFont val="Arial"/>
        <family val="2"/>
      </rPr>
      <t xml:space="preserve">R&amp;R </t>
    </r>
    <r>
      <rPr>
        <sz val="12"/>
        <color indexed="9"/>
        <rFont val="Arial"/>
        <family val="2"/>
      </rPr>
      <t>is</t>
    </r>
  </si>
  <si>
    <r>
      <t>s</t>
    </r>
    <r>
      <rPr>
        <vertAlign val="subscript"/>
        <sz val="12"/>
        <color indexed="9"/>
        <rFont val="Arial"/>
        <family val="2"/>
      </rPr>
      <t>T</t>
    </r>
    <r>
      <rPr>
        <sz val="12"/>
        <color indexed="9"/>
        <rFont val="Arial"/>
        <family val="2"/>
      </rPr>
      <t xml:space="preserve"> =</t>
    </r>
  </si>
  <si>
    <r>
      <t>s</t>
    </r>
    <r>
      <rPr>
        <vertAlign val="subscript"/>
        <sz val="10"/>
        <color indexed="9"/>
        <rFont val="Arial"/>
        <family val="2"/>
      </rPr>
      <t>e</t>
    </r>
  </si>
  <si>
    <r>
      <t>s</t>
    </r>
    <r>
      <rPr>
        <vertAlign val="subscript"/>
        <sz val="10"/>
        <color indexed="9"/>
        <rFont val="Arial"/>
        <family val="2"/>
      </rPr>
      <t>T</t>
    </r>
  </si>
  <si>
    <r>
      <t>s</t>
    </r>
    <r>
      <rPr>
        <vertAlign val="subscript"/>
        <sz val="12"/>
        <color indexed="9"/>
        <rFont val="Arial"/>
        <family val="2"/>
      </rPr>
      <t>Op Avg</t>
    </r>
  </si>
  <si>
    <t>b =</t>
  </si>
  <si>
    <t>a =</t>
  </si>
  <si>
    <t>Y = aX + b</t>
  </si>
  <si>
    <t>Equipment A / Equipment B</t>
  </si>
  <si>
    <t>Gage R &amp; R: Bias Study Between Two Systems</t>
  </si>
  <si>
    <t>Dr =</t>
  </si>
  <si>
    <t>Avg R_Eq1:</t>
  </si>
  <si>
    <t>Avg R_Eq2:</t>
  </si>
  <si>
    <t xml:space="preserve">r = </t>
  </si>
  <si>
    <t>Eq - Eq</t>
  </si>
  <si>
    <t>Bias Calculations:</t>
  </si>
  <si>
    <t xml:space="preserve">a = </t>
  </si>
  <si>
    <t xml:space="preserve">b = </t>
  </si>
  <si>
    <t>Repeatability:</t>
  </si>
  <si>
    <t>Reproducibility Between Two Systems</t>
  </si>
  <si>
    <r>
      <t>s</t>
    </r>
    <r>
      <rPr>
        <vertAlign val="subscript"/>
        <sz val="10"/>
        <rFont val="Times New Roman"/>
        <family val="1"/>
      </rPr>
      <t>e</t>
    </r>
    <r>
      <rPr>
        <sz val="10"/>
        <rFont val="Times New Roman"/>
        <family val="1"/>
      </rPr>
      <t xml:space="preserve"> = </t>
    </r>
  </si>
  <si>
    <t xml:space="preserve">Measurement System 1:  </t>
  </si>
  <si>
    <t xml:space="preserve">Measurement System 2:  </t>
  </si>
  <si>
    <t>Sample Size Requested:</t>
  </si>
  <si>
    <t>Current Sample Size:</t>
  </si>
  <si>
    <t>Do not enter data into these dark shaded cells</t>
  </si>
  <si>
    <t>Measurement System 1</t>
  </si>
  <si>
    <t>Measurement System 2</t>
  </si>
  <si>
    <t>System 1</t>
  </si>
  <si>
    <t>System 2</t>
  </si>
  <si>
    <t>Method Comparison</t>
  </si>
  <si>
    <t>Mean</t>
  </si>
  <si>
    <t>Difference</t>
  </si>
  <si>
    <t>Center</t>
  </si>
  <si>
    <t>Categorical Data</t>
  </si>
  <si>
    <t>Continuous Data</t>
  </si>
  <si>
    <t>Measurement Systems Analysis</t>
  </si>
  <si>
    <t>Hypothesis Testing</t>
  </si>
  <si>
    <t>ChiSquare Test for Multiple Samples</t>
  </si>
  <si>
    <t>Problem</t>
  </si>
  <si>
    <t>The Y</t>
  </si>
  <si>
    <t>Factors / Samples</t>
  </si>
  <si>
    <t>#Defects</t>
  </si>
  <si>
    <t>Expected #</t>
  </si>
  <si>
    <t>dpu</t>
  </si>
  <si>
    <t>c2</t>
  </si>
  <si>
    <t>Totals</t>
  </si>
  <si>
    <t>p =</t>
  </si>
  <si>
    <t>c2 =</t>
  </si>
  <si>
    <t>u =</t>
  </si>
  <si>
    <r>
      <t xml:space="preserve">Critical </t>
    </r>
    <r>
      <rPr>
        <sz val="10"/>
        <rFont val="Symbol"/>
        <family val="1"/>
        <charset val="2"/>
      </rPr>
      <t>c2 =</t>
    </r>
  </si>
  <si>
    <t>Factor</t>
  </si>
  <si>
    <t># Defects</t>
  </si>
  <si>
    <t># Units</t>
  </si>
  <si>
    <t>Z =</t>
  </si>
  <si>
    <t>Two Sample Proportional Hypothesis Test - For Small Defect Rates</t>
  </si>
  <si>
    <t>The Problem:</t>
  </si>
  <si>
    <t>The Y:</t>
  </si>
  <si>
    <t>Y Units:</t>
  </si>
  <si>
    <t>a:</t>
  </si>
  <si>
    <t>You must adjust the graph to include only those factors you are analyzing</t>
  </si>
  <si>
    <t>p</t>
  </si>
  <si>
    <t>LDL</t>
  </si>
  <si>
    <t>pbar</t>
  </si>
  <si>
    <t>UDL</t>
  </si>
  <si>
    <t>n</t>
  </si>
  <si>
    <t>Level 1</t>
  </si>
  <si>
    <t>Level 2</t>
  </si>
  <si>
    <t>Level 3</t>
  </si>
  <si>
    <t>k</t>
  </si>
  <si>
    <t>df</t>
  </si>
  <si>
    <t>Average, p bar</t>
  </si>
  <si>
    <t>a</t>
  </si>
  <si>
    <t>k means</t>
  </si>
  <si>
    <t>&gt;</t>
  </si>
  <si>
    <r>
      <t>= p</t>
    </r>
    <r>
      <rPr>
        <b/>
        <vertAlign val="subscript"/>
        <sz val="10"/>
        <rFont val="Times New Roman"/>
        <family val="1"/>
      </rPr>
      <t>1</t>
    </r>
  </si>
  <si>
    <r>
      <t>= p</t>
    </r>
    <r>
      <rPr>
        <b/>
        <vertAlign val="subscript"/>
        <sz val="10"/>
        <rFont val="Times New Roman"/>
        <family val="1"/>
      </rPr>
      <t>2</t>
    </r>
  </si>
  <si>
    <r>
      <t>p</t>
    </r>
    <r>
      <rPr>
        <vertAlign val="subscript"/>
        <sz val="10"/>
        <rFont val="Times New Roman"/>
        <family val="1"/>
      </rPr>
      <t>1</t>
    </r>
    <r>
      <rPr>
        <sz val="10"/>
        <rFont val="Times New Roman"/>
        <family val="1"/>
      </rPr>
      <t>-p</t>
    </r>
    <r>
      <rPr>
        <vertAlign val="subscript"/>
        <sz val="10"/>
        <rFont val="Times New Roman"/>
        <family val="1"/>
      </rPr>
      <t>2</t>
    </r>
    <r>
      <rPr>
        <sz val="10"/>
        <rFont val="Times New Roman"/>
        <family val="1"/>
      </rPr>
      <t xml:space="preserve"> =</t>
    </r>
  </si>
  <si>
    <r>
      <t>s</t>
    </r>
    <r>
      <rPr>
        <vertAlign val="subscript"/>
        <sz val="10"/>
        <rFont val="Times New Roman"/>
        <family val="1"/>
      </rPr>
      <t xml:space="preserve">p1-p2 </t>
    </r>
    <r>
      <rPr>
        <sz val="10"/>
        <rFont val="Times New Roman"/>
        <family val="1"/>
      </rPr>
      <t>=</t>
    </r>
  </si>
  <si>
    <r>
      <t>a</t>
    </r>
    <r>
      <rPr>
        <vertAlign val="subscript"/>
        <sz val="10"/>
        <rFont val="Times New Roman"/>
        <family val="1"/>
      </rPr>
      <t>1/2</t>
    </r>
    <r>
      <rPr>
        <sz val="10"/>
        <rFont val="Times New Roman"/>
        <family val="1"/>
      </rPr>
      <t xml:space="preserve"> =</t>
    </r>
  </si>
  <si>
    <t>Hi</t>
  </si>
  <si>
    <t>Lo</t>
  </si>
  <si>
    <t>Enter data in the green squares only…</t>
  </si>
  <si>
    <t>Major Category</t>
  </si>
  <si>
    <t>Minor Category</t>
  </si>
  <si>
    <t>sample size
n</t>
  </si>
  <si>
    <t># defects
d</t>
  </si>
  <si>
    <t>proportion
p</t>
  </si>
  <si>
    <t>Normal Approximation Limits</t>
  </si>
  <si>
    <t>EXACT BINOMIAL LIMITS</t>
  </si>
  <si>
    <t>Lower Confidence Limit:</t>
  </si>
  <si>
    <t>Upper Confidence Limit:</t>
  </si>
  <si>
    <r>
      <t>a</t>
    </r>
    <r>
      <rPr>
        <b/>
        <sz val="10"/>
        <rFont val="Arial"/>
        <family val="2"/>
      </rPr>
      <t>/2</t>
    </r>
  </si>
  <si>
    <r>
      <t xml:space="preserve">1 - </t>
    </r>
    <r>
      <rPr>
        <b/>
        <sz val="10"/>
        <rFont val="Symbol"/>
        <family val="1"/>
        <charset val="2"/>
      </rPr>
      <t>a</t>
    </r>
    <r>
      <rPr>
        <b/>
        <sz val="10"/>
        <rFont val="Arial"/>
        <family val="2"/>
      </rPr>
      <t>/2</t>
    </r>
  </si>
  <si>
    <t>a/2</t>
  </si>
  <si>
    <t># defects</t>
  </si>
  <si>
    <t>Confidence</t>
  </si>
  <si>
    <t>This spreadsheet gives a simplifed calculation of Confidence Intervals using the formula seen below
A more complete reference with other more complex formulae can be found at:</t>
  </si>
  <si>
    <t>np=</t>
  </si>
  <si>
    <t>n(1-p)</t>
  </si>
  <si>
    <t>http://www.itl.nist.gov/div898/handbook/prc/section2/prc241.htm</t>
  </si>
  <si>
    <t>Note: zero defects will result in an upper confidence interval using the following formula:</t>
  </si>
  <si>
    <r>
      <t>z</t>
    </r>
    <r>
      <rPr>
        <vertAlign val="subscript"/>
        <sz val="10"/>
        <rFont val="Symbol"/>
        <family val="1"/>
        <charset val="2"/>
      </rPr>
      <t>a</t>
    </r>
    <r>
      <rPr>
        <vertAlign val="subscript"/>
        <sz val="10"/>
        <rFont val="Arial"/>
        <family val="2"/>
      </rPr>
      <t>/2</t>
    </r>
  </si>
  <si>
    <t>Lower Confidence Limit</t>
  </si>
  <si>
    <t>Upper Confidence Limit</t>
  </si>
  <si>
    <t xml:space="preserve">    </t>
  </si>
  <si>
    <t>1-a/2</t>
  </si>
  <si>
    <t>2(d+1)</t>
  </si>
  <si>
    <t>2d</t>
  </si>
  <si>
    <t># samples
n</t>
  </si>
  <si>
    <t>2n</t>
  </si>
  <si>
    <t>Probability Constants</t>
  </si>
  <si>
    <t>Defect:</t>
  </si>
  <si>
    <t xml:space="preserve">Title </t>
  </si>
  <si>
    <t>Total # defects
d</t>
  </si>
  <si>
    <r>
      <t xml:space="preserve">avg count
c </t>
    </r>
    <r>
      <rPr>
        <b/>
        <vertAlign val="subscript"/>
        <sz val="10"/>
        <rFont val="Arial"/>
        <family val="2"/>
      </rPr>
      <t>bar</t>
    </r>
  </si>
  <si>
    <t>Choose either the Sigma level or the PPM value</t>
  </si>
  <si>
    <t>Enter the level or value in the shaded cell.</t>
  </si>
  <si>
    <t>Sigma</t>
  </si>
  <si>
    <t>ppm</t>
  </si>
  <si>
    <t>Level</t>
  </si>
  <si>
    <t>Value</t>
  </si>
  <si>
    <t>Select Data Type</t>
  </si>
  <si>
    <t>All sigma values are the computed</t>
  </si>
  <si>
    <t>per Motorola standard.</t>
  </si>
  <si>
    <r>
      <t>Z</t>
    </r>
    <r>
      <rPr>
        <b/>
        <sz val="10"/>
        <rFont val="Symbol"/>
        <family val="1"/>
        <charset val="2"/>
      </rPr>
      <t>s</t>
    </r>
  </si>
  <si>
    <r>
      <t>Z score with the 1.5</t>
    </r>
    <r>
      <rPr>
        <sz val="10"/>
        <rFont val="Symbol"/>
        <family val="1"/>
        <charset val="2"/>
      </rPr>
      <t>s</t>
    </r>
    <r>
      <rPr>
        <sz val="10"/>
        <rFont val="Times New Roman"/>
        <family val="1"/>
      </rPr>
      <t xml:space="preserve"> shift</t>
    </r>
  </si>
  <si>
    <t xml:space="preserve">Note:  see the next sheet (dpo - dpu - p) for proper formulas &amp; conditions to ensure correct use of this spreadheet. </t>
  </si>
  <si>
    <t># Opp</t>
  </si>
  <si>
    <t>Calculated Values</t>
  </si>
  <si>
    <t>dpo</t>
  </si>
  <si>
    <t>FTY</t>
  </si>
  <si>
    <t>dpmo</t>
  </si>
  <si>
    <t>dpm</t>
  </si>
  <si>
    <t>Z</t>
  </si>
  <si>
    <t>G</t>
  </si>
  <si>
    <t>I</t>
  </si>
  <si>
    <t>V</t>
  </si>
  <si>
    <t>E</t>
  </si>
  <si>
    <t>N</t>
  </si>
  <si>
    <t>DEFINITIONS</t>
  </si>
  <si>
    <t>Note:  see the other sheets</t>
  </si>
  <si>
    <t>for further attribute calculations</t>
  </si>
  <si>
    <t>defective units per million units  (or parts per million)</t>
  </si>
  <si>
    <t>particularly for dpo &amp; Rolled Yields</t>
  </si>
  <si>
    <t>Given Cpk</t>
  </si>
  <si>
    <t>9/11-9/12 pulled for special cause</t>
  </si>
  <si>
    <t>How many units were inspected, measured, or tested?</t>
  </si>
  <si>
    <t>= n</t>
  </si>
  <si>
    <t>How many opportunities for a defect exist on a single unit?</t>
  </si>
  <si>
    <t>= # opp</t>
  </si>
  <si>
    <t>If countable and less than 30 enter exact number</t>
  </si>
  <si>
    <t>If very large, unquantifiable or 'infinite', enter 30</t>
  </si>
  <si>
    <t>= d</t>
  </si>
  <si>
    <t xml:space="preserve"> = np</t>
  </si>
  <si>
    <t>dpo =</t>
  </si>
  <si>
    <t xml:space="preserve">  For dpo confirm with dpo sheet</t>
  </si>
  <si>
    <t>dpu =</t>
  </si>
  <si>
    <t>if np is known:</t>
  </si>
  <si>
    <t>if np is unknown and # opportunities &gt;29:</t>
  </si>
  <si>
    <t>If np is unknown and # opporunities &lt;30:</t>
  </si>
  <si>
    <t>May be used at the part level or at the multiple process level</t>
  </si>
  <si>
    <t>P(d)</t>
  </si>
  <si>
    <t>P(a)</t>
  </si>
  <si>
    <t>Individual Values</t>
  </si>
  <si>
    <t>Opportunity</t>
  </si>
  <si>
    <t>FTYopp</t>
  </si>
  <si>
    <t>s</t>
  </si>
  <si>
    <t>Ratio of dpo range to average dpo:</t>
  </si>
  <si>
    <t>Binomial</t>
  </si>
  <si>
    <t>FTYpart</t>
  </si>
  <si>
    <t>p-part</t>
  </si>
  <si>
    <t>p = 1 - FTY</t>
  </si>
  <si>
    <t xml:space="preserve">dpo:  use the average dpo </t>
  </si>
  <si>
    <t>Poisson</t>
  </si>
  <si>
    <t>if dpo &lt; 0.5 or # opportunities &gt; 10</t>
  </si>
  <si>
    <t>@ opp level*</t>
  </si>
  <si>
    <t xml:space="preserve">dpu </t>
  </si>
  <si>
    <t>dpu = dpo * #opp</t>
  </si>
  <si>
    <t>Ppk</t>
  </si>
  <si>
    <t>Ppu</t>
  </si>
  <si>
    <t>Ppl</t>
  </si>
  <si>
    <t>* Ppk is calculated from the Avg &amp; s of the individual values</t>
  </si>
  <si>
    <t>Defective:</t>
  </si>
  <si>
    <t>A single unit with one or more defects</t>
  </si>
  <si>
    <t xml:space="preserve">np = </t>
  </si>
  <si>
    <t>number of defective units in a sample of size n</t>
  </si>
  <si>
    <t xml:space="preserve">Defect: </t>
  </si>
  <si>
    <t xml:space="preserve">A single nonconforming characteristic </t>
  </si>
  <si>
    <t xml:space="preserve">d = </t>
  </si>
  <si>
    <t>number of defects in a sample of size n</t>
  </si>
  <si>
    <t>number of defective opportunities in a sample of size n</t>
  </si>
  <si>
    <t xml:space="preserve"># opp = </t>
  </si>
  <si>
    <t>number of opportunities per unit</t>
  </si>
  <si>
    <t xml:space="preserve">p  </t>
  </si>
  <si>
    <t xml:space="preserve">is the fraction of defective units.  </t>
  </si>
  <si>
    <t>Modeled by the Binomial distribution</t>
  </si>
  <si>
    <t xml:space="preserve">the number of units in the sample is large (&gt; 30) and p is small (&lt;0.5) </t>
  </si>
  <si>
    <t xml:space="preserve">dpu  </t>
  </si>
  <si>
    <t>is the fraction of defects per unit.</t>
  </si>
  <si>
    <t>There are an infinite (or unquantifiable) number of opportunities on a single unit.</t>
  </si>
  <si>
    <t>Modeled by the Poisson distribution</t>
  </si>
  <si>
    <t xml:space="preserve">dpo  </t>
  </si>
  <si>
    <t>is the fraction of defective opportunities</t>
  </si>
  <si>
    <t>There are a finite number of opportunities on a single unit.</t>
  </si>
  <si>
    <t>This situation also applies to multiple variable measurements of a characteristic on a single unit, such as:</t>
  </si>
  <si>
    <t xml:space="preserve">the torque value of each of several bolts, </t>
  </si>
  <si>
    <t>or the wall thickness that is measured in several locations across a part</t>
  </si>
  <si>
    <t>a)</t>
  </si>
  <si>
    <t xml:space="preserve">If dpo &gt;.5 or the the number of opportunities is small, #opp &lt; 10 </t>
  </si>
  <si>
    <t>the following formula is used to calculate the number of defective units, p:</t>
  </si>
  <si>
    <t>Calculate the dpo for each opportunity:</t>
  </si>
  <si>
    <t>Note:</t>
  </si>
  <si>
    <t>to approximate the dpo for each opportunity</t>
  </si>
  <si>
    <t>Calculate FTY at the part level:</t>
  </si>
  <si>
    <t>The rate of defective units, p:</t>
  </si>
  <si>
    <t>b)</t>
  </si>
  <si>
    <t>calculate the average dpo:</t>
  </si>
  <si>
    <t xml:space="preserve">If the distribution is roughly Normal, the Z score approach may be used  </t>
  </si>
  <si>
    <t>to approximate the combined dpo.</t>
  </si>
  <si>
    <t>calculate the opportunity level Yield, FTYo:</t>
  </si>
  <si>
    <t>calculate the part level FTY:</t>
  </si>
  <si>
    <t>Poisson Approximation</t>
  </si>
  <si>
    <t>If dpo &lt;.5 or the the number of opprtunities is large, o &gt; 10, the Poisson can be used as an approximation:</t>
  </si>
  <si>
    <t>WARNING</t>
  </si>
  <si>
    <t xml:space="preserve">The above formulas for dpo &amp; dpu assume that each opportunity is independent from the others.  (i.e. the </t>
  </si>
  <si>
    <t>probability of one opportunity being defective is independent of the other opportunities)</t>
  </si>
  <si>
    <t xml:space="preserve">For Variables data, dependence can be assumed if the within piece variation is small and the within piece data behaves the same,  </t>
  </si>
  <si>
    <t xml:space="preserve">If the opportunities are dependent, then you must count the number of defective units, np, in a (large) sample that </t>
  </si>
  <si>
    <t>is representative of the total process variation, and use the formulas for p above.</t>
  </si>
  <si>
    <t>An alternative for variables data is to use the  dpo of any individual  opportunity and calculate the p from the Z score</t>
  </si>
  <si>
    <t xml:space="preserve"> using the average and standard deviation.  Or use all of the data as if there was only one opportunity.</t>
  </si>
  <si>
    <t>Exponential Distribution Calculator</t>
  </si>
  <si>
    <t>When values are truncated at 0 with a long tail to positive side.</t>
  </si>
  <si>
    <t>Std dev</t>
  </si>
  <si>
    <t>1/l =</t>
  </si>
  <si>
    <t>l =</t>
  </si>
  <si>
    <t>x (USL)</t>
  </si>
  <si>
    <t>P(x) =</t>
  </si>
  <si>
    <t>p = 1 - P(x)</t>
  </si>
  <si>
    <t xml:space="preserve">ppm = </t>
  </si>
  <si>
    <t>Cpk =</t>
  </si>
  <si>
    <t xml:space="preserve">P(d) or </t>
  </si>
  <si>
    <t>UCL (.99)</t>
  </si>
  <si>
    <t xml:space="preserve">   (represents the upper limit within which 99% of the distribution will fall)</t>
  </si>
  <si>
    <t>The percent of values that fall between 0 and x:</t>
  </si>
  <si>
    <t>If your data truncates at a different value transform the data:</t>
  </si>
  <si>
    <t>If your data truncates at x, then substract x from each value.  You will also have to subtract x from the USL</t>
  </si>
  <si>
    <t>To estimate the true process average, p, when no occurances are observed in a sample of size, n:</t>
  </si>
  <si>
    <t># sequential units that are not defective:</t>
  </si>
  <si>
    <t>Bayesian Method</t>
  </si>
  <si>
    <t>50% Confidence Limit of the Poisson</t>
  </si>
  <si>
    <t>Probable average rate of defective units, p</t>
  </si>
  <si>
    <t xml:space="preserve">  = P(d)</t>
  </si>
  <si>
    <t xml:space="preserve">the maximum expected number of defective units, np.  </t>
  </si>
  <si>
    <t>greater than: -ln(1-.5) = .7     ~ the average number of expected units</t>
  </si>
  <si>
    <t>can be estimated by:</t>
  </si>
  <si>
    <t>To estimate the probability of exactly x number of defective units in a sample of size n, given the rate of occurances, p:</t>
  </si>
  <si>
    <t># units in the sample:</t>
  </si>
  <si>
    <t>Avg rate occurances</t>
  </si>
  <si>
    <t xml:space="preserve">Exact #  Occurances </t>
  </si>
  <si>
    <t>x</t>
  </si>
  <si>
    <t>np</t>
  </si>
  <si>
    <t xml:space="preserve">P(x) = </t>
  </si>
  <si>
    <t>AT THE DEFECT LEVEL</t>
  </si>
  <si>
    <t>dpu:</t>
  </si>
  <si>
    <t>number of opportunities for a defect is ~ infinite (# opp &gt;30) or unquantifiable</t>
  </si>
  <si>
    <t>More than 1 opportunity for a defect on a single unit</t>
  </si>
  <si>
    <t>n =</t>
  </si>
  <si>
    <t>P(x):</t>
  </si>
  <si>
    <t>The probability of exactly x defects on a single unit</t>
  </si>
  <si>
    <t>#defects (x)</t>
  </si>
  <si>
    <t>P(x)</t>
  </si>
  <si>
    <t>Exp # Units</t>
  </si>
  <si>
    <t>on a unit</t>
  </si>
  <si>
    <t>w/ x defects</t>
  </si>
  <si>
    <t>rate of defective units, p=</t>
  </si>
  <si>
    <t># units with no defects:</t>
  </si>
  <si>
    <t>or several characteristics on a part</t>
  </si>
  <si>
    <t>p=</t>
  </si>
  <si>
    <t>np =</t>
  </si>
  <si>
    <t>p:</t>
  </si>
  <si>
    <t>"Known" fraction of defective units…"reject rate"</t>
  </si>
  <si>
    <t>The probability of exactly x defective units in a sample of size, n</t>
  </si>
  <si>
    <t>"All models are wrong, some are useful."  George Box</t>
  </si>
  <si>
    <t>P(x) Binomial</t>
  </si>
  <si>
    <t>P(x) Poisson</t>
  </si>
  <si>
    <t>Estimated YIELD (FTY):</t>
  </si>
  <si>
    <t>Expected # Occurances</t>
  </si>
  <si>
    <t>calculation with your actual results</t>
  </si>
  <si>
    <t>Pp</t>
  </si>
  <si>
    <t>Ppk=</t>
  </si>
  <si>
    <t>Pp=</t>
  </si>
  <si>
    <t>Exact Probability Calculator for number of defective units in a sample given a defect rate</t>
  </si>
  <si>
    <t>Z Score</t>
  </si>
  <si>
    <t>Enter either Ppk score or ppm:</t>
  </si>
  <si>
    <t>Given:</t>
  </si>
  <si>
    <t>Ppk =</t>
  </si>
  <si>
    <t>ppm =</t>
  </si>
  <si>
    <t>(Ppk Two Tailed)</t>
  </si>
  <si>
    <t>(Pp Two Tailed)</t>
  </si>
  <si>
    <t xml:space="preserve">  </t>
  </si>
  <si>
    <t>GIVEN a specific statistic (dpo, dpu, etc.)</t>
  </si>
  <si>
    <t xml:space="preserve">the GIVEN statistic is entered into the grey </t>
  </si>
  <si>
    <t xml:space="preserve">box that intersects both vertical and horizontal </t>
  </si>
  <si>
    <t>headings for that statistic.</t>
  </si>
  <si>
    <t>The other statistics that are derived from the</t>
  </si>
  <si>
    <t>GIVEN statistic row.</t>
  </si>
  <si>
    <t xml:space="preserve">Given Statistic is read horizontally on the </t>
  </si>
  <si>
    <t xml:space="preserve">Provides the Pp and Ppk scores for the </t>
  </si>
  <si>
    <t>So the probable average rate of occurences for a process</t>
  </si>
  <si>
    <t xml:space="preserve">  =Ppk</t>
  </si>
  <si>
    <t>Desired Minimum Ppk:</t>
  </si>
  <si>
    <t>Lower CI</t>
  </si>
  <si>
    <t>Upper CI</t>
  </si>
  <si>
    <t xml:space="preserve">n = </t>
  </si>
  <si>
    <t xml:space="preserve">np (d) = </t>
  </si>
  <si>
    <t xml:space="preserve">p = </t>
  </si>
  <si>
    <t>P(Miss)</t>
  </si>
  <si>
    <t>P(Detect)</t>
  </si>
  <si>
    <t>P(miss)</t>
  </si>
  <si>
    <t>P(detect)</t>
  </si>
  <si>
    <t>5/100</t>
  </si>
  <si>
    <t>1/100</t>
  </si>
  <si>
    <t>5/1,000</t>
  </si>
  <si>
    <t>3/1,000</t>
  </si>
  <si>
    <t>2/1,000</t>
  </si>
  <si>
    <t>1/1,000</t>
  </si>
  <si>
    <t>5/10,000</t>
  </si>
  <si>
    <t>1/10,000</t>
  </si>
  <si>
    <t>5/100,000</t>
  </si>
  <si>
    <t>1/100,000</t>
  </si>
  <si>
    <t>5/1M</t>
  </si>
  <si>
    <t>1/1M</t>
  </si>
  <si>
    <t>To determine the sample size required to detect a specific defect rate, p, with a specific confidence level P(x):</t>
  </si>
  <si>
    <t>Confidence =</t>
  </si>
  <si>
    <r>
      <t>Note</t>
    </r>
    <r>
      <rPr>
        <sz val="10"/>
        <rFont val="Times New Roman"/>
        <family val="1"/>
      </rPr>
      <t xml:space="preserve">:  </t>
    </r>
  </si>
  <si>
    <r>
      <t xml:space="preserve">Verify this </t>
    </r>
    <r>
      <rPr>
        <i/>
        <sz val="10"/>
        <rFont val="Times New Roman"/>
        <family val="1"/>
      </rPr>
      <t>theoretical</t>
    </r>
    <r>
      <rPr>
        <sz val="10"/>
        <rFont val="Times New Roman"/>
        <family val="1"/>
      </rPr>
      <t xml:space="preserve"> Yield </t>
    </r>
  </si>
  <si>
    <r>
      <t>If # opportunities per unit is large (</t>
    </r>
    <r>
      <rPr>
        <b/>
        <i/>
        <u/>
        <sz val="9"/>
        <rFont val="Symbol"/>
        <family val="1"/>
        <charset val="2"/>
      </rPr>
      <t>&gt;</t>
    </r>
    <r>
      <rPr>
        <b/>
        <i/>
        <sz val="9"/>
        <rFont val="Times New Roman"/>
        <family val="1"/>
      </rPr>
      <t>30), infinite, or unquantifiable, use # opp = 30</t>
    </r>
  </si>
  <si>
    <r>
      <t>Z</t>
    </r>
    <r>
      <rPr>
        <b/>
        <sz val="9"/>
        <rFont val="Symbol"/>
        <family val="1"/>
        <charset val="2"/>
      </rPr>
      <t>s*</t>
    </r>
  </si>
  <si>
    <r>
      <t xml:space="preserve">Data is entered in to the </t>
    </r>
    <r>
      <rPr>
        <b/>
        <sz val="8"/>
        <rFont val="Times New Roman"/>
        <family val="1"/>
      </rPr>
      <t>green</t>
    </r>
    <r>
      <rPr>
        <sz val="8"/>
        <rFont val="Times New Roman"/>
        <family val="1"/>
      </rPr>
      <t xml:space="preserve"> boxes</t>
    </r>
  </si>
  <si>
    <r>
      <t>Z</t>
    </r>
    <r>
      <rPr>
        <sz val="9"/>
        <rFont val="Symbol"/>
        <family val="1"/>
        <charset val="2"/>
      </rPr>
      <t>s</t>
    </r>
  </si>
  <si>
    <r>
      <t xml:space="preserve">*A 6 Sigma Metric:  This spreadsheet does not allow the use of the 1.5 sigma shift to calculate short term values.  Use </t>
    </r>
    <r>
      <rPr>
        <i/>
        <sz val="9"/>
        <rFont val="Times New Roman"/>
        <family val="1"/>
      </rPr>
      <t>actual</t>
    </r>
    <r>
      <rPr>
        <sz val="9"/>
        <rFont val="Times New Roman"/>
        <family val="1"/>
      </rPr>
      <t xml:space="preserve"> Pp data in the Ppk cells</t>
    </r>
  </si>
  <si>
    <r>
      <t>defects</t>
    </r>
    <r>
      <rPr>
        <sz val="9"/>
        <rFont val="Times New Roman"/>
        <family val="1"/>
      </rPr>
      <t xml:space="preserve"> per number of </t>
    </r>
    <r>
      <rPr>
        <i/>
        <sz val="9"/>
        <rFont val="Times New Roman"/>
        <family val="1"/>
      </rPr>
      <t>opportunities</t>
    </r>
  </si>
  <si>
    <r>
      <t>defects</t>
    </r>
    <r>
      <rPr>
        <sz val="9"/>
        <rFont val="Times New Roman"/>
        <family val="1"/>
      </rPr>
      <t xml:space="preserve"> per number of </t>
    </r>
    <r>
      <rPr>
        <i/>
        <sz val="9"/>
        <rFont val="Times New Roman"/>
        <family val="1"/>
      </rPr>
      <t>units</t>
    </r>
  </si>
  <si>
    <r>
      <t xml:space="preserve">fraction of </t>
    </r>
    <r>
      <rPr>
        <i/>
        <sz val="9"/>
        <rFont val="Times New Roman"/>
        <family val="1"/>
      </rPr>
      <t>defective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units</t>
    </r>
  </si>
  <si>
    <r>
      <t xml:space="preserve">First Time </t>
    </r>
    <r>
      <rPr>
        <i/>
        <sz val="9"/>
        <rFont val="Times New Roman"/>
        <family val="1"/>
      </rPr>
      <t>Yield</t>
    </r>
  </si>
  <si>
    <r>
      <t xml:space="preserve">defects per </t>
    </r>
    <r>
      <rPr>
        <i/>
        <sz val="9"/>
        <rFont val="Times New Roman"/>
        <family val="1"/>
      </rPr>
      <t>million</t>
    </r>
    <r>
      <rPr>
        <sz val="9"/>
        <rFont val="Times New Roman"/>
        <family val="1"/>
      </rPr>
      <t xml:space="preserve"> opportunities</t>
    </r>
  </si>
  <si>
    <r>
      <t xml:space="preserve">estimated ppm from </t>
    </r>
    <r>
      <rPr>
        <i/>
        <sz val="9"/>
        <rFont val="Times New Roman"/>
        <family val="1"/>
      </rPr>
      <t>both</t>
    </r>
    <r>
      <rPr>
        <sz val="9"/>
        <rFont val="Times New Roman"/>
        <family val="1"/>
      </rPr>
      <t xml:space="preserve"> tails.</t>
    </r>
  </si>
  <si>
    <r>
      <t xml:space="preserve">defects per </t>
    </r>
    <r>
      <rPr>
        <i/>
        <sz val="9"/>
        <rFont val="Times New Roman"/>
        <family val="1"/>
      </rPr>
      <t>million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units</t>
    </r>
  </si>
  <si>
    <r>
      <t xml:space="preserve">Where </t>
    </r>
    <r>
      <rPr>
        <sz val="10"/>
        <rFont val="Symbol"/>
        <family val="1"/>
        <charset val="2"/>
      </rPr>
      <t xml:space="preserve">g </t>
    </r>
    <r>
      <rPr>
        <sz val="10"/>
        <rFont val="Times New Roman"/>
        <family val="1"/>
      </rPr>
      <t xml:space="preserve">is the confidence coefficient for </t>
    </r>
  </si>
  <si>
    <r>
      <t xml:space="preserve">If </t>
    </r>
    <r>
      <rPr>
        <sz val="10"/>
        <rFont val="Symbol"/>
        <family val="1"/>
        <charset val="2"/>
      </rPr>
      <t>g</t>
    </r>
    <r>
      <rPr>
        <sz val="10"/>
        <rFont val="Times New Roman"/>
        <family val="1"/>
      </rPr>
      <t xml:space="preserve"> is .50, then 50% of the time the observed number will be no </t>
    </r>
  </si>
  <si>
    <r>
      <t xml:space="preserve">Required number of sequential parts with </t>
    </r>
    <r>
      <rPr>
        <b/>
        <sz val="10"/>
        <rFont val="Arial"/>
        <family val="2"/>
      </rPr>
      <t>no</t>
    </r>
    <r>
      <rPr>
        <sz val="10"/>
        <rFont val="Arial"/>
        <family val="2"/>
      </rPr>
      <t xml:space="preserve"> defects =</t>
    </r>
  </si>
  <si>
    <r>
      <t>1/</t>
    </r>
    <r>
      <rPr>
        <sz val="10"/>
        <rFont val="Symbol"/>
        <family val="1"/>
        <charset val="2"/>
      </rPr>
      <t>l</t>
    </r>
    <r>
      <rPr>
        <sz val="10"/>
        <rFont val="Times New Roman"/>
        <family val="1"/>
      </rPr>
      <t xml:space="preserve"> = (avg + std dev) / 2</t>
    </r>
  </si>
  <si>
    <r>
      <t>ppm = p*10</t>
    </r>
    <r>
      <rPr>
        <vertAlign val="superscript"/>
        <sz val="10"/>
        <rFont val="Times New Roman"/>
        <family val="1"/>
      </rPr>
      <t>6</t>
    </r>
  </si>
  <si>
    <r>
      <t>Cpk = Z</t>
    </r>
    <r>
      <rPr>
        <vertAlign val="subscript"/>
        <sz val="10"/>
        <rFont val="Times New Roman"/>
        <family val="1"/>
      </rPr>
      <t>LT</t>
    </r>
    <r>
      <rPr>
        <sz val="10"/>
        <rFont val="Times New Roman"/>
        <family val="1"/>
      </rPr>
      <t xml:space="preserve"> / 3</t>
    </r>
  </si>
  <si>
    <r>
      <t>Z</t>
    </r>
    <r>
      <rPr>
        <vertAlign val="subscript"/>
        <sz val="10"/>
        <rFont val="Times New Roman"/>
        <family val="1"/>
      </rPr>
      <t>LT</t>
    </r>
    <r>
      <rPr>
        <sz val="10"/>
        <rFont val="Times New Roman"/>
        <family val="1"/>
      </rPr>
      <t xml:space="preserve"> =</t>
    </r>
  </si>
  <si>
    <r>
      <t>Z</t>
    </r>
    <r>
      <rPr>
        <vertAlign val="subscript"/>
        <sz val="10"/>
        <rFont val="Times New Roman"/>
        <family val="1"/>
      </rPr>
      <t>LT</t>
    </r>
    <r>
      <rPr>
        <sz val="10"/>
        <rFont val="Times New Roman"/>
        <family val="1"/>
      </rPr>
      <t xml:space="preserve"> = normsinv P(x) </t>
    </r>
  </si>
  <si>
    <r>
      <t>UCL = 1/</t>
    </r>
    <r>
      <rPr>
        <sz val="10"/>
        <rFont val="Symbol"/>
        <family val="1"/>
        <charset val="2"/>
      </rPr>
      <t>l</t>
    </r>
    <r>
      <rPr>
        <sz val="10"/>
        <rFont val="Times New Roman"/>
        <family val="1"/>
      </rPr>
      <t xml:space="preserve"> + 3.6*1/</t>
    </r>
    <r>
      <rPr>
        <sz val="10"/>
        <rFont val="Symbol"/>
        <family val="1"/>
        <charset val="2"/>
      </rPr>
      <t xml:space="preserve">l     </t>
    </r>
  </si>
  <si>
    <r>
      <t xml:space="preserve">How many </t>
    </r>
    <r>
      <rPr>
        <i/>
        <sz val="10"/>
        <rFont val="Times New Roman"/>
        <family val="1"/>
      </rPr>
      <t>defects</t>
    </r>
    <r>
      <rPr>
        <sz val="10"/>
        <rFont val="Times New Roman"/>
        <family val="1"/>
      </rPr>
      <t xml:space="preserve"> were found, measured or occured?</t>
    </r>
  </si>
  <si>
    <r>
      <t xml:space="preserve">How many </t>
    </r>
    <r>
      <rPr>
        <i/>
        <sz val="10"/>
        <rFont val="Times New Roman"/>
        <family val="1"/>
      </rPr>
      <t>defective units</t>
    </r>
    <r>
      <rPr>
        <sz val="10"/>
        <rFont val="Times New Roman"/>
        <family val="1"/>
      </rPr>
      <t xml:space="preserve"> occured in the sample?</t>
    </r>
  </si>
  <si>
    <r>
      <t xml:space="preserve">Requires that the probability of each opportunity being defective is </t>
    </r>
    <r>
      <rPr>
        <i/>
        <sz val="10"/>
        <rFont val="Times New Roman"/>
        <family val="1"/>
      </rPr>
      <t>independent</t>
    </r>
    <r>
      <rPr>
        <sz val="10"/>
        <rFont val="Times New Roman"/>
        <family val="1"/>
      </rPr>
      <t xml:space="preserve"> of the other opportunities.</t>
    </r>
  </si>
  <si>
    <r>
      <t>dpo</t>
    </r>
    <r>
      <rPr>
        <b/>
        <i/>
        <vertAlign val="subscript"/>
        <sz val="10"/>
        <rFont val="Times New Roman"/>
        <family val="1"/>
      </rPr>
      <t>i</t>
    </r>
  </si>
  <si>
    <r>
      <t>if dpo</t>
    </r>
    <r>
      <rPr>
        <b/>
        <i/>
        <vertAlign val="subscript"/>
        <sz val="10"/>
        <rFont val="Times New Roman"/>
        <family val="1"/>
      </rPr>
      <t>i</t>
    </r>
    <r>
      <rPr>
        <b/>
        <i/>
        <sz val="10"/>
        <rFont val="Times New Roman"/>
        <family val="1"/>
      </rPr>
      <t xml:space="preserve"> are not roughly equal</t>
    </r>
  </si>
  <si>
    <r>
      <t xml:space="preserve"> if dpo</t>
    </r>
    <r>
      <rPr>
        <b/>
        <i/>
        <vertAlign val="subscript"/>
        <sz val="10"/>
        <rFont val="Times New Roman"/>
        <family val="1"/>
      </rPr>
      <t>i</t>
    </r>
    <r>
      <rPr>
        <b/>
        <i/>
        <sz val="10"/>
        <rFont val="Times New Roman"/>
        <family val="1"/>
      </rPr>
      <t xml:space="preserve"> are roughly equal</t>
    </r>
  </si>
  <si>
    <r>
      <t xml:space="preserve">Ppk </t>
    </r>
    <r>
      <rPr>
        <vertAlign val="subscript"/>
        <sz val="10"/>
        <rFont val="Times New Roman"/>
        <family val="1"/>
      </rPr>
      <t>bench</t>
    </r>
  </si>
  <si>
    <r>
      <t>dpo =1- Normsdist(3*Ppk)</t>
    </r>
    <r>
      <rPr>
        <vertAlign val="superscript"/>
        <sz val="8"/>
        <rFont val="Times New Roman"/>
        <family val="1"/>
      </rPr>
      <t>*</t>
    </r>
  </si>
  <si>
    <r>
      <t>d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 =</t>
    </r>
    <r>
      <rPr>
        <b/>
        <vertAlign val="subscript"/>
        <sz val="10"/>
        <rFont val="Times New Roman"/>
        <family val="1"/>
      </rPr>
      <t xml:space="preserve"> </t>
    </r>
  </si>
  <si>
    <r>
      <t xml:space="preserve">Cp, Cpk, Zscores, dpmo and yield are all measures of </t>
    </r>
    <r>
      <rPr>
        <b/>
        <i/>
        <sz val="10"/>
        <rFont val="Times New Roman"/>
        <family val="1"/>
      </rPr>
      <t xml:space="preserve">defective units:  </t>
    </r>
  </si>
  <si>
    <r>
      <t>Formulas for converting to p given np, d, d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>, dpu or dpo:</t>
    </r>
  </si>
  <si>
    <r>
      <t xml:space="preserve">The Poisson can approximate the binomial for </t>
    </r>
    <r>
      <rPr>
        <i/>
        <sz val="10"/>
        <rFont val="Times New Roman"/>
        <family val="1"/>
      </rPr>
      <t>defective units</t>
    </r>
    <r>
      <rPr>
        <sz val="10"/>
        <rFont val="Times New Roman"/>
        <family val="1"/>
      </rPr>
      <t xml:space="preserve"> when </t>
    </r>
  </si>
  <si>
    <r>
      <t xml:space="preserve">Please note that since p is a measure of </t>
    </r>
    <r>
      <rPr>
        <b/>
        <i/>
        <sz val="10"/>
        <rFont val="Times New Roman"/>
        <family val="1"/>
      </rPr>
      <t>defective units</t>
    </r>
    <r>
      <rPr>
        <b/>
        <sz val="10"/>
        <rFont val="Times New Roman"/>
        <family val="1"/>
      </rPr>
      <t>, it cannot be greater than 1</t>
    </r>
  </si>
  <si>
    <r>
      <t xml:space="preserve">If dpo &gt;.5 or the the number of opportunities is small, #opp &lt; 10 and the dpo for each opportunity is </t>
    </r>
    <r>
      <rPr>
        <i/>
        <sz val="10"/>
        <rFont val="Times New Roman"/>
        <family val="1"/>
      </rPr>
      <t xml:space="preserve">roughly equal </t>
    </r>
  </si>
  <si>
    <r>
      <t>Non-random patterns (</t>
    </r>
    <r>
      <rPr>
        <b/>
        <i/>
        <sz val="10"/>
        <rFont val="Times New Roman"/>
        <family val="1"/>
      </rPr>
      <t>e.g.</t>
    </r>
    <r>
      <rPr>
        <b/>
        <sz val="10"/>
        <rFont val="Times New Roman"/>
        <family val="1"/>
      </rPr>
      <t xml:space="preserve"> one point is always significantly higher) indicate dependence but difference.</t>
    </r>
  </si>
  <si>
    <t>The Problem</t>
  </si>
  <si>
    <t>By:</t>
  </si>
  <si>
    <t>Date:</t>
  </si>
  <si>
    <t>Initial Values</t>
  </si>
  <si>
    <t>Low Units</t>
  </si>
  <si>
    <t>High Units</t>
  </si>
  <si>
    <t xml:space="preserve">Avg Range = </t>
  </si>
  <si>
    <t xml:space="preserve">s = </t>
  </si>
  <si>
    <t xml:space="preserve">df = </t>
  </si>
  <si>
    <t>Check 1:  No Overlap</t>
  </si>
  <si>
    <t>Check 3:  Separation</t>
  </si>
  <si>
    <t>LOW UNIT</t>
  </si>
  <si>
    <t>HIGH UNIT</t>
  </si>
  <si>
    <t>Results</t>
  </si>
  <si>
    <t>Median Lo</t>
  </si>
  <si>
    <t>Median Hi</t>
  </si>
  <si>
    <t>Initial</t>
  </si>
  <si>
    <t>1st Disassembly</t>
  </si>
  <si>
    <t>2nd Disassembly</t>
  </si>
  <si>
    <t>Part Name</t>
  </si>
  <si>
    <t>Capping Run Name</t>
  </si>
  <si>
    <t>To clean up graph, select all "blank looking" red cells and delete the formulas.  This will allow the graph to print cleanly…</t>
  </si>
  <si>
    <r>
      <t>D</t>
    </r>
    <r>
      <rPr>
        <vertAlign val="subscript"/>
        <sz val="10"/>
        <rFont val="Times New Roman"/>
        <family val="1"/>
      </rPr>
      <t>4</t>
    </r>
    <r>
      <rPr>
        <sz val="10"/>
        <rFont val="Times New Roman"/>
        <family val="1"/>
      </rPr>
      <t xml:space="preserve"> = </t>
    </r>
  </si>
  <si>
    <r>
      <t>d*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  <r>
      <rPr>
        <vertAlign val="subscript"/>
        <sz val="10"/>
        <rFont val="Arial"/>
        <family val="2"/>
      </rPr>
      <t xml:space="preserve"> </t>
    </r>
  </si>
  <si>
    <r>
      <t>s</t>
    </r>
    <r>
      <rPr>
        <vertAlign val="subscript"/>
        <sz val="10"/>
        <rFont val="Times New Roman"/>
        <family val="1"/>
      </rPr>
      <t>x</t>
    </r>
    <r>
      <rPr>
        <sz val="10"/>
        <rFont val="Times New Roman"/>
        <family val="1"/>
      </rPr>
      <t xml:space="preserve"> = </t>
    </r>
  </si>
  <si>
    <r>
      <t>H</t>
    </r>
    <r>
      <rPr>
        <sz val="10"/>
        <rFont val="Symbol"/>
        <family val="1"/>
        <charset val="2"/>
      </rPr>
      <t>a</t>
    </r>
    <r>
      <rPr>
        <sz val="10"/>
        <rFont val="Times New Roman"/>
        <family val="1"/>
      </rPr>
      <t xml:space="preserve"> = </t>
    </r>
  </si>
  <si>
    <r>
      <t xml:space="preserve">Check 2:  </t>
    </r>
    <r>
      <rPr>
        <b/>
        <sz val="12"/>
        <rFont val="Symbol"/>
        <family val="1"/>
        <charset val="2"/>
      </rPr>
      <t>s</t>
    </r>
    <r>
      <rPr>
        <b/>
        <vertAlign val="subscript"/>
        <sz val="10"/>
        <rFont val="Times New Roman"/>
        <family val="1"/>
      </rPr>
      <t>Lo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>=</t>
    </r>
    <r>
      <rPr>
        <b/>
        <sz val="12"/>
        <rFont val="Symbol"/>
        <family val="1"/>
        <charset val="2"/>
      </rPr>
      <t>s</t>
    </r>
    <r>
      <rPr>
        <b/>
        <vertAlign val="subscript"/>
        <sz val="10"/>
        <rFont val="Times New Roman"/>
        <family val="1"/>
      </rPr>
      <t>Hi</t>
    </r>
    <r>
      <rPr>
        <b/>
        <vertAlign val="superscript"/>
        <sz val="10"/>
        <rFont val="Times New Roman"/>
        <family val="1"/>
      </rPr>
      <t>2</t>
    </r>
  </si>
  <si>
    <r>
      <t>Check 4:  LCL+</t>
    </r>
    <r>
      <rPr>
        <b/>
        <sz val="10"/>
        <rFont val="Times New Roman"/>
        <family val="1"/>
      </rPr>
      <t xml:space="preserve"> &gt; UCL</t>
    </r>
    <r>
      <rPr>
        <b/>
        <vertAlign val="superscript"/>
        <sz val="10"/>
        <rFont val="Times New Roman"/>
        <family val="1"/>
      </rPr>
      <t>_</t>
    </r>
  </si>
  <si>
    <r>
      <t>Low</t>
    </r>
    <r>
      <rPr>
        <b/>
        <vertAlign val="subscript"/>
        <sz val="10"/>
        <rFont val="Times New Roman"/>
        <family val="1"/>
      </rPr>
      <t>1</t>
    </r>
  </si>
  <si>
    <r>
      <t>Low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Arial"/>
        <family val="2"/>
      </rPr>
      <t/>
    </r>
  </si>
  <si>
    <r>
      <t>Low</t>
    </r>
    <r>
      <rPr>
        <b/>
        <vertAlign val="subscript"/>
        <sz val="10"/>
        <rFont val="Times New Roman"/>
        <family val="1"/>
      </rPr>
      <t>3</t>
    </r>
    <r>
      <rPr>
        <b/>
        <sz val="10"/>
        <rFont val="Arial"/>
        <family val="2"/>
      </rPr>
      <t/>
    </r>
  </si>
  <si>
    <r>
      <t>Low</t>
    </r>
    <r>
      <rPr>
        <b/>
        <vertAlign val="subscript"/>
        <sz val="10"/>
        <rFont val="Times New Roman"/>
        <family val="1"/>
      </rPr>
      <t>4</t>
    </r>
    <r>
      <rPr>
        <b/>
        <sz val="10"/>
        <rFont val="Arial"/>
        <family val="2"/>
      </rPr>
      <t/>
    </r>
  </si>
  <si>
    <r>
      <t>Low</t>
    </r>
    <r>
      <rPr>
        <b/>
        <vertAlign val="subscript"/>
        <sz val="10"/>
        <rFont val="Times New Roman"/>
        <family val="1"/>
      </rPr>
      <t>5</t>
    </r>
    <r>
      <rPr>
        <b/>
        <sz val="10"/>
        <rFont val="Arial"/>
        <family val="2"/>
      </rPr>
      <t/>
    </r>
  </si>
  <si>
    <r>
      <t>Low</t>
    </r>
    <r>
      <rPr>
        <b/>
        <vertAlign val="subscript"/>
        <sz val="10"/>
        <rFont val="Times New Roman"/>
        <family val="1"/>
      </rPr>
      <t>6</t>
    </r>
    <r>
      <rPr>
        <b/>
        <sz val="10"/>
        <rFont val="Arial"/>
        <family val="2"/>
      </rPr>
      <t/>
    </r>
  </si>
  <si>
    <r>
      <t>High</t>
    </r>
    <r>
      <rPr>
        <b/>
        <vertAlign val="subscript"/>
        <sz val="10"/>
        <rFont val="Times New Roman"/>
        <family val="1"/>
      </rPr>
      <t>1</t>
    </r>
  </si>
  <si>
    <r>
      <t>High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Arial"/>
        <family val="2"/>
      </rPr>
      <t/>
    </r>
  </si>
  <si>
    <r>
      <t>High</t>
    </r>
    <r>
      <rPr>
        <b/>
        <vertAlign val="subscript"/>
        <sz val="10"/>
        <rFont val="Times New Roman"/>
        <family val="1"/>
      </rPr>
      <t>3</t>
    </r>
    <r>
      <rPr>
        <b/>
        <sz val="10"/>
        <rFont val="Arial"/>
        <family val="2"/>
      </rPr>
      <t/>
    </r>
  </si>
  <si>
    <r>
      <t>High</t>
    </r>
    <r>
      <rPr>
        <b/>
        <vertAlign val="subscript"/>
        <sz val="10"/>
        <rFont val="Times New Roman"/>
        <family val="1"/>
      </rPr>
      <t>4</t>
    </r>
    <r>
      <rPr>
        <b/>
        <sz val="10"/>
        <rFont val="Arial"/>
        <family val="2"/>
      </rPr>
      <t/>
    </r>
  </si>
  <si>
    <r>
      <t>High</t>
    </r>
    <r>
      <rPr>
        <b/>
        <vertAlign val="subscript"/>
        <sz val="10"/>
        <rFont val="Times New Roman"/>
        <family val="1"/>
      </rPr>
      <t>5</t>
    </r>
    <r>
      <rPr>
        <b/>
        <sz val="10"/>
        <rFont val="Arial"/>
        <family val="2"/>
      </rPr>
      <t/>
    </r>
  </si>
  <si>
    <r>
      <t>High</t>
    </r>
    <r>
      <rPr>
        <b/>
        <vertAlign val="subscript"/>
        <sz val="10"/>
        <rFont val="Times New Roman"/>
        <family val="1"/>
      </rPr>
      <t>6</t>
    </r>
    <r>
      <rPr>
        <b/>
        <sz val="10"/>
        <rFont val="Arial"/>
        <family val="2"/>
      </rPr>
      <t/>
    </r>
  </si>
  <si>
    <t>Low Unit</t>
  </si>
  <si>
    <t>High Unit</t>
  </si>
  <si>
    <t>COMPONENT</t>
  </si>
  <si>
    <t>SIGNIFICANCE</t>
  </si>
  <si>
    <t>Passing
Units</t>
  </si>
  <si>
    <t>Fail
Units</t>
  </si>
  <si>
    <t>Use "1" for Passing and "2" for Failing</t>
  </si>
  <si>
    <t>Use an equal number of passing and failing units</t>
  </si>
  <si>
    <t>Enter a "1" for a Passing Unit and a "2" for a Failing unit</t>
  </si>
  <si>
    <t>It is recommended that a minimum of 3 Passing and 3 Failing units be used…</t>
  </si>
  <si>
    <t>Range:</t>
  </si>
  <si>
    <r>
      <t>LCL</t>
    </r>
    <r>
      <rPr>
        <b/>
        <vertAlign val="subscript"/>
        <sz val="10"/>
        <rFont val="Arial"/>
        <family val="2"/>
      </rPr>
      <t>Ylo</t>
    </r>
  </si>
  <si>
    <r>
      <t>UCL</t>
    </r>
    <r>
      <rPr>
        <b/>
        <vertAlign val="subscript"/>
        <sz val="10"/>
        <rFont val="Arial"/>
        <family val="2"/>
      </rPr>
      <t>Ylo</t>
    </r>
  </si>
  <si>
    <r>
      <t>LCL</t>
    </r>
    <r>
      <rPr>
        <b/>
        <vertAlign val="subscript"/>
        <sz val="10"/>
        <rFont val="Arial"/>
        <family val="2"/>
      </rPr>
      <t>Yhi</t>
    </r>
  </si>
  <si>
    <r>
      <t>UCL</t>
    </r>
    <r>
      <rPr>
        <b/>
        <vertAlign val="subscript"/>
        <sz val="10"/>
        <rFont val="Arial"/>
        <family val="2"/>
      </rPr>
      <t>Yhi</t>
    </r>
  </si>
  <si>
    <r>
      <t>Pass</t>
    </r>
    <r>
      <rPr>
        <b/>
        <vertAlign val="subscript"/>
        <sz val="10"/>
        <rFont val="Times New Roman"/>
        <family val="1"/>
      </rPr>
      <t>1</t>
    </r>
  </si>
  <si>
    <r>
      <t>Pass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Arial"/>
        <family val="2"/>
      </rPr>
      <t/>
    </r>
  </si>
  <si>
    <r>
      <t>Pass</t>
    </r>
    <r>
      <rPr>
        <b/>
        <vertAlign val="subscript"/>
        <sz val="10"/>
        <rFont val="Times New Roman"/>
        <family val="1"/>
      </rPr>
      <t>3</t>
    </r>
    <r>
      <rPr>
        <b/>
        <sz val="10"/>
        <rFont val="Arial"/>
        <family val="2"/>
      </rPr>
      <t/>
    </r>
  </si>
  <si>
    <r>
      <t>Pass</t>
    </r>
    <r>
      <rPr>
        <b/>
        <vertAlign val="subscript"/>
        <sz val="10"/>
        <rFont val="Times New Roman"/>
        <family val="1"/>
      </rPr>
      <t>4</t>
    </r>
    <r>
      <rPr>
        <b/>
        <sz val="10"/>
        <rFont val="Arial"/>
        <family val="2"/>
      </rPr>
      <t/>
    </r>
  </si>
  <si>
    <r>
      <t>Pass</t>
    </r>
    <r>
      <rPr>
        <b/>
        <vertAlign val="subscript"/>
        <sz val="10"/>
        <rFont val="Times New Roman"/>
        <family val="1"/>
      </rPr>
      <t>5</t>
    </r>
    <r>
      <rPr>
        <b/>
        <sz val="10"/>
        <rFont val="Arial"/>
        <family val="2"/>
      </rPr>
      <t/>
    </r>
  </si>
  <si>
    <r>
      <t>Pass</t>
    </r>
    <r>
      <rPr>
        <b/>
        <vertAlign val="subscript"/>
        <sz val="10"/>
        <rFont val="Times New Roman"/>
        <family val="1"/>
      </rPr>
      <t>6</t>
    </r>
    <r>
      <rPr>
        <b/>
        <sz val="10"/>
        <rFont val="Arial"/>
        <family val="2"/>
      </rPr>
      <t/>
    </r>
  </si>
  <si>
    <r>
      <t>Pass</t>
    </r>
    <r>
      <rPr>
        <b/>
        <vertAlign val="subscript"/>
        <sz val="10"/>
        <rFont val="Times New Roman"/>
        <family val="1"/>
      </rPr>
      <t>7</t>
    </r>
    <r>
      <rPr>
        <b/>
        <sz val="10"/>
        <rFont val="Arial"/>
        <family val="2"/>
      </rPr>
      <t/>
    </r>
  </si>
  <si>
    <r>
      <t>Pass</t>
    </r>
    <r>
      <rPr>
        <b/>
        <vertAlign val="subscript"/>
        <sz val="10"/>
        <rFont val="Times New Roman"/>
        <family val="1"/>
      </rPr>
      <t>8</t>
    </r>
    <r>
      <rPr>
        <b/>
        <sz val="10"/>
        <rFont val="Arial"/>
        <family val="2"/>
      </rPr>
      <t/>
    </r>
  </si>
  <si>
    <r>
      <t>Pass</t>
    </r>
    <r>
      <rPr>
        <b/>
        <vertAlign val="subscript"/>
        <sz val="10"/>
        <rFont val="Times New Roman"/>
        <family val="1"/>
      </rPr>
      <t>9</t>
    </r>
    <r>
      <rPr>
        <b/>
        <sz val="10"/>
        <rFont val="Arial"/>
        <family val="2"/>
      </rPr>
      <t/>
    </r>
  </si>
  <si>
    <r>
      <t>Pass</t>
    </r>
    <r>
      <rPr>
        <b/>
        <vertAlign val="subscript"/>
        <sz val="10"/>
        <rFont val="Times New Roman"/>
        <family val="1"/>
      </rPr>
      <t>10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</si>
  <si>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1</t>
    </r>
  </si>
  <si>
    <r>
      <t>Fail</t>
    </r>
    <r>
      <rPr>
        <b/>
        <vertAlign val="subscript"/>
        <sz val="10"/>
        <rFont val="Times New Roman"/>
        <family val="1"/>
      </rPr>
      <t>2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</si>
  <si>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3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</si>
  <si>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4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</si>
  <si>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5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</si>
  <si>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6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</si>
  <si>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7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</si>
  <si>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8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</si>
  <si>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9</t>
    </r>
    <r>
      <rPr>
        <b/>
        <sz val="10"/>
        <rFont val="Arial"/>
        <family val="2"/>
      </rPr>
      <t/>
    </r>
  </si>
  <si>
    <r>
      <t>Fail</t>
    </r>
    <r>
      <rPr>
        <b/>
        <vertAlign val="subscript"/>
        <sz val="10"/>
        <rFont val="Times New Roman"/>
        <family val="1"/>
      </rPr>
      <t>10</t>
    </r>
    <r>
      <rPr>
        <b/>
        <sz val="10"/>
        <rFont val="Arial"/>
        <family val="2"/>
      </rPr>
      <t/>
    </r>
  </si>
  <si>
    <r>
      <t xml:space="preserve">To clean up graph, select all "blank looking" red cells </t>
    </r>
    <r>
      <rPr>
        <b/>
        <i/>
        <sz val="10"/>
        <rFont val="Times New Roman"/>
        <family val="1"/>
      </rPr>
      <t>below</t>
    </r>
    <r>
      <rPr>
        <i/>
        <sz val="10"/>
        <rFont val="Times New Roman"/>
        <family val="1"/>
      </rPr>
      <t xml:space="preserve"> and delete the formulas.  This will allow the graph to print cleanly…</t>
    </r>
  </si>
  <si>
    <t>For Standard Distributions:</t>
  </si>
  <si>
    <t># Levels</t>
  </si>
  <si>
    <t># Factors</t>
  </si>
  <si>
    <t># Replicates</t>
  </si>
  <si>
    <t>conf</t>
  </si>
  <si>
    <t>Balanced?</t>
  </si>
  <si>
    <t>y</t>
  </si>
  <si>
    <t># HI values</t>
  </si>
  <si>
    <t># Lo Values</t>
  </si>
  <si>
    <t>C</t>
  </si>
  <si>
    <t># Contrasts</t>
  </si>
  <si>
    <t>End Count</t>
  </si>
  <si>
    <t>Trials</t>
  </si>
  <si>
    <t>For Bounded Distributions:</t>
  </si>
  <si>
    <t>Total n</t>
  </si>
  <si>
    <t>For All Contrasts</t>
  </si>
  <si>
    <t>Endcount</t>
  </si>
  <si>
    <t xml:space="preserve">a: </t>
  </si>
  <si>
    <t xml:space="preserve"># Contrasts:  </t>
  </si>
  <si>
    <t xml:space="preserve">Confidence for  asingle contrast:  </t>
  </si>
  <si>
    <t>1-a</t>
  </si>
  <si>
    <r>
      <t>n</t>
    </r>
    <r>
      <rPr>
        <vertAlign val="subscript"/>
        <sz val="10"/>
        <color indexed="8"/>
        <rFont val="Times New Roman"/>
        <family val="1"/>
      </rPr>
      <t>HI</t>
    </r>
  </si>
  <si>
    <r>
      <t>n</t>
    </r>
    <r>
      <rPr>
        <vertAlign val="subscript"/>
        <sz val="10"/>
        <color indexed="8"/>
        <rFont val="Times New Roman"/>
        <family val="1"/>
      </rPr>
      <t>LO</t>
    </r>
  </si>
  <si>
    <r>
      <t>Comb(N</t>
    </r>
    <r>
      <rPr>
        <vertAlign val="subscript"/>
        <sz val="9"/>
        <color indexed="8"/>
        <rFont val="Times New Roman"/>
        <family val="1"/>
      </rPr>
      <t>HI</t>
    </r>
    <r>
      <rPr>
        <sz val="9"/>
        <color indexed="8"/>
        <rFont val="Times New Roman"/>
        <family val="1"/>
      </rPr>
      <t>, N</t>
    </r>
    <r>
      <rPr>
        <vertAlign val="subscript"/>
        <sz val="9"/>
        <color indexed="8"/>
        <rFont val="Times New Roman"/>
        <family val="1"/>
      </rPr>
      <t>LO</t>
    </r>
    <r>
      <rPr>
        <sz val="9"/>
        <color indexed="8"/>
        <rFont val="Times New Roman"/>
        <family val="1"/>
      </rPr>
      <t>)</t>
    </r>
  </si>
  <si>
    <r>
      <t>n</t>
    </r>
    <r>
      <rPr>
        <vertAlign val="subscript"/>
        <sz val="10"/>
        <color indexed="8"/>
        <rFont val="Times New Roman"/>
        <family val="1"/>
      </rPr>
      <t>HI</t>
    </r>
    <r>
      <rPr>
        <sz val="10"/>
        <color indexed="8"/>
        <rFont val="Times New Roman"/>
        <family val="1"/>
      </rPr>
      <t xml:space="preserve"> + n</t>
    </r>
    <r>
      <rPr>
        <vertAlign val="subscript"/>
        <sz val="10"/>
        <color indexed="8"/>
        <rFont val="Times New Roman"/>
        <family val="1"/>
      </rPr>
      <t>LO</t>
    </r>
  </si>
  <si>
    <r>
      <t xml:space="preserve">Sample size for </t>
    </r>
    <r>
      <rPr>
        <i/>
        <sz val="10"/>
        <rFont val="Times New Roman"/>
        <family val="1"/>
      </rPr>
      <t>both</t>
    </r>
    <r>
      <rPr>
        <sz val="10"/>
        <rFont val="Times New Roman"/>
        <family val="1"/>
      </rPr>
      <t xml:space="preserve"> high &amp; low levels</t>
    </r>
  </si>
  <si>
    <r>
      <t>a</t>
    </r>
    <r>
      <rPr>
        <sz val="10"/>
        <color indexed="9"/>
        <rFont val="Times New Roman"/>
        <family val="1"/>
      </rPr>
      <t xml:space="preserve"> for a single contrast:    </t>
    </r>
  </si>
  <si>
    <t>- Level</t>
  </si>
  <si>
    <t>+ Level</t>
  </si>
  <si>
    <t>Detailed Contrast Plots</t>
  </si>
  <si>
    <t>Factor A:</t>
  </si>
  <si>
    <t>Factor B:</t>
  </si>
  <si>
    <t>A -</t>
  </si>
  <si>
    <t>A +</t>
  </si>
  <si>
    <t>(1)</t>
  </si>
  <si>
    <t>B -</t>
  </si>
  <si>
    <t>b</t>
  </si>
  <si>
    <t>ab</t>
  </si>
  <si>
    <t>B +</t>
  </si>
  <si>
    <t>Yates Algorithm</t>
  </si>
  <si>
    <t>To Determine The Largest Contrasts</t>
  </si>
  <si>
    <t>Cell</t>
  </si>
  <si>
    <t>Y</t>
  </si>
  <si>
    <t>Absolute</t>
  </si>
  <si>
    <t>Contrast</t>
  </si>
  <si>
    <t>RANK</t>
  </si>
  <si>
    <t>D</t>
  </si>
  <si>
    <t xml:space="preserve">Largest Contrast:  </t>
  </si>
  <si>
    <t>AB</t>
  </si>
  <si>
    <t>Endcount Results</t>
  </si>
  <si>
    <t>Factors</t>
  </si>
  <si>
    <t>Standard</t>
  </si>
  <si>
    <t>Bounded</t>
  </si>
  <si>
    <t>Endcount Analysis</t>
  </si>
  <si>
    <t>Interaction AB</t>
  </si>
  <si>
    <t>To Determine Statistically Significant Contrasts</t>
  </si>
  <si>
    <t>Required Endcount:</t>
  </si>
  <si>
    <t xml:space="preserve">Required Bounded Endcount:  </t>
  </si>
  <si>
    <t>Run</t>
  </si>
  <si>
    <t>Levels Of Contrast</t>
  </si>
  <si>
    <t>Yates</t>
  </si>
  <si>
    <t>Order</t>
  </si>
  <si>
    <t>-</t>
  </si>
  <si>
    <t>+</t>
  </si>
  <si>
    <t>End Count:</t>
  </si>
  <si>
    <t>Bounded Endcount:</t>
  </si>
  <si>
    <t>1 Factor</t>
  </si>
  <si>
    <t>- Low</t>
  </si>
  <si>
    <t>+ High</t>
  </si>
  <si>
    <t>Endcount Table: 3 replicates</t>
  </si>
  <si>
    <t>A+</t>
  </si>
  <si>
    <t>B-</t>
  </si>
  <si>
    <t>B+</t>
  </si>
  <si>
    <t>AB-</t>
  </si>
  <si>
    <t>AB+</t>
  </si>
  <si>
    <t>Endcount Table: 2 replicates</t>
  </si>
  <si>
    <t>A-</t>
  </si>
  <si>
    <t>Bounded Distributions:</t>
  </si>
  <si>
    <t xml:space="preserve">Confidence for  a single contrast:  </t>
  </si>
  <si>
    <t>Bounded Endcount Lookup Table</t>
  </si>
  <si>
    <t>Required Bounded Endcount</t>
  </si>
  <si>
    <r>
      <t>Confidence</t>
    </r>
    <r>
      <rPr>
        <sz val="10"/>
        <rFont val="Times New Roman"/>
        <family val="1"/>
      </rPr>
      <t>:</t>
    </r>
  </si>
  <si>
    <r>
      <t>2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 xml:space="preserve"> Design Matrix</t>
    </r>
  </si>
  <si>
    <r>
      <t>D</t>
    </r>
    <r>
      <rPr>
        <b/>
        <sz val="10"/>
        <rFont val="Times New Roman"/>
        <family val="1"/>
      </rPr>
      <t xml:space="preserve"> + to --</t>
    </r>
  </si>
  <si>
    <r>
      <t>¸</t>
    </r>
    <r>
      <rPr>
        <b/>
        <sz val="10"/>
        <rFont val="Times New Roman"/>
        <family val="1"/>
      </rPr>
      <t xml:space="preserve"> 2</t>
    </r>
  </si>
  <si>
    <r>
      <t>Comb(N</t>
    </r>
    <r>
      <rPr>
        <vertAlign val="subscript"/>
        <sz val="10"/>
        <color indexed="8"/>
        <rFont val="Times New Roman"/>
        <family val="1"/>
      </rPr>
      <t>HI</t>
    </r>
    <r>
      <rPr>
        <sz val="10"/>
        <color indexed="8"/>
        <rFont val="Times New Roman"/>
        <family val="1"/>
      </rPr>
      <t>, N</t>
    </r>
    <r>
      <rPr>
        <vertAlign val="subscript"/>
        <sz val="10"/>
        <color indexed="8"/>
        <rFont val="Times New Roman"/>
        <family val="1"/>
      </rPr>
      <t>LO</t>
    </r>
    <r>
      <rPr>
        <sz val="10"/>
        <color indexed="8"/>
        <rFont val="Times New Roman"/>
        <family val="1"/>
      </rPr>
      <t>)</t>
    </r>
  </si>
  <si>
    <r>
      <t>a</t>
    </r>
    <r>
      <rPr>
        <sz val="10"/>
        <rFont val="Times New Roman"/>
        <family val="1"/>
      </rPr>
      <t xml:space="preserve"> for a single contrast:       </t>
    </r>
  </si>
  <si>
    <t>Endcount Table:</t>
  </si>
  <si>
    <t>YATES ALGORITHM</t>
  </si>
  <si>
    <t>THREE FACTOR INTERACTION PLOTS</t>
  </si>
  <si>
    <t>For The ABC Interaction</t>
  </si>
  <si>
    <t>Level of Contrast</t>
  </si>
  <si>
    <t>AC</t>
  </si>
  <si>
    <t>BC</t>
  </si>
  <si>
    <t>ABC</t>
  </si>
  <si>
    <t>C -</t>
  </si>
  <si>
    <t>c</t>
  </si>
  <si>
    <t>ac</t>
  </si>
  <si>
    <t>bc</t>
  </si>
  <si>
    <t>C +</t>
  </si>
  <si>
    <t>abc</t>
  </si>
  <si>
    <t>Largest Contrasts</t>
  </si>
  <si>
    <t>AC -</t>
  </si>
  <si>
    <t>AC +</t>
  </si>
  <si>
    <t>BC -</t>
  </si>
  <si>
    <t>BC +</t>
  </si>
  <si>
    <t>ABC-</t>
  </si>
  <si>
    <t>ABC+</t>
  </si>
  <si>
    <t>AD</t>
  </si>
  <si>
    <t>BD</t>
  </si>
  <si>
    <t>ABD</t>
  </si>
  <si>
    <t>CD</t>
  </si>
  <si>
    <t>ACD</t>
  </si>
  <si>
    <t>BCD</t>
  </si>
  <si>
    <t>ABCD</t>
  </si>
  <si>
    <t>D -</t>
  </si>
  <si>
    <t>d</t>
  </si>
  <si>
    <t>ad</t>
  </si>
  <si>
    <t>bd</t>
  </si>
  <si>
    <t>abd</t>
  </si>
  <si>
    <t>D +</t>
  </si>
  <si>
    <t>cd</t>
  </si>
  <si>
    <t>acd</t>
  </si>
  <si>
    <t>bcd</t>
  </si>
  <si>
    <t>abcd</t>
  </si>
  <si>
    <t>AB -</t>
  </si>
  <si>
    <t>AB +</t>
  </si>
  <si>
    <t>AD -</t>
  </si>
  <si>
    <t>AD +</t>
  </si>
  <si>
    <t>BD -</t>
  </si>
  <si>
    <t>BD +</t>
  </si>
  <si>
    <t>CD -</t>
  </si>
  <si>
    <t>CD +</t>
  </si>
  <si>
    <t>Factor A</t>
  </si>
  <si>
    <t>Factor B</t>
  </si>
  <si>
    <t>Factor C:</t>
  </si>
  <si>
    <t>Factor C</t>
  </si>
  <si>
    <t>Interaction</t>
  </si>
  <si>
    <t>Factor d:</t>
  </si>
  <si>
    <t>Factor D</t>
  </si>
  <si>
    <t>Interaction Plots</t>
  </si>
  <si>
    <t>C-</t>
  </si>
  <si>
    <t>C+</t>
  </si>
  <si>
    <t>Detailed Interaction Contrast Plots</t>
  </si>
  <si>
    <t>D-</t>
  </si>
  <si>
    <t>D+</t>
  </si>
  <si>
    <t>Detailed Main Effect Contrast Plots</t>
  </si>
  <si>
    <t>Detailed Interaction Plots</t>
  </si>
  <si>
    <t>2 Replicates (N = 16) is the default</t>
  </si>
  <si>
    <t xml:space="preserve">Required Endcount:  </t>
  </si>
  <si>
    <t>Bounded Endcount =</t>
  </si>
  <si>
    <t>Standard Endcount Table:</t>
  </si>
  <si>
    <t>Factor Name</t>
  </si>
  <si>
    <t xml:space="preserve">Factor </t>
  </si>
  <si>
    <r>
      <t>2</t>
    </r>
    <r>
      <rPr>
        <b/>
        <vertAlign val="superscript"/>
        <sz val="10"/>
        <rFont val="Times New Roman"/>
        <family val="1"/>
      </rPr>
      <t>3</t>
    </r>
    <r>
      <rPr>
        <b/>
        <sz val="10"/>
        <rFont val="Times New Roman"/>
        <family val="1"/>
      </rPr>
      <t xml:space="preserve"> Design Matrix</t>
    </r>
  </si>
  <si>
    <r>
      <t>D</t>
    </r>
    <r>
      <rPr>
        <b/>
        <sz val="8"/>
        <rFont val="Times New Roman"/>
        <family val="1"/>
      </rPr>
      <t xml:space="preserve"> + to --</t>
    </r>
  </si>
  <si>
    <r>
      <t>¸</t>
    </r>
    <r>
      <rPr>
        <b/>
        <sz val="10"/>
        <rFont val="Times New Roman"/>
        <family val="1"/>
      </rPr>
      <t xml:space="preserve"> 4</t>
    </r>
  </si>
  <si>
    <r>
      <t>n</t>
    </r>
    <r>
      <rPr>
        <vertAlign val="subscript"/>
        <sz val="10"/>
        <color indexed="9"/>
        <rFont val="Times New Roman"/>
        <family val="1"/>
      </rPr>
      <t>HI</t>
    </r>
  </si>
  <si>
    <r>
      <t>n</t>
    </r>
    <r>
      <rPr>
        <vertAlign val="subscript"/>
        <sz val="10"/>
        <color indexed="9"/>
        <rFont val="Times New Roman"/>
        <family val="1"/>
      </rPr>
      <t>LO</t>
    </r>
  </si>
  <si>
    <r>
      <t>Comb(N</t>
    </r>
    <r>
      <rPr>
        <vertAlign val="subscript"/>
        <sz val="10"/>
        <color indexed="9"/>
        <rFont val="Times New Roman"/>
        <family val="1"/>
      </rPr>
      <t>HI</t>
    </r>
    <r>
      <rPr>
        <sz val="10"/>
        <color indexed="9"/>
        <rFont val="Times New Roman"/>
        <family val="1"/>
      </rPr>
      <t>, N</t>
    </r>
    <r>
      <rPr>
        <vertAlign val="subscript"/>
        <sz val="10"/>
        <color indexed="9"/>
        <rFont val="Times New Roman"/>
        <family val="1"/>
      </rPr>
      <t>LO</t>
    </r>
    <r>
      <rPr>
        <sz val="10"/>
        <color indexed="9"/>
        <rFont val="Times New Roman"/>
        <family val="1"/>
      </rPr>
      <t>)</t>
    </r>
  </si>
  <si>
    <r>
      <t>n</t>
    </r>
    <r>
      <rPr>
        <vertAlign val="subscript"/>
        <sz val="10"/>
        <color indexed="9"/>
        <rFont val="Times New Roman"/>
        <family val="1"/>
      </rPr>
      <t>HI</t>
    </r>
    <r>
      <rPr>
        <sz val="10"/>
        <color indexed="9"/>
        <rFont val="Times New Roman"/>
        <family val="1"/>
      </rPr>
      <t xml:space="preserve"> + n</t>
    </r>
    <r>
      <rPr>
        <vertAlign val="subscript"/>
        <sz val="10"/>
        <color indexed="9"/>
        <rFont val="Times New Roman"/>
        <family val="1"/>
      </rPr>
      <t>LO</t>
    </r>
  </si>
  <si>
    <r>
      <t>2</t>
    </r>
    <r>
      <rPr>
        <b/>
        <vertAlign val="superscript"/>
        <sz val="10"/>
        <rFont val="Times New Roman"/>
        <family val="1"/>
      </rPr>
      <t>4</t>
    </r>
    <r>
      <rPr>
        <b/>
        <sz val="10"/>
        <rFont val="Times New Roman"/>
        <family val="1"/>
      </rPr>
      <t xml:space="preserve"> Design Matrix</t>
    </r>
  </si>
  <si>
    <r>
      <t>¸</t>
    </r>
    <r>
      <rPr>
        <b/>
        <sz val="8"/>
        <rFont val="Times New Roman"/>
        <family val="1"/>
      </rPr>
      <t xml:space="preserve"> 8</t>
    </r>
  </si>
  <si>
    <t>Design of Experiments</t>
  </si>
  <si>
    <t>Enter data in green cells only…</t>
  </si>
  <si>
    <t>Part Number</t>
  </si>
  <si>
    <t>Default # Data Points = 100.</t>
  </si>
  <si>
    <t>Nominal:</t>
  </si>
  <si>
    <t>Date Range</t>
  </si>
  <si>
    <t>Measurement Gage</t>
  </si>
  <si>
    <t xml:space="preserve">Enter Level </t>
  </si>
  <si>
    <t>If you wish to control the cell width</t>
  </si>
  <si>
    <t>Names  =&gt;</t>
  </si>
  <si>
    <t xml:space="preserve">and starting point, enter width </t>
  </si>
  <si>
    <t>&amp; X Scale Min in white cells below:</t>
  </si>
  <si>
    <t>Median</t>
  </si>
  <si>
    <t>Cell Width</t>
  </si>
  <si>
    <t>Max</t>
  </si>
  <si>
    <t>X Scale Min</t>
  </si>
  <si>
    <t>Decimal Places</t>
  </si>
  <si>
    <t>Std Dev</t>
  </si>
  <si>
    <t>Min</t>
  </si>
  <si>
    <t>% def</t>
  </si>
  <si>
    <t>Data Min</t>
  </si>
  <si>
    <t>Data Max</t>
  </si>
  <si>
    <t>Graph min</t>
  </si>
  <si>
    <t>Graph max</t>
  </si>
  <si>
    <t>multiplier</t>
  </si>
  <si>
    <t>Raw Cell Width</t>
  </si>
  <si>
    <t>Cell Data&gt;USL</t>
  </si>
  <si>
    <t>Cell Data&lt;USL</t>
  </si>
  <si>
    <t>Bins</t>
  </si>
  <si>
    <t>X-Axis</t>
  </si>
  <si>
    <t>Frequency</t>
  </si>
  <si>
    <t>Spec Limits</t>
  </si>
  <si>
    <t>Nominal</t>
  </si>
  <si>
    <t>Boundaries</t>
  </si>
  <si>
    <t>Mid Points</t>
  </si>
  <si>
    <t>%defective</t>
  </si>
  <si>
    <t>n check</t>
  </si>
  <si>
    <t>Spec Freq</t>
  </si>
  <si>
    <t>Normal Distribution</t>
  </si>
  <si>
    <t>Uniform Distribution</t>
  </si>
  <si>
    <t>h</t>
  </si>
  <si>
    <t>Exponential Distribution</t>
  </si>
  <si>
    <t>l</t>
  </si>
  <si>
    <t>% Defective</t>
  </si>
  <si>
    <t>Minimum</t>
  </si>
  <si>
    <t>25th Percentile</t>
  </si>
  <si>
    <t>Lower Confidence</t>
  </si>
  <si>
    <t>Upper Confidence</t>
  </si>
  <si>
    <t>75th Percentile</t>
  </si>
  <si>
    <t>Maximum</t>
  </si>
  <si>
    <t>IQR</t>
  </si>
  <si>
    <t>X</t>
  </si>
  <si>
    <t>SPEC X</t>
  </si>
  <si>
    <t>maximum</t>
  </si>
  <si>
    <r>
      <t>D</t>
    </r>
    <r>
      <rPr>
        <b/>
        <vertAlign val="subscript"/>
        <sz val="10"/>
        <rFont val="Times New Roman"/>
        <family val="1"/>
      </rPr>
      <t>R</t>
    </r>
  </si>
  <si>
    <r>
      <t>Ppk</t>
    </r>
    <r>
      <rPr>
        <b/>
        <vertAlign val="subscript"/>
        <sz val="10"/>
        <color indexed="9"/>
        <rFont val="Times New Roman"/>
        <family val="1"/>
      </rPr>
      <t>LSL</t>
    </r>
  </si>
  <si>
    <r>
      <t>Ppk</t>
    </r>
    <r>
      <rPr>
        <b/>
        <vertAlign val="subscript"/>
        <sz val="10"/>
        <color indexed="9"/>
        <rFont val="Times New Roman"/>
        <family val="1"/>
      </rPr>
      <t>USL</t>
    </r>
  </si>
  <si>
    <t>Grand Average</t>
  </si>
  <si>
    <r>
      <t>d*</t>
    </r>
    <r>
      <rPr>
        <b/>
        <vertAlign val="subscript"/>
        <sz val="10"/>
        <color indexed="9"/>
        <rFont val="Arial"/>
        <family val="2"/>
      </rPr>
      <t>2</t>
    </r>
  </si>
  <si>
    <r>
      <t>H</t>
    </r>
    <r>
      <rPr>
        <b/>
        <sz val="10"/>
        <color indexed="9"/>
        <rFont val="Symbol"/>
        <family val="1"/>
        <charset val="2"/>
      </rPr>
      <t>a</t>
    </r>
  </si>
  <si>
    <r>
      <t>s</t>
    </r>
    <r>
      <rPr>
        <b/>
        <vertAlign val="subscript"/>
        <sz val="10"/>
        <color indexed="9"/>
        <rFont val="Arial"/>
        <family val="2"/>
      </rPr>
      <t>x</t>
    </r>
  </si>
  <si>
    <t>Lower Y Spec</t>
  </si>
  <si>
    <t>Upper Y Spec</t>
  </si>
  <si>
    <t>Min X:</t>
  </si>
  <si>
    <t>Max X</t>
  </si>
  <si>
    <t>The X</t>
  </si>
  <si>
    <t>To apply different regression options, select "Add Trendline" from the Chart Menu while the chart is selected…</t>
  </si>
  <si>
    <t xml:space="preserve">Select the "Options" Tab to display the r2 value </t>
  </si>
  <si>
    <t>and/or the formula for the best fit line</t>
  </si>
  <si>
    <t xml:space="preserve">Select the type of regression that appears </t>
  </si>
  <si>
    <t>to fit your data</t>
  </si>
  <si>
    <r>
      <t>H</t>
    </r>
    <r>
      <rPr>
        <b/>
        <sz val="10"/>
        <color indexed="8"/>
        <rFont val="Symbol"/>
        <family val="1"/>
        <charset val="2"/>
      </rPr>
      <t>a</t>
    </r>
  </si>
  <si>
    <r>
      <t>s</t>
    </r>
    <r>
      <rPr>
        <b/>
        <vertAlign val="subscript"/>
        <sz val="10"/>
        <color indexed="8"/>
        <rFont val="Arial"/>
        <family val="2"/>
      </rPr>
      <t>p</t>
    </r>
  </si>
  <si>
    <r>
      <t>Table for d*</t>
    </r>
    <r>
      <rPr>
        <b/>
        <vertAlign val="subscript"/>
        <sz val="10"/>
        <rFont val="Arial"/>
        <family val="2"/>
      </rPr>
      <t>2</t>
    </r>
  </si>
  <si>
    <r>
      <t>Tables for H</t>
    </r>
    <r>
      <rPr>
        <b/>
        <sz val="10"/>
        <rFont val="Symbol"/>
        <family val="1"/>
        <charset val="2"/>
      </rPr>
      <t>a</t>
    </r>
  </si>
  <si>
    <r>
      <t>Table for H</t>
    </r>
    <r>
      <rPr>
        <b/>
        <sz val="10"/>
        <rFont val="Symbol"/>
        <family val="1"/>
        <charset val="2"/>
      </rPr>
      <t xml:space="preserve">a, </t>
    </r>
    <r>
      <rPr>
        <b/>
        <sz val="10"/>
        <rFont val="Arial"/>
        <family val="2"/>
      </rPr>
      <t>k=2</t>
    </r>
  </si>
  <si>
    <r>
      <t>a</t>
    </r>
    <r>
      <rPr>
        <b/>
        <sz val="8"/>
        <rFont val="Arial"/>
        <family val="2"/>
      </rPr>
      <t xml:space="preserve"> = .10</t>
    </r>
  </si>
  <si>
    <r>
      <t>a</t>
    </r>
    <r>
      <rPr>
        <b/>
        <sz val="8"/>
        <rFont val="Arial"/>
        <family val="2"/>
      </rPr>
      <t xml:space="preserve"> = .05</t>
    </r>
  </si>
  <si>
    <r>
      <t>a</t>
    </r>
    <r>
      <rPr>
        <b/>
        <sz val="8"/>
        <rFont val="Arial"/>
        <family val="2"/>
      </rPr>
      <t xml:space="preserve"> = .01</t>
    </r>
  </si>
  <si>
    <r>
      <t>H</t>
    </r>
    <r>
      <rPr>
        <b/>
        <sz val="8"/>
        <rFont val="Symbol"/>
        <family val="1"/>
        <charset val="2"/>
      </rPr>
      <t>a</t>
    </r>
    <r>
      <rPr>
        <b/>
        <sz val="8"/>
        <rFont val="Arial"/>
        <family val="2"/>
      </rPr>
      <t xml:space="preserve"> for ANOM % Defective Data</t>
    </r>
  </si>
  <si>
    <t xml:space="preserve">The Output Characteristic Under Study (The 'Y'): </t>
  </si>
  <si>
    <t>Hypothesis Test Results</t>
  </si>
  <si>
    <t>The Input Factor Being Tested (The 'X'):</t>
  </si>
  <si>
    <t>Sample Size = 3 Lo and 3 Hi;  Required Endcount = 6</t>
  </si>
  <si>
    <t>Run Order Table</t>
  </si>
  <si>
    <t>Results Entry Table</t>
  </si>
  <si>
    <t>Results Sorted By Run Order</t>
  </si>
  <si>
    <t>Subgroup</t>
  </si>
  <si>
    <t>Run Order</t>
  </si>
  <si>
    <t>Endcount Table</t>
  </si>
  <si>
    <t>Results Sorted By Subgroup</t>
  </si>
  <si>
    <t># Lo</t>
  </si>
  <si>
    <t># Hi</t>
  </si>
  <si>
    <t xml:space="preserve">Hi </t>
  </si>
  <si>
    <r>
      <t>Hi</t>
    </r>
    <r>
      <rPr>
        <vertAlign val="subscript"/>
        <sz val="10"/>
        <rFont val="Times New Roman"/>
        <family val="1"/>
      </rPr>
      <t>1</t>
    </r>
    <r>
      <rPr>
        <b/>
        <sz val="10"/>
        <rFont val="Times New Roman"/>
        <family val="1"/>
      </rPr>
      <t/>
    </r>
  </si>
  <si>
    <r>
      <t>Hi</t>
    </r>
    <r>
      <rPr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/>
    </r>
  </si>
  <si>
    <r>
      <t>Hi</t>
    </r>
    <r>
      <rPr>
        <vertAlign val="subscript"/>
        <sz val="10"/>
        <rFont val="Times New Roman"/>
        <family val="1"/>
      </rPr>
      <t>3</t>
    </r>
    <r>
      <rPr>
        <b/>
        <sz val="10"/>
        <rFont val="Times New Roman"/>
        <family val="1"/>
      </rPr>
      <t/>
    </r>
  </si>
  <si>
    <r>
      <t>Lo</t>
    </r>
    <r>
      <rPr>
        <vertAlign val="subscript"/>
        <sz val="10"/>
        <rFont val="Times New Roman"/>
        <family val="1"/>
      </rPr>
      <t>1</t>
    </r>
  </si>
  <si>
    <r>
      <t>Lo</t>
    </r>
    <r>
      <rPr>
        <vertAlign val="subscript"/>
        <sz val="10"/>
        <rFont val="Times New Roman"/>
        <family val="1"/>
      </rPr>
      <t>2</t>
    </r>
    <r>
      <rPr>
        <b/>
        <sz val="10"/>
        <rFont val="Times New Roman"/>
        <family val="1"/>
      </rPr>
      <t/>
    </r>
  </si>
  <si>
    <r>
      <t>Lo</t>
    </r>
    <r>
      <rPr>
        <vertAlign val="subscript"/>
        <sz val="10"/>
        <rFont val="Times New Roman"/>
        <family val="1"/>
      </rPr>
      <t>3</t>
    </r>
    <r>
      <rPr>
        <b/>
        <sz val="10"/>
        <rFont val="Times New Roman"/>
        <family val="1"/>
      </rPr>
      <t/>
    </r>
  </si>
  <si>
    <r>
      <t>Subgroup</t>
    </r>
    <r>
      <rPr>
        <vertAlign val="subscript"/>
        <sz val="8"/>
        <color indexed="9"/>
        <rFont val="Times New Roman"/>
        <family val="1"/>
      </rPr>
      <t>1</t>
    </r>
  </si>
  <si>
    <r>
      <t>Subgroup</t>
    </r>
    <r>
      <rPr>
        <vertAlign val="subscript"/>
        <sz val="8"/>
        <color indexed="9"/>
        <rFont val="Times New Roman"/>
        <family val="1"/>
      </rPr>
      <t>2</t>
    </r>
    <r>
      <rPr>
        <b/>
        <sz val="10"/>
        <rFont val="Times New Roman"/>
        <family val="1"/>
      </rPr>
      <t/>
    </r>
  </si>
  <si>
    <r>
      <t>Subgroup</t>
    </r>
    <r>
      <rPr>
        <vertAlign val="subscript"/>
        <sz val="8"/>
        <color indexed="9"/>
        <rFont val="Times New Roman"/>
        <family val="1"/>
      </rPr>
      <t>3</t>
    </r>
    <r>
      <rPr>
        <b/>
        <sz val="10"/>
        <rFont val="Times New Roman"/>
        <family val="1"/>
      </rPr>
      <t/>
    </r>
  </si>
  <si>
    <t>units</t>
  </si>
  <si>
    <t># Hi Units</t>
  </si>
  <si>
    <t># Lo Units</t>
  </si>
  <si>
    <t>Comb(Hi,Lo)</t>
  </si>
  <si>
    <t># Hi+Lo</t>
  </si>
  <si>
    <t>Results Sorted by Subgroup</t>
  </si>
  <si>
    <t xml:space="preserve">N = </t>
  </si>
  <si>
    <t>You may choose any confidence Level…</t>
  </si>
  <si>
    <t>Bounded Hypothesis Test Results</t>
  </si>
  <si>
    <t>Manually look up the value in the Factor Table!</t>
  </si>
  <si>
    <t>Between</t>
  </si>
  <si>
    <t>R1</t>
  </si>
  <si>
    <t>R2</t>
  </si>
  <si>
    <t>P/P/P/P</t>
  </si>
  <si>
    <t>N/P/P/P</t>
  </si>
  <si>
    <t>P/N/P/P</t>
  </si>
  <si>
    <t>N/N/P/P</t>
  </si>
  <si>
    <t>P/P/N/P</t>
  </si>
  <si>
    <t>N/P/N/P</t>
  </si>
  <si>
    <t>P/N/N/P</t>
  </si>
  <si>
    <t>N/N/N/P</t>
  </si>
  <si>
    <t>P/P/P/N</t>
  </si>
  <si>
    <t>N/P/P/N</t>
  </si>
  <si>
    <t>P/N/P/N</t>
  </si>
  <si>
    <t>N/N/P/N</t>
  </si>
  <si>
    <t>P/P/N/N</t>
  </si>
  <si>
    <t>N/P/N/N</t>
  </si>
  <si>
    <t>P/N/N/N</t>
  </si>
  <si>
    <t>N/N/N/N</t>
  </si>
  <si>
    <t>P</t>
  </si>
  <si>
    <t>Sens</t>
  </si>
  <si>
    <t>Spec</t>
  </si>
  <si>
    <t>Percentages</t>
  </si>
  <si>
    <t>Agreement</t>
  </si>
  <si>
    <t>NOTE: Do not copy and paste results</t>
  </si>
  <si>
    <t>Within Gold Std</t>
  </si>
  <si>
    <t>Within Test</t>
  </si>
  <si>
    <t>Between Tests</t>
  </si>
  <si>
    <t>Total</t>
  </si>
  <si>
    <t>Note: When there is a repeatability problem it is counted agaist repeatability and not between.  This is because you must fix the repeatability issue before fixing any between variability.</t>
  </si>
  <si>
    <t>Gold Standard</t>
  </si>
  <si>
    <t>Test</t>
  </si>
  <si>
    <t>Hypothesis Decision Tree</t>
  </si>
  <si>
    <t>SPC</t>
  </si>
  <si>
    <t>Product/Part #</t>
  </si>
  <si>
    <t>Name</t>
  </si>
  <si>
    <t>Characteristic (The Y)</t>
  </si>
  <si>
    <t>Process</t>
  </si>
  <si>
    <t>Gage</t>
  </si>
  <si>
    <t>Report Date</t>
  </si>
  <si>
    <t>Sample</t>
  </si>
  <si>
    <t>#Defective
d</t>
  </si>
  <si>
    <t>LCLp</t>
  </si>
  <si>
    <t>p bar</t>
  </si>
  <si>
    <t>UCLp</t>
  </si>
  <si>
    <r>
      <t>Sample Size</t>
    </r>
    <r>
      <rPr>
        <b/>
        <sz val="10"/>
        <rFont val="Arial"/>
        <family val="2"/>
      </rPr>
      <t xml:space="preserve">
n</t>
    </r>
  </si>
  <si>
    <r>
      <t>p</t>
    </r>
    <r>
      <rPr>
        <b/>
        <vertAlign val="subscript"/>
        <sz val="10"/>
        <rFont val="Arial"/>
        <family val="2"/>
      </rPr>
      <t>1</t>
    </r>
  </si>
  <si>
    <t>Unit 1</t>
  </si>
  <si>
    <t>Unit 2</t>
  </si>
  <si>
    <t>Unit 3</t>
  </si>
  <si>
    <t>Unit 4</t>
  </si>
  <si>
    <t>Unit 5</t>
  </si>
  <si>
    <t>LCLx</t>
  </si>
  <si>
    <t>UCLx</t>
  </si>
  <si>
    <t>UCLr</t>
  </si>
  <si>
    <t>r bar</t>
  </si>
  <si>
    <t>Averages</t>
  </si>
  <si>
    <t>Moving
Range</t>
  </si>
  <si>
    <t>Subgroup Size, n = 1</t>
  </si>
  <si>
    <t>Subgroup Size, n = 2</t>
  </si>
  <si>
    <t>Subgroup Size, n = 3</t>
  </si>
  <si>
    <t>Cp</t>
  </si>
  <si>
    <t>Nom</t>
  </si>
  <si>
    <t>k=</t>
  </si>
  <si>
    <t>Method</t>
  </si>
  <si>
    <t>1 tailed</t>
  </si>
  <si>
    <t>2 tailed</t>
  </si>
  <si>
    <t>Subgroup Size: n = 5</t>
  </si>
  <si>
    <t>b12</t>
  </si>
  <si>
    <t>c12</t>
  </si>
  <si>
    <t>d12</t>
  </si>
  <si>
    <t>e12</t>
  </si>
  <si>
    <t>f12</t>
  </si>
  <si>
    <t>b13</t>
  </si>
  <si>
    <t>c13</t>
  </si>
  <si>
    <t>d13</t>
  </si>
  <si>
    <t>e13</t>
  </si>
  <si>
    <t>f13</t>
  </si>
  <si>
    <t>b14</t>
  </si>
  <si>
    <t>c14</t>
  </si>
  <si>
    <t>d14</t>
  </si>
  <si>
    <t>e14</t>
  </si>
  <si>
    <t>f14</t>
  </si>
  <si>
    <t>b15</t>
  </si>
  <si>
    <t>c15</t>
  </si>
  <si>
    <t>d15</t>
  </si>
  <si>
    <t>e15</t>
  </si>
  <si>
    <t>f15</t>
  </si>
  <si>
    <t>b16</t>
  </si>
  <si>
    <t>c16</t>
  </si>
  <si>
    <t>d16</t>
  </si>
  <si>
    <t>e16</t>
  </si>
  <si>
    <t>f16</t>
  </si>
  <si>
    <t>b17</t>
  </si>
  <si>
    <t>c17</t>
  </si>
  <si>
    <t>d17</t>
  </si>
  <si>
    <t>e17</t>
  </si>
  <si>
    <t>f17</t>
  </si>
  <si>
    <t>b18</t>
  </si>
  <si>
    <t>c18</t>
  </si>
  <si>
    <t>d18</t>
  </si>
  <si>
    <t>e18</t>
  </si>
  <si>
    <t>f18</t>
  </si>
  <si>
    <t>b19</t>
  </si>
  <si>
    <t>c19</t>
  </si>
  <si>
    <t>d19</t>
  </si>
  <si>
    <t>e19</t>
  </si>
  <si>
    <t>f19</t>
  </si>
  <si>
    <t>b20</t>
  </si>
  <si>
    <t>c20</t>
  </si>
  <si>
    <t>d20</t>
  </si>
  <si>
    <t>e20</t>
  </si>
  <si>
    <t>f20</t>
  </si>
  <si>
    <t>b21</t>
  </si>
  <si>
    <t>c21</t>
  </si>
  <si>
    <t>d21</t>
  </si>
  <si>
    <t>e21</t>
  </si>
  <si>
    <t>f21</t>
  </si>
  <si>
    <t>b22</t>
  </si>
  <si>
    <t>c22</t>
  </si>
  <si>
    <t>d22</t>
  </si>
  <si>
    <t>e22</t>
  </si>
  <si>
    <t>f22</t>
  </si>
  <si>
    <t>b23</t>
  </si>
  <si>
    <t>c23</t>
  </si>
  <si>
    <t>d23</t>
  </si>
  <si>
    <t>e23</t>
  </si>
  <si>
    <t>f23</t>
  </si>
  <si>
    <t>b24</t>
  </si>
  <si>
    <t>c24</t>
  </si>
  <si>
    <t>d24</t>
  </si>
  <si>
    <t>e24</t>
  </si>
  <si>
    <t>f24</t>
  </si>
  <si>
    <t>b25</t>
  </si>
  <si>
    <t>c25</t>
  </si>
  <si>
    <t>d25</t>
  </si>
  <si>
    <t>e25</t>
  </si>
  <si>
    <t>f25</t>
  </si>
  <si>
    <t>b26</t>
  </si>
  <si>
    <t>c26</t>
  </si>
  <si>
    <t>d26</t>
  </si>
  <si>
    <t>e26</t>
  </si>
  <si>
    <t>f26</t>
  </si>
  <si>
    <t>b27</t>
  </si>
  <si>
    <t>c27</t>
  </si>
  <si>
    <t>d27</t>
  </si>
  <si>
    <t>e27</t>
  </si>
  <si>
    <t>f27</t>
  </si>
  <si>
    <t>b28</t>
  </si>
  <si>
    <t>c28</t>
  </si>
  <si>
    <t>d28</t>
  </si>
  <si>
    <t>e28</t>
  </si>
  <si>
    <t>f28</t>
  </si>
  <si>
    <t>b29</t>
  </si>
  <si>
    <t>c29</t>
  </si>
  <si>
    <t>d29</t>
  </si>
  <si>
    <t>e29</t>
  </si>
  <si>
    <t>f29</t>
  </si>
  <si>
    <t>b30</t>
  </si>
  <si>
    <t>c30</t>
  </si>
  <si>
    <t>d30</t>
  </si>
  <si>
    <t>e30</t>
  </si>
  <si>
    <t>f30</t>
  </si>
  <si>
    <t>b31</t>
  </si>
  <si>
    <t>c31</t>
  </si>
  <si>
    <t>d31</t>
  </si>
  <si>
    <t>e31</t>
  </si>
  <si>
    <t>f31</t>
  </si>
  <si>
    <t>b32</t>
  </si>
  <si>
    <t>c32</t>
  </si>
  <si>
    <t>d32</t>
  </si>
  <si>
    <t>e32</t>
  </si>
  <si>
    <t>f32</t>
  </si>
  <si>
    <t>b33</t>
  </si>
  <si>
    <t>c33</t>
  </si>
  <si>
    <t>d33</t>
  </si>
  <si>
    <t>e33</t>
  </si>
  <si>
    <t>f33</t>
  </si>
  <si>
    <t>b34</t>
  </si>
  <si>
    <t>c34</t>
  </si>
  <si>
    <t>d34</t>
  </si>
  <si>
    <t>e34</t>
  </si>
  <si>
    <t>f34</t>
  </si>
  <si>
    <t>b35</t>
  </si>
  <si>
    <t>c35</t>
  </si>
  <si>
    <t>d35</t>
  </si>
  <si>
    <t>e35</t>
  </si>
  <si>
    <t>f35</t>
  </si>
  <si>
    <t>b36</t>
  </si>
  <si>
    <t>c36</t>
  </si>
  <si>
    <t>d36</t>
  </si>
  <si>
    <t>e36</t>
  </si>
  <si>
    <t>f36</t>
  </si>
  <si>
    <t>b37</t>
  </si>
  <si>
    <t>c37</t>
  </si>
  <si>
    <t>d37</t>
  </si>
  <si>
    <t>e37</t>
  </si>
  <si>
    <t>f37</t>
  </si>
  <si>
    <t>b38</t>
  </si>
  <si>
    <t>c38</t>
  </si>
  <si>
    <t>d38</t>
  </si>
  <si>
    <t>e38</t>
  </si>
  <si>
    <t>f38</t>
  </si>
  <si>
    <t>b39</t>
  </si>
  <si>
    <t>c39</t>
  </si>
  <si>
    <t>d39</t>
  </si>
  <si>
    <t>e39</t>
  </si>
  <si>
    <t>f39</t>
  </si>
  <si>
    <t>b40</t>
  </si>
  <si>
    <t>c40</t>
  </si>
  <si>
    <t>d40</t>
  </si>
  <si>
    <t>e40</t>
  </si>
  <si>
    <t>f40</t>
  </si>
  <si>
    <r>
      <t>X</t>
    </r>
    <r>
      <rPr>
        <b/>
        <vertAlign val="subscript"/>
        <sz val="10"/>
        <rFont val="Arial"/>
        <family val="2"/>
      </rPr>
      <t>1</t>
    </r>
  </si>
  <si>
    <r>
      <t>s</t>
    </r>
    <r>
      <rPr>
        <b/>
        <vertAlign val="subscript"/>
        <sz val="10"/>
        <rFont val="Arial"/>
        <family val="2"/>
      </rPr>
      <t>wi</t>
    </r>
  </si>
  <si>
    <r>
      <t>s</t>
    </r>
    <r>
      <rPr>
        <vertAlign val="subscript"/>
        <sz val="10"/>
        <rFont val="Arial"/>
        <family val="2"/>
      </rPr>
      <t>ST</t>
    </r>
  </si>
  <si>
    <r>
      <t>(Rbar/d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</si>
  <si>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r>
      <t>(s</t>
    </r>
    <r>
      <rPr>
        <b/>
        <vertAlign val="subscript"/>
        <sz val="10"/>
        <rFont val="Arial"/>
        <family val="2"/>
      </rPr>
      <t>wi</t>
    </r>
    <r>
      <rPr>
        <b/>
        <sz val="10"/>
        <rFont val="Arial"/>
        <family val="2"/>
      </rPr>
      <t>/c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 xml:space="preserve"> )</t>
    </r>
  </si>
  <si>
    <r>
      <t>s</t>
    </r>
    <r>
      <rPr>
        <vertAlign val="subscript"/>
        <sz val="10"/>
        <rFont val="Arial"/>
        <family val="2"/>
      </rPr>
      <t>LT</t>
    </r>
  </si>
  <si>
    <r>
      <t>Cp</t>
    </r>
    <r>
      <rPr>
        <b/>
        <vertAlign val="subscript"/>
        <sz val="10"/>
        <rFont val="Arial"/>
        <family val="2"/>
      </rPr>
      <t>k</t>
    </r>
  </si>
  <si>
    <r>
      <t>Pp</t>
    </r>
    <r>
      <rPr>
        <b/>
        <vertAlign val="subscript"/>
        <sz val="10"/>
        <rFont val="Arial"/>
        <family val="2"/>
      </rPr>
      <t>k</t>
    </r>
  </si>
  <si>
    <t>Calculators</t>
  </si>
  <si>
    <t>Sample Size</t>
  </si>
  <si>
    <r>
      <t>D (</t>
    </r>
    <r>
      <rPr>
        <sz val="10"/>
        <rFont val="Arial"/>
        <family val="2"/>
      </rPr>
      <t>Delta)</t>
    </r>
  </si>
  <si>
    <t>σ (Stdev)</t>
  </si>
  <si>
    <t>Sample Size Calculator for Continuous Data</t>
  </si>
  <si>
    <t>Zscore</t>
  </si>
  <si>
    <t>Please use .05 or .01</t>
  </si>
  <si>
    <t>Must be in .05 format for 5%</t>
  </si>
  <si>
    <t>SPC Decision Tree</t>
  </si>
  <si>
    <t>(.05 or .01)</t>
  </si>
  <si>
    <t>Confidence Intervals</t>
  </si>
  <si>
    <t xml:space="preserve"> Baseline σ</t>
  </si>
  <si>
    <t>% reduction</t>
  </si>
  <si>
    <t>Reduction</t>
  </si>
  <si>
    <t>Baseline σ</t>
  </si>
  <si>
    <t>Target σ</t>
  </si>
  <si>
    <r>
      <t>a</t>
    </r>
    <r>
      <rPr>
        <sz val="10"/>
        <rFont val="Arial"/>
        <family val="2"/>
      </rPr>
      <t>/2</t>
    </r>
  </si>
  <si>
    <r>
      <t xml:space="preserve">1 - 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/2</t>
    </r>
  </si>
  <si>
    <t>One Sample Standard Deviation Sample Size Calculator</t>
  </si>
  <si>
    <t>D4</t>
  </si>
  <si>
    <t>d*2</t>
  </si>
  <si>
    <t>Reference Method</t>
  </si>
  <si>
    <t>95% Confidence Limits</t>
  </si>
  <si>
    <t>Low CL</t>
  </si>
  <si>
    <t>High CL</t>
  </si>
  <si>
    <t>%</t>
  </si>
  <si>
    <t>Kappa</t>
  </si>
  <si>
    <t xml:space="preserve">Positive </t>
  </si>
  <si>
    <t>Negative</t>
  </si>
  <si>
    <t>Statistic</t>
  </si>
  <si>
    <t>Likelihood ratios</t>
  </si>
  <si>
    <t>False-positive rate</t>
  </si>
  <si>
    <t xml:space="preserve">Positive predictive </t>
  </si>
  <si>
    <t>False-negative rate</t>
  </si>
  <si>
    <t>value</t>
  </si>
  <si>
    <t>Negative predictive</t>
  </si>
  <si>
    <t>Diagnostic accuracy</t>
  </si>
  <si>
    <t>Sample Size Calculator for Categorical Data</t>
  </si>
  <si>
    <t>Enter data in lightly shaded cells</t>
  </si>
  <si>
    <t>Desired alpha:</t>
  </si>
  <si>
    <t>One or Two-Tailed Test?</t>
  </si>
  <si>
    <t>Two-Tailed</t>
  </si>
  <si>
    <t>Difference to detect</t>
  </si>
  <si>
    <t>1st Measurement</t>
  </si>
  <si>
    <t>2nd Measurement</t>
  </si>
  <si>
    <t>Pa1</t>
  </si>
  <si>
    <t>Pa2</t>
  </si>
  <si>
    <r>
      <t>σ</t>
    </r>
    <r>
      <rPr>
        <vertAlign val="subscript"/>
        <sz val="10"/>
        <rFont val="Arial"/>
        <family val="2"/>
      </rPr>
      <t>Δe</t>
    </r>
  </si>
  <si>
    <t>delta</t>
  </si>
  <si>
    <t>ucl</t>
  </si>
  <si>
    <t>lcl</t>
  </si>
  <si>
    <t>detect</t>
  </si>
  <si>
    <t>α</t>
  </si>
  <si>
    <r>
      <t>z</t>
    </r>
    <r>
      <rPr>
        <b/>
        <vertAlign val="subscript"/>
        <sz val="10"/>
        <rFont val="Courier New"/>
        <family val="3"/>
      </rPr>
      <t>α</t>
    </r>
    <r>
      <rPr>
        <b/>
        <vertAlign val="subscript"/>
        <sz val="10"/>
        <rFont val="Arial"/>
        <family val="2"/>
      </rPr>
      <t>/2</t>
    </r>
  </si>
  <si>
    <t>Cat 2</t>
  </si>
  <si>
    <t>Cat 3</t>
  </si>
  <si>
    <t>Sample 3</t>
  </si>
  <si>
    <t>Sample 4</t>
  </si>
  <si>
    <t>Upperbound of number sequence is 8</t>
  </si>
  <si>
    <r>
      <t xml:space="preserve">The </t>
    </r>
    <r>
      <rPr>
        <b/>
        <sz val="10"/>
        <rFont val="Times New Roman"/>
        <family val="1"/>
      </rPr>
      <t>Lo</t>
    </r>
    <r>
      <rPr>
        <sz val="10"/>
        <rFont val="Times New Roman"/>
        <family val="1"/>
      </rPr>
      <t>wer</t>
    </r>
    <r>
      <rPr>
        <sz val="10"/>
        <rFont val="Arial"/>
        <family val="2"/>
      </rPr>
      <t xml:space="preserve"> Level Being Tested (-):</t>
    </r>
  </si>
  <si>
    <r>
      <t xml:space="preserve">The </t>
    </r>
    <r>
      <rPr>
        <b/>
        <sz val="10"/>
        <rFont val="Times New Roman"/>
        <family val="1"/>
      </rPr>
      <t>Hi</t>
    </r>
    <r>
      <rPr>
        <sz val="10"/>
        <rFont val="Times New Roman"/>
        <family val="1"/>
      </rPr>
      <t>gher</t>
    </r>
    <r>
      <rPr>
        <sz val="10"/>
        <rFont val="Arial"/>
        <family val="2"/>
      </rPr>
      <t xml:space="preserve"> Level Being Tested (+):</t>
    </r>
  </si>
  <si>
    <r>
      <t xml:space="preserve">Confidence = .95 / 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 xml:space="preserve"> risk = .05</t>
    </r>
  </si>
  <si>
    <r>
      <t>Confidence (1-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):</t>
    </r>
  </si>
  <si>
    <t>Total For (): 1</t>
  </si>
  <si>
    <t>Total For (Level): 1</t>
  </si>
  <si>
    <t>End Count = 2</t>
  </si>
  <si>
    <t>Sample Label</t>
  </si>
  <si>
    <t>Enter P for Positive or N for negative</t>
  </si>
  <si>
    <t>Passes Kappa Test</t>
  </si>
  <si>
    <t>Please save Spreadsheet Tools locally to Desktop</t>
  </si>
  <si>
    <t>End Count = 0</t>
  </si>
</sst>
</file>

<file path=xl/styles.xml><?xml version="1.0" encoding="utf-8"?>
<styleSheet xmlns="http://schemas.openxmlformats.org/spreadsheetml/2006/main">
  <numFmts count="15">
    <numFmt numFmtId="43" formatCode="_(* #,##0.00_);_(* \(#,##0.00\);_(* &quot;-&quot;??_);_(@_)"/>
    <numFmt numFmtId="164" formatCode="0.00000"/>
    <numFmt numFmtId="165" formatCode="0.0000"/>
    <numFmt numFmtId="166" formatCode="0.000"/>
    <numFmt numFmtId="167" formatCode="0.0"/>
    <numFmt numFmtId="168" formatCode="0.0%"/>
    <numFmt numFmtId="169" formatCode="0.0000000"/>
    <numFmt numFmtId="170" formatCode="0.000000"/>
    <numFmt numFmtId="171" formatCode="mmmm\ d\,\ yyyy"/>
    <numFmt numFmtId="172" formatCode="0.00000000"/>
    <numFmt numFmtId="173" formatCode="_(* #,##0.0_);_(* \(#,##0.0\);_(* &quot;-&quot;??_);_(@_)"/>
    <numFmt numFmtId="174" formatCode="_(* #,##0_);_(* \(#,##0\);_(* &quot;-&quot;??_);_(@_)"/>
    <numFmt numFmtId="175" formatCode="#,##0.0"/>
    <numFmt numFmtId="176" formatCode="#,##0.000"/>
    <numFmt numFmtId="177" formatCode="#,##0.0000"/>
  </numFmts>
  <fonts count="135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z val="10"/>
      <name val="Times New Roman"/>
      <family val="1"/>
    </font>
    <font>
      <b/>
      <i/>
      <sz val="8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vertAlign val="subscript"/>
      <sz val="10"/>
      <name val="Times New Roman"/>
      <family val="1"/>
    </font>
    <font>
      <b/>
      <vertAlign val="subscript"/>
      <sz val="10"/>
      <name val="Arial"/>
      <family val="2"/>
    </font>
    <font>
      <b/>
      <sz val="10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Symbol"/>
      <family val="1"/>
      <charset val="2"/>
    </font>
    <font>
      <b/>
      <sz val="8"/>
      <name val="Times New Roman"/>
      <family val="1"/>
    </font>
    <font>
      <vertAlign val="subscript"/>
      <sz val="8"/>
      <name val="Times New Roman"/>
      <family val="1"/>
    </font>
    <font>
      <sz val="8"/>
      <color indexed="9"/>
      <name val="Times New Roman"/>
      <family val="1"/>
    </font>
    <font>
      <sz val="10"/>
      <color indexed="9"/>
      <name val="Times New Roman"/>
      <family val="1"/>
    </font>
    <font>
      <b/>
      <sz val="10"/>
      <color indexed="9"/>
      <name val="Times New Roman"/>
      <family val="1"/>
    </font>
    <font>
      <b/>
      <sz val="10"/>
      <name val="Times New Roman"/>
      <family val="1"/>
    </font>
    <font>
      <i/>
      <sz val="8"/>
      <name val="Times New Roman"/>
      <family val="1"/>
    </font>
    <font>
      <sz val="10"/>
      <color indexed="9"/>
      <name val="Arial"/>
      <family val="2"/>
    </font>
    <font>
      <vertAlign val="subscript"/>
      <sz val="8"/>
      <color indexed="9"/>
      <name val="Times New Roman"/>
      <family val="1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vertAlign val="subscript"/>
      <sz val="12"/>
      <name val="Times New Roman"/>
      <family val="1"/>
    </font>
    <font>
      <sz val="12"/>
      <name val="Arial"/>
      <family val="2"/>
    </font>
    <font>
      <sz val="12"/>
      <name val="Symbol"/>
      <family val="1"/>
      <charset val="2"/>
    </font>
    <font>
      <vertAlign val="subscript"/>
      <sz val="12"/>
      <name val="Arial"/>
      <family val="2"/>
    </font>
    <font>
      <sz val="12"/>
      <name val="Times New Roman"/>
      <family val="1"/>
    </font>
    <font>
      <b/>
      <vertAlign val="subscript"/>
      <sz val="12"/>
      <name val="Arial"/>
      <family val="2"/>
    </font>
    <font>
      <b/>
      <vertAlign val="subscript"/>
      <sz val="12"/>
      <name val="Times New Roman"/>
      <family val="1"/>
    </font>
    <font>
      <b/>
      <sz val="12"/>
      <name val="Times New Roman"/>
      <family val="1"/>
    </font>
    <font>
      <sz val="8"/>
      <color indexed="9"/>
      <name val="Arial"/>
      <family val="2"/>
    </font>
    <font>
      <vertAlign val="subscript"/>
      <sz val="10"/>
      <color indexed="9"/>
      <name val="Arial"/>
      <family val="2"/>
    </font>
    <font>
      <vertAlign val="subscript"/>
      <sz val="12"/>
      <color indexed="9"/>
      <name val="Arial"/>
      <family val="2"/>
    </font>
    <font>
      <sz val="12"/>
      <color indexed="9"/>
      <name val="Arial"/>
      <family val="2"/>
    </font>
    <font>
      <sz val="12"/>
      <color indexed="9"/>
      <name val="Symbol"/>
      <family val="1"/>
      <charset val="2"/>
    </font>
    <font>
      <b/>
      <vertAlign val="subscript"/>
      <sz val="12"/>
      <color indexed="9"/>
      <name val="Arial"/>
      <family val="2"/>
    </font>
    <font>
      <b/>
      <sz val="12"/>
      <color indexed="9"/>
      <name val="Arial"/>
      <family val="2"/>
    </font>
    <font>
      <b/>
      <sz val="10"/>
      <color indexed="9"/>
      <name val="Arial"/>
      <family val="2"/>
    </font>
    <font>
      <sz val="10"/>
      <color indexed="9"/>
      <name val="Symbol"/>
      <family val="1"/>
      <charset val="2"/>
    </font>
    <font>
      <sz val="11"/>
      <color indexed="9"/>
      <name val="Arial"/>
      <family val="2"/>
    </font>
    <font>
      <sz val="8"/>
      <name val="Arial"/>
      <family val="2"/>
    </font>
    <font>
      <sz val="10"/>
      <color indexed="9"/>
      <name val="Times New Roman"/>
      <family val="1"/>
    </font>
    <font>
      <sz val="12"/>
      <color indexed="9"/>
      <name val="Times New Roman"/>
      <family val="1"/>
    </font>
    <font>
      <sz val="6"/>
      <name val="Times New Roman"/>
      <family val="1"/>
    </font>
    <font>
      <b/>
      <i/>
      <sz val="8"/>
      <name val="Times New Roman"/>
      <family val="1"/>
    </font>
    <font>
      <b/>
      <sz val="20"/>
      <name val="Arial"/>
      <family val="2"/>
    </font>
    <font>
      <b/>
      <sz val="10"/>
      <name val="Symbol"/>
      <family val="1"/>
      <charset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Symbol"/>
      <family val="1"/>
      <charset val="2"/>
    </font>
    <font>
      <b/>
      <sz val="10"/>
      <color indexed="10"/>
      <name val="Times New Roman"/>
      <family val="1"/>
    </font>
    <font>
      <b/>
      <sz val="14"/>
      <name val="Times New Roman"/>
      <family val="1"/>
    </font>
    <font>
      <b/>
      <vertAlign val="subscript"/>
      <sz val="10"/>
      <name val="Times New Roman"/>
      <family val="1"/>
    </font>
    <font>
      <sz val="7"/>
      <name val="Arial"/>
      <family val="2"/>
    </font>
    <font>
      <b/>
      <sz val="9"/>
      <color indexed="18"/>
      <name val="Arial"/>
      <family val="2"/>
    </font>
    <font>
      <b/>
      <sz val="10"/>
      <color indexed="9"/>
      <name val="Arial"/>
      <family val="2"/>
    </font>
    <font>
      <b/>
      <i/>
      <sz val="10"/>
      <name val="Arial"/>
      <family val="2"/>
    </font>
    <font>
      <vertAlign val="subscript"/>
      <sz val="10"/>
      <name val="Symbol"/>
      <family val="1"/>
      <charset val="2"/>
    </font>
    <font>
      <b/>
      <sz val="12"/>
      <name val="Symbol"/>
      <family val="1"/>
      <charset val="2"/>
    </font>
    <font>
      <sz val="8"/>
      <name val="Tahoma"/>
      <family val="2"/>
    </font>
    <font>
      <b/>
      <sz val="9"/>
      <name val="Times New Roman"/>
      <family val="1"/>
    </font>
    <font>
      <sz val="9"/>
      <name val="Times New Roman"/>
      <family val="1"/>
    </font>
    <font>
      <u/>
      <sz val="10"/>
      <name val="Times New Roman"/>
      <family val="1"/>
    </font>
    <font>
      <b/>
      <i/>
      <sz val="9"/>
      <name val="Times New Roman"/>
      <family val="1"/>
    </font>
    <font>
      <b/>
      <i/>
      <u/>
      <sz val="9"/>
      <name val="Symbol"/>
      <family val="1"/>
      <charset val="2"/>
    </font>
    <font>
      <b/>
      <sz val="9"/>
      <name val="Symbol"/>
      <family val="1"/>
      <charset val="2"/>
    </font>
    <font>
      <sz val="9"/>
      <name val="Times New Roman"/>
      <family val="1"/>
    </font>
    <font>
      <sz val="9"/>
      <name val="Symbol"/>
      <family val="1"/>
      <charset val="2"/>
    </font>
    <font>
      <i/>
      <sz val="9"/>
      <name val="Times New Roman"/>
      <family val="1"/>
    </font>
    <font>
      <sz val="9"/>
      <name val="Arial"/>
      <family val="2"/>
    </font>
    <font>
      <b/>
      <sz val="9"/>
      <name val="Times New Roman"/>
      <family val="1"/>
    </font>
    <font>
      <b/>
      <sz val="9"/>
      <name val="Arial"/>
      <family val="2"/>
    </font>
    <font>
      <i/>
      <sz val="9"/>
      <name val="Times New Roman"/>
      <family val="1"/>
    </font>
    <font>
      <b/>
      <i/>
      <sz val="9"/>
      <name val="Times New Roman"/>
      <family val="1"/>
    </font>
    <font>
      <sz val="6"/>
      <name val="Arial"/>
      <family val="2"/>
    </font>
    <font>
      <b/>
      <sz val="6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i/>
      <sz val="10"/>
      <name val="Times New Roman"/>
      <family val="1"/>
    </font>
    <font>
      <vertAlign val="superscript"/>
      <sz val="10"/>
      <name val="Times New Roman"/>
      <family val="1"/>
    </font>
    <font>
      <b/>
      <sz val="8"/>
      <name val="Times New Roman"/>
      <family val="1"/>
    </font>
    <font>
      <b/>
      <i/>
      <vertAlign val="subscript"/>
      <sz val="10"/>
      <name val="Times New Roman"/>
      <family val="1"/>
    </font>
    <font>
      <b/>
      <u/>
      <sz val="10"/>
      <name val="Times New Roman"/>
      <family val="1"/>
    </font>
    <font>
      <b/>
      <i/>
      <sz val="10"/>
      <name val="Times New Roman"/>
      <family val="1"/>
    </font>
    <font>
      <vertAlign val="superscript"/>
      <sz val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Times New Roman"/>
      <family val="1"/>
    </font>
    <font>
      <sz val="10"/>
      <color indexed="8"/>
      <name val="Times New Roman"/>
      <family val="1"/>
    </font>
    <font>
      <i/>
      <sz val="10"/>
      <name val="Arial"/>
      <family val="2"/>
    </font>
    <font>
      <sz val="8"/>
      <name val="Times New Roman"/>
      <family val="1"/>
    </font>
    <font>
      <b/>
      <u/>
      <sz val="10"/>
      <name val="Times New Roman"/>
      <family val="1"/>
    </font>
    <font>
      <vertAlign val="subscript"/>
      <sz val="10"/>
      <color indexed="8"/>
      <name val="Times New Roman"/>
      <family val="1"/>
    </font>
    <font>
      <vertAlign val="subscript"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9"/>
      <name val="Symbol"/>
      <family val="1"/>
      <charset val="2"/>
    </font>
    <font>
      <sz val="10"/>
      <color indexed="10"/>
      <name val="Times New Roman"/>
      <family val="1"/>
    </font>
    <font>
      <b/>
      <sz val="10"/>
      <name val="Symbol"/>
      <family val="1"/>
      <charset val="2"/>
    </font>
    <font>
      <b/>
      <sz val="8"/>
      <name val="Symbol"/>
      <family val="1"/>
      <charset val="2"/>
    </font>
    <font>
      <vertAlign val="subscript"/>
      <sz val="10"/>
      <color indexed="9"/>
      <name val="Times New Roman"/>
      <family val="1"/>
    </font>
    <font>
      <b/>
      <sz val="8"/>
      <name val="Symbol"/>
      <family val="1"/>
      <charset val="2"/>
    </font>
    <font>
      <b/>
      <sz val="8"/>
      <name val="Arial"/>
      <family val="2"/>
    </font>
    <font>
      <b/>
      <sz val="8"/>
      <color indexed="9"/>
      <name val="Times New Roman"/>
      <family val="1"/>
    </font>
    <font>
      <b/>
      <sz val="9"/>
      <color indexed="9"/>
      <name val="Times New Roman"/>
      <family val="1"/>
    </font>
    <font>
      <b/>
      <sz val="9"/>
      <color indexed="9"/>
      <name val="Arial"/>
      <family val="2"/>
    </font>
    <font>
      <b/>
      <vertAlign val="subscript"/>
      <sz val="10"/>
      <color indexed="9"/>
      <name val="Times New Roman"/>
      <family val="1"/>
    </font>
    <font>
      <sz val="9"/>
      <color indexed="9"/>
      <name val="Times New Roman"/>
      <family val="1"/>
    </font>
    <font>
      <b/>
      <sz val="8"/>
      <color indexed="9"/>
      <name val="Arial"/>
      <family val="2"/>
    </font>
    <font>
      <b/>
      <vertAlign val="subscript"/>
      <sz val="10"/>
      <color indexed="9"/>
      <name val="Arial"/>
      <family val="2"/>
    </font>
    <font>
      <b/>
      <sz val="10"/>
      <color indexed="8"/>
      <name val="Symbol"/>
      <family val="1"/>
      <charset val="2"/>
    </font>
    <font>
      <b/>
      <vertAlign val="subscript"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Times New Roman"/>
      <family val="1"/>
    </font>
    <font>
      <sz val="10"/>
      <color indexed="62"/>
      <name val="Times New Roman"/>
      <family val="1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9"/>
      <color indexed="23"/>
      <name val="Arial"/>
      <family val="2"/>
    </font>
    <font>
      <b/>
      <sz val="10"/>
      <color indexed="17"/>
      <name val="Arial"/>
      <family val="2"/>
    </font>
    <font>
      <sz val="20"/>
      <name val="Arial"/>
      <family val="2"/>
    </font>
    <font>
      <b/>
      <sz val="6"/>
      <name val="Arial"/>
      <family val="2"/>
    </font>
    <font>
      <sz val="14"/>
      <name val="Symbol"/>
      <family val="1"/>
      <charset val="2"/>
    </font>
    <font>
      <b/>
      <i/>
      <sz val="8"/>
      <name val="Arial"/>
      <family val="2"/>
    </font>
    <font>
      <b/>
      <sz val="10"/>
      <name val="Courier New"/>
      <family val="3"/>
    </font>
    <font>
      <b/>
      <vertAlign val="subscript"/>
      <sz val="10"/>
      <name val="Courier New"/>
      <family val="3"/>
    </font>
  </fonts>
  <fills count="1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</fills>
  <borders count="99">
    <border>
      <left/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8">
    <xf numFmtId="0" fontId="0" fillId="0" borderId="0"/>
    <xf numFmtId="43" fontId="3" fillId="0" borderId="0" applyFont="0" applyFill="0" applyBorder="0" applyAlignment="0" applyProtection="0"/>
    <xf numFmtId="0" fontId="3" fillId="0" borderId="0" applyFont="0" applyFill="0" applyBorder="0" applyProtection="0">
      <alignment horizontal="right"/>
    </xf>
    <xf numFmtId="0" fontId="26" fillId="0" borderId="0" applyNumberFormat="0" applyFill="0" applyBorder="0" applyAlignment="0" applyProtection="0">
      <alignment vertical="top"/>
      <protection locked="0"/>
    </xf>
    <xf numFmtId="0" fontId="63" fillId="0" borderId="0" applyFill="0" applyBorder="0" applyProtection="0">
      <alignment horizontal="left"/>
    </xf>
    <xf numFmtId="0" fontId="64" fillId="0" borderId="1" applyProtection="0">
      <alignment horizontal="right"/>
    </xf>
    <xf numFmtId="1" fontId="3" fillId="0" borderId="0" applyFont="0" applyFill="0" applyBorder="0" applyProtection="0">
      <alignment horizontal="right"/>
    </xf>
    <xf numFmtId="0" fontId="6" fillId="0" borderId="0"/>
    <xf numFmtId="0" fontId="3" fillId="0" borderId="0"/>
    <xf numFmtId="0" fontId="6" fillId="0" borderId="0"/>
    <xf numFmtId="0" fontId="6" fillId="0" borderId="0"/>
    <xf numFmtId="0" fontId="3" fillId="0" borderId="0"/>
    <xf numFmtId="0" fontId="6" fillId="0" borderId="0"/>
    <xf numFmtId="0" fontId="6" fillId="0" borderId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0" fontId="6" fillId="0" borderId="0"/>
  </cellStyleXfs>
  <cellXfs count="1680">
    <xf numFmtId="0" fontId="0" fillId="0" borderId="0" xfId="0"/>
    <xf numFmtId="0" fontId="3" fillId="0" borderId="0" xfId="11"/>
    <xf numFmtId="0" fontId="6" fillId="0" borderId="0" xfId="12"/>
    <xf numFmtId="0" fontId="4" fillId="0" borderId="2" xfId="12" applyFont="1" applyBorder="1" applyAlignment="1">
      <alignment horizontal="center"/>
    </xf>
    <xf numFmtId="0" fontId="6" fillId="0" borderId="2" xfId="12" applyFont="1" applyBorder="1" applyAlignment="1">
      <alignment horizontal="right"/>
    </xf>
    <xf numFmtId="0" fontId="6" fillId="0" borderId="0" xfId="12" applyFont="1" applyBorder="1"/>
    <xf numFmtId="0" fontId="12" fillId="0" borderId="2" xfId="12" applyFont="1" applyBorder="1" applyAlignment="1">
      <alignment horizontal="right"/>
    </xf>
    <xf numFmtId="0" fontId="6" fillId="0" borderId="0" xfId="12" applyBorder="1"/>
    <xf numFmtId="0" fontId="4" fillId="0" borderId="2" xfId="12" applyFont="1" applyBorder="1" applyAlignment="1">
      <alignment horizontal="right"/>
    </xf>
    <xf numFmtId="0" fontId="7" fillId="0" borderId="0" xfId="11" applyFont="1"/>
    <xf numFmtId="0" fontId="3" fillId="0" borderId="0" xfId="11" applyFont="1"/>
    <xf numFmtId="0" fontId="6" fillId="0" borderId="0" xfId="12" applyFont="1"/>
    <xf numFmtId="0" fontId="6" fillId="0" borderId="2" xfId="12" applyFont="1" applyFill="1" applyBorder="1"/>
    <xf numFmtId="165" fontId="6" fillId="0" borderId="2" xfId="0" applyNumberFormat="1" applyFont="1" applyFill="1" applyBorder="1" applyAlignment="1">
      <alignment horizontal="right"/>
    </xf>
    <xf numFmtId="167" fontId="12" fillId="0" borderId="2" xfId="12" applyNumberFormat="1" applyFont="1" applyFill="1" applyBorder="1" applyAlignment="1">
      <alignment horizontal="right"/>
    </xf>
    <xf numFmtId="10" fontId="6" fillId="0" borderId="2" xfId="12" applyNumberFormat="1" applyFont="1" applyFill="1" applyBorder="1" applyAlignment="1">
      <alignment horizontal="right"/>
    </xf>
    <xf numFmtId="0" fontId="13" fillId="0" borderId="0" xfId="11" applyFont="1"/>
    <xf numFmtId="0" fontId="13" fillId="0" borderId="0" xfId="11" applyFont="1" applyProtection="1">
      <protection locked="0"/>
    </xf>
    <xf numFmtId="0" fontId="13" fillId="0" borderId="3" xfId="11" applyFont="1" applyBorder="1" applyAlignment="1">
      <alignment horizontal="centerContinuous"/>
    </xf>
    <xf numFmtId="0" fontId="13" fillId="0" borderId="4" xfId="11" applyFont="1" applyBorder="1" applyAlignment="1">
      <alignment horizontal="centerContinuous"/>
    </xf>
    <xf numFmtId="0" fontId="13" fillId="0" borderId="2" xfId="11" applyFont="1" applyBorder="1"/>
    <xf numFmtId="0" fontId="13" fillId="0" borderId="2" xfId="11" applyFont="1" applyBorder="1" applyAlignment="1">
      <alignment horizontal="center"/>
    </xf>
    <xf numFmtId="0" fontId="13" fillId="0" borderId="0" xfId="11" applyFont="1" applyAlignment="1">
      <alignment horizontal="right"/>
    </xf>
    <xf numFmtId="0" fontId="13" fillId="0" borderId="0" xfId="11" applyFont="1" applyAlignment="1">
      <alignment horizontal="center"/>
    </xf>
    <xf numFmtId="0" fontId="4" fillId="0" borderId="0" xfId="12" applyFont="1" applyBorder="1" applyAlignment="1">
      <alignment horizontal="center"/>
    </xf>
    <xf numFmtId="0" fontId="13" fillId="0" borderId="0" xfId="11" applyFont="1" applyFill="1" applyBorder="1" applyProtection="1"/>
    <xf numFmtId="0" fontId="14" fillId="0" borderId="0" xfId="11" applyFont="1" applyAlignment="1">
      <alignment horizontal="right"/>
    </xf>
    <xf numFmtId="0" fontId="13" fillId="0" borderId="0" xfId="11" applyFont="1" applyFill="1" applyBorder="1" applyAlignment="1" applyProtection="1">
      <alignment horizontal="right"/>
      <protection locked="0"/>
    </xf>
    <xf numFmtId="0" fontId="13" fillId="2" borderId="0" xfId="11" applyFont="1" applyFill="1"/>
    <xf numFmtId="0" fontId="0" fillId="2" borderId="0" xfId="0" applyFill="1"/>
    <xf numFmtId="0" fontId="3" fillId="2" borderId="0" xfId="11" applyFill="1"/>
    <xf numFmtId="0" fontId="3" fillId="0" borderId="0" xfId="11" applyNumberFormat="1" applyFont="1" applyAlignment="1">
      <alignment horizontal="center"/>
    </xf>
    <xf numFmtId="0" fontId="17" fillId="0" borderId="0" xfId="11" applyFont="1"/>
    <xf numFmtId="0" fontId="15" fillId="0" borderId="0" xfId="11" applyFont="1"/>
    <xf numFmtId="0" fontId="19" fillId="3" borderId="2" xfId="12" applyFont="1" applyFill="1" applyBorder="1" applyAlignment="1">
      <alignment horizontal="centerContinuous"/>
    </xf>
    <xf numFmtId="0" fontId="19" fillId="3" borderId="2" xfId="12" applyFont="1" applyFill="1" applyBorder="1" applyAlignment="1"/>
    <xf numFmtId="0" fontId="19" fillId="3" borderId="2" xfId="12" applyFont="1" applyFill="1" applyBorder="1" applyAlignment="1">
      <alignment horizontal="center"/>
    </xf>
    <xf numFmtId="0" fontId="19" fillId="3" borderId="5" xfId="12" applyFont="1" applyFill="1" applyBorder="1" applyAlignment="1">
      <alignment horizontal="center"/>
    </xf>
    <xf numFmtId="0" fontId="19" fillId="3" borderId="2" xfId="12" applyFont="1" applyFill="1" applyBorder="1" applyProtection="1">
      <protection locked="0"/>
    </xf>
    <xf numFmtId="0" fontId="19" fillId="3" borderId="2" xfId="12" applyFont="1" applyFill="1" applyBorder="1"/>
    <xf numFmtId="0" fontId="19" fillId="3" borderId="0" xfId="11" applyFont="1" applyFill="1"/>
    <xf numFmtId="0" fontId="19" fillId="3" borderId="0" xfId="11" applyFont="1" applyFill="1" applyAlignment="1">
      <alignment horizontal="right"/>
    </xf>
    <xf numFmtId="0" fontId="19" fillId="3" borderId="0" xfId="11" applyFont="1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0" xfId="0" applyFont="1" applyAlignment="1">
      <alignment horizontal="right"/>
    </xf>
    <xf numFmtId="166" fontId="14" fillId="0" borderId="2" xfId="0" applyNumberFormat="1" applyFont="1" applyBorder="1"/>
    <xf numFmtId="0" fontId="20" fillId="4" borderId="0" xfId="0" applyFont="1" applyFill="1" applyAlignment="1">
      <alignment horizontal="right"/>
    </xf>
    <xf numFmtId="0" fontId="20" fillId="4" borderId="2" xfId="0" applyFont="1" applyFill="1" applyBorder="1"/>
    <xf numFmtId="0" fontId="20" fillId="4" borderId="6" xfId="0" applyFont="1" applyFill="1" applyBorder="1" applyAlignment="1">
      <alignment horizontal="center"/>
    </xf>
    <xf numFmtId="0" fontId="21" fillId="4" borderId="7" xfId="0" applyFont="1" applyFill="1" applyBorder="1"/>
    <xf numFmtId="166" fontId="14" fillId="0" borderId="0" xfId="0" applyNumberFormat="1" applyFont="1"/>
    <xf numFmtId="166" fontId="14" fillId="0" borderId="0" xfId="0" applyNumberFormat="1" applyFont="1" applyAlignment="1">
      <alignment horizontal="left"/>
    </xf>
    <xf numFmtId="166" fontId="14" fillId="5" borderId="2" xfId="0" applyNumberFormat="1" applyFont="1" applyFill="1" applyBorder="1"/>
    <xf numFmtId="0" fontId="14" fillId="6" borderId="8" xfId="0" applyFont="1" applyFill="1" applyBorder="1"/>
    <xf numFmtId="0" fontId="14" fillId="6" borderId="9" xfId="0" applyFont="1" applyFill="1" applyBorder="1"/>
    <xf numFmtId="0" fontId="14" fillId="6" borderId="10" xfId="0" applyFont="1" applyFill="1" applyBorder="1"/>
    <xf numFmtId="0" fontId="14" fillId="6" borderId="11" xfId="0" applyFont="1" applyFill="1" applyBorder="1"/>
    <xf numFmtId="0" fontId="14" fillId="6" borderId="0" xfId="0" applyFont="1" applyFill="1" applyBorder="1"/>
    <xf numFmtId="0" fontId="14" fillId="6" borderId="12" xfId="0" applyFont="1" applyFill="1" applyBorder="1"/>
    <xf numFmtId="0" fontId="14" fillId="6" borderId="11" xfId="0" applyFont="1" applyFill="1" applyBorder="1" applyAlignment="1">
      <alignment horizontal="center" vertical="center" textRotation="90"/>
    </xf>
    <xf numFmtId="166" fontId="14" fillId="6" borderId="0" xfId="0" applyNumberFormat="1" applyFont="1" applyFill="1" applyBorder="1" applyAlignment="1">
      <alignment horizontal="left"/>
    </xf>
    <xf numFmtId="166" fontId="14" fillId="6" borderId="0" xfId="0" applyNumberFormat="1" applyFont="1" applyFill="1" applyBorder="1" applyAlignment="1">
      <alignment horizontal="right"/>
    </xf>
    <xf numFmtId="0" fontId="14" fillId="6" borderId="0" xfId="0" applyFont="1" applyFill="1" applyBorder="1" applyAlignment="1">
      <alignment horizontal="right"/>
    </xf>
    <xf numFmtId="0" fontId="14" fillId="6" borderId="0" xfId="0" applyFont="1" applyFill="1" applyBorder="1" applyAlignment="1">
      <alignment horizontal="center"/>
    </xf>
    <xf numFmtId="0" fontId="14" fillId="6" borderId="13" xfId="0" applyFont="1" applyFill="1" applyBorder="1"/>
    <xf numFmtId="0" fontId="14" fillId="6" borderId="14" xfId="0" applyFont="1" applyFill="1" applyBorder="1"/>
    <xf numFmtId="0" fontId="14" fillId="6" borderId="15" xfId="0" applyFont="1" applyFill="1" applyBorder="1"/>
    <xf numFmtId="0" fontId="14" fillId="6" borderId="0" xfId="0" applyFont="1" applyFill="1"/>
    <xf numFmtId="0" fontId="22" fillId="0" borderId="0" xfId="0" applyFont="1" applyAlignment="1">
      <alignment horizontal="right"/>
    </xf>
    <xf numFmtId="2" fontId="22" fillId="0" borderId="0" xfId="0" applyNumberFormat="1" applyFont="1" applyAlignment="1">
      <alignment horizontal="left"/>
    </xf>
    <xf numFmtId="0" fontId="14" fillId="2" borderId="5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166" fontId="14" fillId="2" borderId="7" xfId="0" applyNumberFormat="1" applyFont="1" applyFill="1" applyBorder="1" applyAlignment="1">
      <alignment horizontal="center"/>
    </xf>
    <xf numFmtId="166" fontId="14" fillId="2" borderId="2" xfId="0" applyNumberFormat="1" applyFont="1" applyFill="1" applyBorder="1" applyAlignment="1">
      <alignment horizontal="center"/>
    </xf>
    <xf numFmtId="0" fontId="14" fillId="0" borderId="0" xfId="11" applyFont="1"/>
    <xf numFmtId="0" fontId="13" fillId="7" borderId="2" xfId="11" applyFont="1" applyFill="1" applyBorder="1"/>
    <xf numFmtId="0" fontId="13" fillId="7" borderId="2" xfId="11" applyFont="1" applyFill="1" applyBorder="1" applyProtection="1">
      <protection locked="0"/>
    </xf>
    <xf numFmtId="0" fontId="0" fillId="0" borderId="0" xfId="0" applyAlignment="1">
      <alignment horizontal="center"/>
    </xf>
    <xf numFmtId="0" fontId="23" fillId="0" borderId="0" xfId="11" applyFont="1" applyBorder="1"/>
    <xf numFmtId="0" fontId="19" fillId="3" borderId="16" xfId="11" applyFont="1" applyFill="1" applyBorder="1"/>
    <xf numFmtId="0" fontId="19" fillId="3" borderId="17" xfId="11" applyFont="1" applyFill="1" applyBorder="1"/>
    <xf numFmtId="0" fontId="19" fillId="3" borderId="18" xfId="11" applyFont="1" applyFill="1" applyBorder="1"/>
    <xf numFmtId="0" fontId="19" fillId="3" borderId="19" xfId="11" applyFont="1" applyFill="1" applyBorder="1"/>
    <xf numFmtId="0" fontId="24" fillId="3" borderId="20" xfId="11" applyFont="1" applyFill="1" applyBorder="1"/>
    <xf numFmtId="0" fontId="24" fillId="3" borderId="21" xfId="11" applyFont="1" applyFill="1" applyBorder="1"/>
    <xf numFmtId="0" fontId="3" fillId="0" borderId="0" xfId="11" applyFont="1" applyAlignment="1">
      <alignment horizontal="right"/>
    </xf>
    <xf numFmtId="0" fontId="19" fillId="3" borderId="2" xfId="12" applyFont="1" applyFill="1" applyBorder="1" applyProtection="1"/>
    <xf numFmtId="0" fontId="13" fillId="7" borderId="3" xfId="11" applyFont="1" applyFill="1" applyBorder="1" applyAlignment="1"/>
    <xf numFmtId="0" fontId="13" fillId="7" borderId="4" xfId="11" applyFont="1" applyFill="1" applyBorder="1" applyAlignment="1"/>
    <xf numFmtId="0" fontId="0" fillId="0" borderId="0" xfId="0" applyFill="1"/>
    <xf numFmtId="0" fontId="27" fillId="0" borderId="0" xfId="0" applyFont="1" applyAlignment="1">
      <alignment horizontal="center"/>
    </xf>
    <xf numFmtId="0" fontId="0" fillId="0" borderId="0" xfId="0" applyFill="1" applyBorder="1"/>
    <xf numFmtId="0" fontId="0" fillId="0" borderId="2" xfId="0" applyBorder="1"/>
    <xf numFmtId="0" fontId="0" fillId="0" borderId="0" xfId="0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left"/>
    </xf>
    <xf numFmtId="0" fontId="2" fillId="0" borderId="0" xfId="0" applyFont="1"/>
    <xf numFmtId="0" fontId="29" fillId="0" borderId="0" xfId="0" applyFont="1"/>
    <xf numFmtId="0" fontId="30" fillId="0" borderId="0" xfId="0" applyFont="1"/>
    <xf numFmtId="0" fontId="0" fillId="0" borderId="22" xfId="0" applyBorder="1" applyAlignment="1">
      <alignment horizontal="centerContinuous"/>
    </xf>
    <xf numFmtId="0" fontId="0" fillId="0" borderId="2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31" fillId="3" borderId="1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31" fillId="3" borderId="16" xfId="0" applyFont="1" applyFill="1" applyBorder="1"/>
    <xf numFmtId="0" fontId="0" fillId="0" borderId="0" xfId="0" applyAlignment="1">
      <alignment horizontal="centerContinuous"/>
    </xf>
    <xf numFmtId="167" fontId="0" fillId="0" borderId="0" xfId="0" applyNumberFormat="1"/>
    <xf numFmtId="0" fontId="22" fillId="0" borderId="3" xfId="0" applyFont="1" applyBorder="1" applyAlignment="1">
      <alignment horizontal="left"/>
    </xf>
    <xf numFmtId="0" fontId="0" fillId="0" borderId="23" xfId="0" applyBorder="1"/>
    <xf numFmtId="0" fontId="34" fillId="0" borderId="4" xfId="0" applyFont="1" applyBorder="1" applyAlignment="1">
      <alignment horizontal="right"/>
    </xf>
    <xf numFmtId="10" fontId="14" fillId="0" borderId="3" xfId="0" applyNumberFormat="1" applyFont="1" applyBorder="1"/>
    <xf numFmtId="0" fontId="14" fillId="0" borderId="23" xfId="0" applyFont="1" applyBorder="1"/>
    <xf numFmtId="0" fontId="0" fillId="0" borderId="4" xfId="0" applyBorder="1"/>
    <xf numFmtId="0" fontId="36" fillId="0" borderId="2" xfId="0" applyFont="1" applyBorder="1" applyAlignment="1">
      <alignment horizontal="center"/>
    </xf>
    <xf numFmtId="167" fontId="14" fillId="0" borderId="2" xfId="0" applyNumberFormat="1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167" fontId="22" fillId="0" borderId="2" xfId="0" applyNumberFormat="1" applyFont="1" applyBorder="1" applyAlignment="1">
      <alignment horizontal="center"/>
    </xf>
    <xf numFmtId="0" fontId="22" fillId="0" borderId="0" xfId="0" applyFont="1" applyBorder="1" applyAlignment="1">
      <alignment horizontal="left"/>
    </xf>
    <xf numFmtId="0" fontId="0" fillId="0" borderId="0" xfId="0" applyBorder="1" applyAlignment="1">
      <alignment horizontal="centerContinuous"/>
    </xf>
    <xf numFmtId="0" fontId="31" fillId="3" borderId="24" xfId="0" applyFont="1" applyFill="1" applyBorder="1"/>
    <xf numFmtId="0" fontId="24" fillId="3" borderId="0" xfId="0" applyFont="1" applyFill="1"/>
    <xf numFmtId="0" fontId="24" fillId="3" borderId="2" xfId="0" applyFont="1" applyFill="1" applyBorder="1" applyAlignment="1">
      <alignment horizontal="center"/>
    </xf>
    <xf numFmtId="0" fontId="24" fillId="3" borderId="2" xfId="0" applyFont="1" applyFill="1" applyBorder="1"/>
    <xf numFmtId="0" fontId="24" fillId="3" borderId="25" xfId="0" applyFont="1" applyFill="1" applyBorder="1"/>
    <xf numFmtId="0" fontId="24" fillId="3" borderId="23" xfId="0" applyFont="1" applyFill="1" applyBorder="1"/>
    <xf numFmtId="0" fontId="24" fillId="3" borderId="4" xfId="0" applyFont="1" applyFill="1" applyBorder="1"/>
    <xf numFmtId="0" fontId="40" fillId="3" borderId="2" xfId="0" applyFont="1" applyFill="1" applyBorder="1"/>
    <xf numFmtId="0" fontId="40" fillId="3" borderId="0" xfId="0" applyFont="1" applyFill="1" applyBorder="1"/>
    <xf numFmtId="0" fontId="24" fillId="3" borderId="0" xfId="0" applyFont="1" applyFill="1" applyBorder="1"/>
    <xf numFmtId="0" fontId="0" fillId="3" borderId="0" xfId="0" applyFill="1" applyBorder="1"/>
    <xf numFmtId="0" fontId="24" fillId="3" borderId="3" xfId="0" applyFont="1" applyFill="1" applyBorder="1" applyAlignment="1">
      <alignment horizontal="left"/>
    </xf>
    <xf numFmtId="0" fontId="44" fillId="3" borderId="4" xfId="0" applyFont="1" applyFill="1" applyBorder="1" applyAlignment="1">
      <alignment horizontal="center"/>
    </xf>
    <xf numFmtId="0" fontId="43" fillId="3" borderId="2" xfId="0" applyFont="1" applyFill="1" applyBorder="1" applyAlignment="1">
      <alignment horizontal="center"/>
    </xf>
    <xf numFmtId="165" fontId="24" fillId="3" borderId="2" xfId="0" applyNumberFormat="1" applyFont="1" applyFill="1" applyBorder="1"/>
    <xf numFmtId="167" fontId="24" fillId="3" borderId="2" xfId="0" applyNumberFormat="1" applyFont="1" applyFill="1" applyBorder="1" applyAlignment="1">
      <alignment horizontal="center"/>
    </xf>
    <xf numFmtId="0" fontId="44" fillId="3" borderId="3" xfId="0" applyFont="1" applyFill="1" applyBorder="1" applyAlignment="1">
      <alignment horizontal="center"/>
    </xf>
    <xf numFmtId="10" fontId="24" fillId="3" borderId="23" xfId="0" applyNumberFormat="1" applyFont="1" applyFill="1" applyBorder="1" applyAlignment="1">
      <alignment horizontal="center"/>
    </xf>
    <xf numFmtId="0" fontId="43" fillId="8" borderId="0" xfId="0" applyFont="1" applyFill="1" applyBorder="1" applyAlignment="1">
      <alignment horizontal="center"/>
    </xf>
    <xf numFmtId="165" fontId="24" fillId="8" borderId="0" xfId="0" applyNumberFormat="1" applyFont="1" applyFill="1" applyBorder="1"/>
    <xf numFmtId="167" fontId="24" fillId="8" borderId="0" xfId="0" applyNumberFormat="1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10" fontId="24" fillId="8" borderId="23" xfId="0" applyNumberFormat="1" applyFont="1" applyFill="1" applyBorder="1" applyAlignment="1">
      <alignment horizontal="center"/>
    </xf>
    <xf numFmtId="0" fontId="24" fillId="8" borderId="23" xfId="0" applyFont="1" applyFill="1" applyBorder="1"/>
    <xf numFmtId="0" fontId="24" fillId="8" borderId="4" xfId="0" applyFont="1" applyFill="1" applyBorder="1"/>
    <xf numFmtId="0" fontId="46" fillId="3" borderId="2" xfId="0" applyFont="1" applyFill="1" applyBorder="1" applyAlignment="1">
      <alignment horizontal="center"/>
    </xf>
    <xf numFmtId="167" fontId="47" fillId="3" borderId="2" xfId="0" applyNumberFormat="1" applyFont="1" applyFill="1" applyBorder="1" applyAlignment="1">
      <alignment horizontal="center"/>
    </xf>
    <xf numFmtId="0" fontId="24" fillId="3" borderId="3" xfId="0" applyFont="1" applyFill="1" applyBorder="1"/>
    <xf numFmtId="0" fontId="0" fillId="0" borderId="0" xfId="0" quotePrefix="1"/>
    <xf numFmtId="0" fontId="28" fillId="0" borderId="0" xfId="0" applyFont="1"/>
    <xf numFmtId="0" fontId="31" fillId="0" borderId="0" xfId="0" applyFont="1" applyFill="1"/>
    <xf numFmtId="0" fontId="31" fillId="3" borderId="0" xfId="0" applyFont="1" applyFill="1"/>
    <xf numFmtId="0" fontId="31" fillId="3" borderId="0" xfId="0" applyFont="1" applyFill="1" applyBorder="1"/>
    <xf numFmtId="0" fontId="31" fillId="3" borderId="2" xfId="0" applyFont="1" applyFill="1" applyBorder="1" applyAlignment="1">
      <alignment horizontal="center"/>
    </xf>
    <xf numFmtId="0" fontId="31" fillId="3" borderId="2" xfId="0" applyFont="1" applyFill="1" applyBorder="1"/>
    <xf numFmtId="49" fontId="31" fillId="3" borderId="0" xfId="0" applyNumberFormat="1" applyFont="1" applyFill="1"/>
    <xf numFmtId="10" fontId="0" fillId="0" borderId="0" xfId="0" applyNumberFormat="1" applyAlignment="1">
      <alignment horizontal="center"/>
    </xf>
    <xf numFmtId="0" fontId="48" fillId="3" borderId="0" xfId="0" applyFont="1" applyFill="1" applyBorder="1"/>
    <xf numFmtId="49" fontId="0" fillId="0" borderId="0" xfId="0" applyNumberFormat="1"/>
    <xf numFmtId="0" fontId="49" fillId="2" borderId="0" xfId="0" applyFont="1" applyFill="1"/>
    <xf numFmtId="0" fontId="24" fillId="2" borderId="0" xfId="0" applyFont="1" applyFill="1"/>
    <xf numFmtId="49" fontId="49" fillId="2" borderId="0" xfId="0" applyNumberFormat="1" applyFont="1" applyFill="1"/>
    <xf numFmtId="0" fontId="44" fillId="2" borderId="0" xfId="0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0" fontId="0" fillId="0" borderId="0" xfId="0" applyNumberFormat="1"/>
    <xf numFmtId="0" fontId="40" fillId="2" borderId="0" xfId="0" applyFont="1" applyFill="1" applyBorder="1"/>
    <xf numFmtId="0" fontId="34" fillId="2" borderId="0" xfId="0" applyFont="1" applyFill="1"/>
    <xf numFmtId="0" fontId="34" fillId="2" borderId="0" xfId="0" applyFont="1" applyFill="1" applyBorder="1" applyAlignment="1">
      <alignment horizontal="left"/>
    </xf>
    <xf numFmtId="0" fontId="24" fillId="2" borderId="0" xfId="0" quotePrefix="1" applyFont="1" applyFill="1" applyProtection="1">
      <protection locked="0"/>
    </xf>
    <xf numFmtId="0" fontId="0" fillId="0" borderId="14" xfId="0" applyBorder="1"/>
    <xf numFmtId="0" fontId="33" fillId="0" borderId="0" xfId="0" applyFont="1" applyAlignment="1">
      <alignment horizontal="center"/>
    </xf>
    <xf numFmtId="0" fontId="9" fillId="0" borderId="0" xfId="0" applyFont="1" applyFill="1"/>
    <xf numFmtId="0" fontId="31" fillId="3" borderId="6" xfId="0" applyFont="1" applyFill="1" applyBorder="1" applyAlignment="1">
      <alignment horizontal="center"/>
    </xf>
    <xf numFmtId="0" fontId="51" fillId="3" borderId="2" xfId="0" applyFont="1" applyFill="1" applyBorder="1"/>
    <xf numFmtId="0" fontId="0" fillId="0" borderId="3" xfId="0" applyBorder="1" applyAlignment="1">
      <alignment horizontal="center"/>
    </xf>
    <xf numFmtId="0" fontId="31" fillId="3" borderId="7" xfId="0" applyFont="1" applyFill="1" applyBorder="1" applyAlignment="1">
      <alignment horizontal="center"/>
    </xf>
    <xf numFmtId="0" fontId="31" fillId="3" borderId="26" xfId="0" applyFont="1" applyFill="1" applyBorder="1"/>
    <xf numFmtId="0" fontId="0" fillId="0" borderId="0" xfId="0" applyBorder="1"/>
    <xf numFmtId="0" fontId="27" fillId="0" borderId="0" xfId="0" applyFont="1"/>
    <xf numFmtId="0" fontId="4" fillId="0" borderId="0" xfId="12" applyFont="1" applyBorder="1" applyAlignment="1">
      <alignment horizontal="right"/>
    </xf>
    <xf numFmtId="0" fontId="24" fillId="3" borderId="27" xfId="0" applyFont="1" applyFill="1" applyBorder="1"/>
    <xf numFmtId="0" fontId="14" fillId="0" borderId="0" xfId="12" applyFont="1" applyBorder="1" applyAlignment="1">
      <alignment horizontal="right"/>
    </xf>
    <xf numFmtId="167" fontId="14" fillId="0" borderId="0" xfId="0" applyNumberFormat="1" applyFont="1"/>
    <xf numFmtId="0" fontId="24" fillId="0" borderId="0" xfId="0" applyFont="1" applyFill="1"/>
    <xf numFmtId="0" fontId="40" fillId="0" borderId="0" xfId="0" applyFont="1" applyFill="1" applyBorder="1"/>
    <xf numFmtId="0" fontId="24" fillId="0" borderId="0" xfId="0" applyFont="1" applyFill="1" applyBorder="1"/>
    <xf numFmtId="0" fontId="52" fillId="0" borderId="0" xfId="0" applyFont="1" applyFill="1"/>
    <xf numFmtId="0" fontId="36" fillId="0" borderId="0" xfId="0" applyFont="1"/>
    <xf numFmtId="0" fontId="34" fillId="0" borderId="2" xfId="12" applyFont="1" applyBorder="1" applyAlignment="1">
      <alignment horizontal="center"/>
    </xf>
    <xf numFmtId="0" fontId="9" fillId="0" borderId="2" xfId="0" applyFont="1" applyFill="1" applyBorder="1"/>
    <xf numFmtId="0" fontId="9" fillId="0" borderId="0" xfId="0" applyFont="1"/>
    <xf numFmtId="0" fontId="9" fillId="0" borderId="2" xfId="0" applyFont="1" applyBorder="1"/>
    <xf numFmtId="0" fontId="36" fillId="0" borderId="2" xfId="12" applyFont="1" applyBorder="1" applyAlignment="1">
      <alignment horizontal="center"/>
    </xf>
    <xf numFmtId="2" fontId="9" fillId="0" borderId="2" xfId="0" applyNumberFormat="1" applyFont="1" applyBorder="1"/>
    <xf numFmtId="167" fontId="0" fillId="0" borderId="2" xfId="0" applyNumberFormat="1" applyBorder="1"/>
    <xf numFmtId="0" fontId="31" fillId="0" borderId="0" xfId="0" applyFont="1" applyFill="1" applyBorder="1"/>
    <xf numFmtId="0" fontId="3" fillId="0" borderId="0" xfId="11" applyFill="1"/>
    <xf numFmtId="0" fontId="24" fillId="2" borderId="0" xfId="0" applyFont="1" applyFill="1" applyProtection="1">
      <protection locked="0"/>
    </xf>
    <xf numFmtId="0" fontId="24" fillId="0" borderId="0" xfId="0" applyFont="1" applyFill="1" applyProtection="1">
      <protection locked="0"/>
    </xf>
    <xf numFmtId="0" fontId="13" fillId="7" borderId="25" xfId="11" applyFont="1" applyFill="1" applyBorder="1" applyAlignment="1">
      <alignment horizontal="center"/>
    </xf>
    <xf numFmtId="0" fontId="24" fillId="3" borderId="25" xfId="0" applyFont="1" applyFill="1" applyBorder="1" applyAlignment="1">
      <alignment horizontal="center"/>
    </xf>
    <xf numFmtId="0" fontId="13" fillId="7" borderId="3" xfId="11" applyFont="1" applyFill="1" applyBorder="1" applyAlignment="1">
      <alignment horizontal="left"/>
    </xf>
    <xf numFmtId="0" fontId="13" fillId="7" borderId="4" xfId="11" applyFont="1" applyFill="1" applyBorder="1" applyAlignment="1">
      <alignment horizontal="centerContinuous"/>
    </xf>
    <xf numFmtId="0" fontId="13" fillId="0" borderId="0" xfId="11" applyFont="1" applyBorder="1" applyAlignment="1">
      <alignment horizontal="centerContinuous"/>
    </xf>
    <xf numFmtId="0" fontId="13" fillId="0" borderId="0" xfId="11" applyFont="1" applyBorder="1" applyAlignment="1">
      <alignment horizontal="center"/>
    </xf>
    <xf numFmtId="0" fontId="13" fillId="0" borderId="3" xfId="11" applyFont="1" applyBorder="1"/>
    <xf numFmtId="0" fontId="0" fillId="7" borderId="16" xfId="0" applyFill="1" applyBorder="1" applyProtection="1">
      <protection locked="0"/>
    </xf>
    <xf numFmtId="0" fontId="0" fillId="7" borderId="2" xfId="0" applyFill="1" applyBorder="1" applyProtection="1">
      <protection locked="0"/>
    </xf>
    <xf numFmtId="170" fontId="0" fillId="0" borderId="0" xfId="0" applyNumberFormat="1" applyFill="1" applyBorder="1" applyProtection="1">
      <protection locked="0"/>
    </xf>
    <xf numFmtId="0" fontId="19" fillId="3" borderId="7" xfId="12" applyFont="1" applyFill="1" applyBorder="1" applyProtection="1">
      <protection locked="0"/>
    </xf>
    <xf numFmtId="0" fontId="19" fillId="3" borderId="7" xfId="12" applyFont="1" applyFill="1" applyBorder="1" applyProtection="1"/>
    <xf numFmtId="0" fontId="19" fillId="3" borderId="7" xfId="12" applyFont="1" applyFill="1" applyBorder="1"/>
    <xf numFmtId="0" fontId="0" fillId="3" borderId="0" xfId="0" applyFill="1"/>
    <xf numFmtId="0" fontId="54" fillId="0" borderId="0" xfId="11" applyFont="1" applyBorder="1"/>
    <xf numFmtId="0" fontId="13" fillId="0" borderId="0" xfId="11" applyFont="1" applyFill="1" applyBorder="1" applyProtection="1">
      <protection locked="0"/>
    </xf>
    <xf numFmtId="0" fontId="14" fillId="0" borderId="0" xfId="0" applyFont="1" applyFill="1"/>
    <xf numFmtId="0" fontId="17" fillId="0" borderId="0" xfId="11" applyFont="1" applyFill="1" applyBorder="1" applyProtection="1">
      <protection locked="0"/>
    </xf>
    <xf numFmtId="0" fontId="22" fillId="0" borderId="0" xfId="0" applyFont="1"/>
    <xf numFmtId="171" fontId="14" fillId="0" borderId="0" xfId="0" applyNumberFormat="1" applyFont="1" applyAlignment="1">
      <alignment horizontal="center"/>
    </xf>
    <xf numFmtId="0" fontId="14" fillId="0" borderId="2" xfId="0" applyFont="1" applyBorder="1" applyAlignment="1">
      <alignment horizontal="center"/>
    </xf>
    <xf numFmtId="0" fontId="13" fillId="7" borderId="3" xfId="11" applyFont="1" applyFill="1" applyBorder="1" applyProtection="1">
      <protection locked="0"/>
    </xf>
    <xf numFmtId="0" fontId="13" fillId="7" borderId="23" xfId="11" applyFont="1" applyFill="1" applyBorder="1" applyProtection="1">
      <protection locked="0"/>
    </xf>
    <xf numFmtId="0" fontId="13" fillId="7" borderId="3" xfId="11" applyFont="1" applyFill="1" applyBorder="1"/>
    <xf numFmtId="0" fontId="13" fillId="7" borderId="23" xfId="11" applyFont="1" applyFill="1" applyBorder="1"/>
    <xf numFmtId="0" fontId="13" fillId="7" borderId="4" xfId="11" applyFont="1" applyFill="1" applyBorder="1"/>
    <xf numFmtId="14" fontId="13" fillId="7" borderId="3" xfId="11" applyNumberFormat="1" applyFont="1" applyFill="1" applyBorder="1"/>
    <xf numFmtId="0" fontId="13" fillId="7" borderId="4" xfId="11" applyFont="1" applyFill="1" applyBorder="1" applyProtection="1">
      <protection locked="0"/>
    </xf>
    <xf numFmtId="0" fontId="39" fillId="0" borderId="0" xfId="7" applyFont="1"/>
    <xf numFmtId="0" fontId="6" fillId="0" borderId="0" xfId="7"/>
    <xf numFmtId="0" fontId="22" fillId="0" borderId="0" xfId="7" applyFont="1"/>
    <xf numFmtId="0" fontId="14" fillId="0" borderId="0" xfId="7" applyFont="1"/>
    <xf numFmtId="0" fontId="22" fillId="0" borderId="0" xfId="7" applyFont="1" applyAlignment="1">
      <alignment horizontal="right"/>
    </xf>
    <xf numFmtId="0" fontId="14" fillId="7" borderId="3" xfId="7" applyFont="1" applyFill="1" applyBorder="1"/>
    <xf numFmtId="0" fontId="14" fillId="7" borderId="23" xfId="7" applyFont="1" applyFill="1" applyBorder="1"/>
    <xf numFmtId="0" fontId="14" fillId="7" borderId="4" xfId="7" applyFont="1" applyFill="1" applyBorder="1"/>
    <xf numFmtId="0" fontId="6" fillId="0" borderId="0" xfId="7" applyFill="1"/>
    <xf numFmtId="0" fontId="1" fillId="0" borderId="6" xfId="7" applyFont="1" applyFill="1" applyBorder="1" applyAlignment="1">
      <alignment horizontal="center"/>
    </xf>
    <xf numFmtId="0" fontId="1" fillId="0" borderId="5" xfId="7" applyFont="1" applyFill="1" applyBorder="1" applyAlignment="1">
      <alignment horizontal="center"/>
    </xf>
    <xf numFmtId="0" fontId="56" fillId="0" borderId="5" xfId="7" applyFont="1" applyFill="1" applyBorder="1" applyAlignment="1">
      <alignment horizontal="center"/>
    </xf>
    <xf numFmtId="0" fontId="57" fillId="7" borderId="2" xfId="7" applyFont="1" applyFill="1" applyBorder="1" applyProtection="1">
      <protection locked="0"/>
    </xf>
    <xf numFmtId="0" fontId="6" fillId="0" borderId="2" xfId="7" applyFill="1" applyBorder="1"/>
    <xf numFmtId="0" fontId="1" fillId="0" borderId="2" xfId="7" applyFont="1" applyFill="1" applyBorder="1" applyAlignment="1">
      <alignment horizontal="right"/>
    </xf>
    <xf numFmtId="0" fontId="12" fillId="0" borderId="0" xfId="7" applyFont="1" applyFill="1" applyAlignment="1">
      <alignment horizontal="right"/>
    </xf>
    <xf numFmtId="165" fontId="58" fillId="0" borderId="0" xfId="7" applyNumberFormat="1" applyFont="1" applyFill="1"/>
    <xf numFmtId="0" fontId="4" fillId="0" borderId="0" xfId="7" applyFont="1" applyFill="1" applyAlignment="1">
      <alignment horizontal="right"/>
    </xf>
    <xf numFmtId="165" fontId="6" fillId="0" borderId="0" xfId="7" applyNumberFormat="1" applyFill="1"/>
    <xf numFmtId="0" fontId="59" fillId="0" borderId="0" xfId="7" applyFont="1" applyFill="1" applyAlignment="1">
      <alignment horizontal="right"/>
    </xf>
    <xf numFmtId="0" fontId="3" fillId="0" borderId="0" xfId="7" applyFont="1" applyFill="1" applyAlignment="1">
      <alignment horizontal="right"/>
    </xf>
    <xf numFmtId="0" fontId="60" fillId="0" borderId="0" xfId="7" applyFont="1"/>
    <xf numFmtId="0" fontId="14" fillId="0" borderId="0" xfId="7" applyFont="1" applyAlignment="1">
      <alignment horizontal="center"/>
    </xf>
    <xf numFmtId="0" fontId="0" fillId="0" borderId="0" xfId="0" applyAlignment="1">
      <alignment wrapText="1"/>
    </xf>
    <xf numFmtId="0" fontId="56" fillId="9" borderId="2" xfId="0" applyFont="1" applyFill="1" applyBorder="1" applyAlignment="1">
      <alignment horizontal="center"/>
    </xf>
    <xf numFmtId="0" fontId="56" fillId="9" borderId="2" xfId="0" applyFont="1" applyFill="1" applyBorder="1" applyAlignment="1">
      <alignment horizontal="right"/>
    </xf>
    <xf numFmtId="0" fontId="27" fillId="7" borderId="4" xfId="0" applyFont="1" applyFill="1" applyBorder="1" applyAlignment="1">
      <alignment horizontal="center" wrapText="1"/>
    </xf>
    <xf numFmtId="164" fontId="65" fillId="4" borderId="7" xfId="0" applyNumberFormat="1" applyFont="1" applyFill="1" applyBorder="1" applyAlignment="1">
      <alignment horizontal="center"/>
    </xf>
    <xf numFmtId="164" fontId="0" fillId="0" borderId="0" xfId="0" applyNumberFormat="1"/>
    <xf numFmtId="0" fontId="27" fillId="0" borderId="0" xfId="0" applyFont="1" applyBorder="1" applyAlignment="1">
      <alignment horizontal="center"/>
    </xf>
    <xf numFmtId="0" fontId="27" fillId="9" borderId="2" xfId="0" applyFont="1" applyFill="1" applyBorder="1" applyAlignment="1">
      <alignment horizontal="right"/>
    </xf>
    <xf numFmtId="3" fontId="0" fillId="0" borderId="0" xfId="0" applyNumberFormat="1"/>
    <xf numFmtId="166" fontId="0" fillId="0" borderId="0" xfId="0" applyNumberFormat="1" applyBorder="1"/>
    <xf numFmtId="164" fontId="0" fillId="0" borderId="0" xfId="0" applyNumberFormat="1" applyBorder="1"/>
    <xf numFmtId="166" fontId="0" fillId="0" borderId="0" xfId="0" applyNumberFormat="1"/>
    <xf numFmtId="0" fontId="27" fillId="0" borderId="14" xfId="0" applyFont="1" applyBorder="1" applyAlignment="1">
      <alignment horizontal="center"/>
    </xf>
    <xf numFmtId="0" fontId="27" fillId="9" borderId="2" xfId="0" applyFont="1" applyFill="1" applyBorder="1" applyAlignment="1">
      <alignment horizontal="center"/>
    </xf>
    <xf numFmtId="0" fontId="27" fillId="9" borderId="2" xfId="0" applyFont="1" applyFill="1" applyBorder="1" applyAlignment="1">
      <alignment horizontal="center" wrapText="1"/>
    </xf>
    <xf numFmtId="0" fontId="27" fillId="2" borderId="2" xfId="0" applyFont="1" applyFill="1" applyBorder="1" applyAlignment="1">
      <alignment horizontal="center" wrapText="1"/>
    </xf>
    <xf numFmtId="0" fontId="27" fillId="2" borderId="16" xfId="0" applyFont="1" applyFill="1" applyBorder="1" applyAlignment="1">
      <alignment horizontal="center" wrapText="1"/>
    </xf>
    <xf numFmtId="0" fontId="0" fillId="7" borderId="7" xfId="0" applyFill="1" applyBorder="1"/>
    <xf numFmtId="3" fontId="0" fillId="7" borderId="7" xfId="0" applyNumberFormat="1" applyFill="1" applyBorder="1"/>
    <xf numFmtId="169" fontId="65" fillId="4" borderId="7" xfId="0" applyNumberFormat="1" applyFont="1" applyFill="1" applyBorder="1"/>
    <xf numFmtId="169" fontId="65" fillId="4" borderId="13" xfId="0" applyNumberFormat="1" applyFont="1" applyFill="1" applyBorder="1"/>
    <xf numFmtId="172" fontId="0" fillId="0" borderId="2" xfId="0" applyNumberFormat="1" applyBorder="1"/>
    <xf numFmtId="0" fontId="0" fillId="7" borderId="2" xfId="0" applyFill="1" applyBorder="1"/>
    <xf numFmtId="3" fontId="0" fillId="7" borderId="2" xfId="0" applyNumberFormat="1" applyFill="1" applyBorder="1"/>
    <xf numFmtId="0" fontId="0" fillId="0" borderId="0" xfId="0" applyAlignment="1">
      <alignment vertical="top" wrapText="1"/>
    </xf>
    <xf numFmtId="0" fontId="66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27" fillId="7" borderId="2" xfId="0" applyFont="1" applyFill="1" applyBorder="1" applyAlignment="1">
      <alignment horizontal="center" wrapText="1"/>
    </xf>
    <xf numFmtId="166" fontId="65" fillId="4" borderId="7" xfId="0" applyNumberFormat="1" applyFont="1" applyFill="1" applyBorder="1"/>
    <xf numFmtId="164" fontId="65" fillId="4" borderId="7" xfId="0" applyNumberFormat="1" applyFont="1" applyFill="1" applyBorder="1"/>
    <xf numFmtId="0" fontId="0" fillId="9" borderId="2" xfId="0" applyFill="1" applyBorder="1" applyAlignment="1">
      <alignment horizontal="right"/>
    </xf>
    <xf numFmtId="9" fontId="3" fillId="9" borderId="2" xfId="16" applyFill="1" applyBorder="1"/>
    <xf numFmtId="168" fontId="3" fillId="9" borderId="2" xfId="16" applyNumberFormat="1" applyFill="1" applyBorder="1"/>
    <xf numFmtId="0" fontId="4" fillId="9" borderId="2" xfId="0" applyFont="1" applyFill="1" applyBorder="1" applyAlignment="1">
      <alignment horizontal="right"/>
    </xf>
    <xf numFmtId="0" fontId="0" fillId="9" borderId="2" xfId="0" applyFill="1" applyBorder="1"/>
    <xf numFmtId="0" fontId="3" fillId="9" borderId="2" xfId="0" applyFont="1" applyFill="1" applyBorder="1" applyAlignment="1">
      <alignment horizontal="right" vertical="center" wrapText="1"/>
    </xf>
    <xf numFmtId="0" fontId="27" fillId="6" borderId="2" xfId="0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right"/>
    </xf>
    <xf numFmtId="1" fontId="0" fillId="0" borderId="0" xfId="0" applyNumberFormat="1"/>
    <xf numFmtId="0" fontId="26" fillId="0" borderId="0" xfId="3" applyAlignment="1" applyProtection="1"/>
    <xf numFmtId="0" fontId="29" fillId="0" borderId="0" xfId="0" quotePrefix="1" applyFont="1"/>
    <xf numFmtId="0" fontId="0" fillId="0" borderId="0" xfId="0" applyAlignment="1">
      <alignment vertical="center" wrapText="1"/>
    </xf>
    <xf numFmtId="168" fontId="3" fillId="0" borderId="0" xfId="16" applyNumberFormat="1"/>
    <xf numFmtId="0" fontId="27" fillId="9" borderId="2" xfId="0" applyFont="1" applyFill="1" applyBorder="1" applyAlignment="1">
      <alignment horizontal="right" wrapText="1"/>
    </xf>
    <xf numFmtId="0" fontId="27" fillId="7" borderId="2" xfId="0" applyFont="1" applyFill="1" applyBorder="1" applyAlignment="1">
      <alignment horizontal="left" wrapText="1"/>
    </xf>
    <xf numFmtId="0" fontId="68" fillId="9" borderId="2" xfId="0" applyFont="1" applyFill="1" applyBorder="1" applyAlignment="1">
      <alignment horizontal="right"/>
    </xf>
    <xf numFmtId="0" fontId="27" fillId="0" borderId="0" xfId="0" applyFont="1" applyFill="1" applyBorder="1" applyAlignment="1">
      <alignment horizontal="left" wrapText="1"/>
    </xf>
    <xf numFmtId="3" fontId="27" fillId="9" borderId="2" xfId="0" applyNumberFormat="1" applyFont="1" applyFill="1" applyBorder="1" applyAlignment="1">
      <alignment horizontal="center" wrapText="1"/>
    </xf>
    <xf numFmtId="0" fontId="0" fillId="7" borderId="7" xfId="0" quotePrefix="1" applyFill="1" applyBorder="1"/>
    <xf numFmtId="164" fontId="65" fillId="4" borderId="2" xfId="0" applyNumberFormat="1" applyFont="1" applyFill="1" applyBorder="1"/>
    <xf numFmtId="175" fontId="14" fillId="7" borderId="2" xfId="0" applyNumberFormat="1" applyFont="1" applyFill="1" applyBorder="1" applyProtection="1">
      <protection locked="0"/>
    </xf>
    <xf numFmtId="0" fontId="14" fillId="0" borderId="0" xfId="0" applyFont="1" applyAlignment="1">
      <alignment horizontal="centerContinuous"/>
    </xf>
    <xf numFmtId="0" fontId="70" fillId="9" borderId="6" xfId="0" applyFont="1" applyFill="1" applyBorder="1" applyAlignment="1">
      <alignment horizontal="center"/>
    </xf>
    <xf numFmtId="0" fontId="70" fillId="9" borderId="6" xfId="8" applyFont="1" applyFill="1" applyBorder="1" applyAlignment="1">
      <alignment horizontal="center"/>
    </xf>
    <xf numFmtId="0" fontId="14" fillId="0" borderId="2" xfId="0" applyFont="1" applyBorder="1"/>
    <xf numFmtId="0" fontId="71" fillId="6" borderId="2" xfId="0" applyNumberFormat="1" applyFont="1" applyFill="1" applyBorder="1" applyAlignment="1">
      <alignment horizontal="center"/>
    </xf>
    <xf numFmtId="10" fontId="71" fillId="6" borderId="2" xfId="0" applyNumberFormat="1" applyFont="1" applyFill="1" applyBorder="1" applyAlignment="1">
      <alignment horizontal="center"/>
    </xf>
    <xf numFmtId="3" fontId="71" fillId="6" borderId="2" xfId="0" applyNumberFormat="1" applyFont="1" applyFill="1" applyBorder="1" applyAlignment="1">
      <alignment horizontal="center"/>
    </xf>
    <xf numFmtId="166" fontId="71" fillId="6" borderId="2" xfId="0" applyNumberFormat="1" applyFont="1" applyFill="1" applyBorder="1" applyAlignment="1">
      <alignment horizontal="center"/>
    </xf>
    <xf numFmtId="0" fontId="14" fillId="7" borderId="2" xfId="0" applyFont="1" applyFill="1" applyBorder="1"/>
    <xf numFmtId="2" fontId="14" fillId="0" borderId="2" xfId="0" applyNumberFormat="1" applyFont="1" applyBorder="1"/>
    <xf numFmtId="167" fontId="71" fillId="6" borderId="2" xfId="0" applyNumberFormat="1" applyFont="1" applyFill="1" applyBorder="1" applyAlignment="1" applyProtection="1">
      <alignment horizontal="right"/>
      <protection locked="0"/>
    </xf>
    <xf numFmtId="175" fontId="71" fillId="6" borderId="2" xfId="0" applyNumberFormat="1" applyFont="1" applyFill="1" applyBorder="1" applyAlignment="1">
      <alignment horizontal="center"/>
    </xf>
    <xf numFmtId="4" fontId="71" fillId="6" borderId="2" xfId="0" applyNumberFormat="1" applyFont="1" applyFill="1" applyBorder="1" applyAlignment="1">
      <alignment horizontal="center"/>
    </xf>
    <xf numFmtId="176" fontId="71" fillId="6" borderId="2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9" borderId="4" xfId="0" applyFont="1" applyFill="1" applyBorder="1" applyAlignment="1">
      <alignment horizontal="center"/>
    </xf>
    <xf numFmtId="0" fontId="17" fillId="9" borderId="2" xfId="0" applyFont="1" applyFill="1" applyBorder="1" applyAlignment="1">
      <alignment horizontal="center"/>
    </xf>
    <xf numFmtId="3" fontId="17" fillId="9" borderId="2" xfId="0" applyNumberFormat="1" applyFont="1" applyFill="1" applyBorder="1" applyAlignment="1">
      <alignment horizontal="center"/>
    </xf>
    <xf numFmtId="0" fontId="27" fillId="0" borderId="0" xfId="0" applyFont="1" applyAlignment="1">
      <alignment horizontal="right"/>
    </xf>
    <xf numFmtId="1" fontId="27" fillId="0" borderId="0" xfId="0" applyNumberFormat="1" applyFont="1"/>
    <xf numFmtId="0" fontId="9" fillId="9" borderId="2" xfId="0" applyFont="1" applyFill="1" applyBorder="1"/>
    <xf numFmtId="10" fontId="9" fillId="0" borderId="2" xfId="16" quotePrefix="1" applyNumberFormat="1" applyFont="1" applyFill="1" applyBorder="1"/>
    <xf numFmtId="10" fontId="9" fillId="0" borderId="2" xfId="0" applyNumberFormat="1" applyFont="1" applyFill="1" applyBorder="1"/>
    <xf numFmtId="0" fontId="27" fillId="9" borderId="2" xfId="0" applyFont="1" applyFill="1" applyBorder="1"/>
    <xf numFmtId="3" fontId="17" fillId="7" borderId="6" xfId="0" applyNumberFormat="1" applyFont="1" applyFill="1" applyBorder="1" applyAlignment="1">
      <alignment horizontal="center"/>
    </xf>
    <xf numFmtId="10" fontId="3" fillId="0" borderId="2" xfId="16" applyNumberFormat="1" applyBorder="1"/>
    <xf numFmtId="10" fontId="0" fillId="0" borderId="2" xfId="0" applyNumberFormat="1" applyBorder="1"/>
    <xf numFmtId="0" fontId="0" fillId="9" borderId="6" xfId="0" applyFill="1" applyBorder="1"/>
    <xf numFmtId="0" fontId="27" fillId="9" borderId="31" xfId="0" applyFont="1" applyFill="1" applyBorder="1"/>
    <xf numFmtId="0" fontId="0" fillId="9" borderId="7" xfId="0" applyFill="1" applyBorder="1"/>
    <xf numFmtId="0" fontId="12" fillId="0" borderId="0" xfId="0" applyFont="1"/>
    <xf numFmtId="0" fontId="22" fillId="9" borderId="2" xfId="0" applyFont="1" applyFill="1" applyBorder="1" applyAlignment="1">
      <alignment horizontal="right"/>
    </xf>
    <xf numFmtId="3" fontId="22" fillId="7" borderId="2" xfId="0" applyNumberFormat="1" applyFont="1" applyFill="1" applyBorder="1" applyAlignment="1" applyProtection="1">
      <alignment horizontal="center"/>
      <protection locked="0"/>
    </xf>
    <xf numFmtId="177" fontId="22" fillId="7" borderId="2" xfId="0" applyNumberFormat="1" applyFont="1" applyFill="1" applyBorder="1" applyAlignment="1" applyProtection="1">
      <alignment horizontal="center"/>
      <protection locked="0"/>
    </xf>
    <xf numFmtId="0" fontId="22" fillId="0" borderId="14" xfId="0" applyFont="1" applyFill="1" applyBorder="1" applyAlignment="1">
      <alignment horizontal="right"/>
    </xf>
    <xf numFmtId="0" fontId="17" fillId="0" borderId="14" xfId="0" applyFont="1" applyFill="1" applyBorder="1" applyAlignment="1">
      <alignment horizontal="left"/>
    </xf>
    <xf numFmtId="0" fontId="13" fillId="9" borderId="2" xfId="0" applyFont="1" applyFill="1" applyBorder="1" applyAlignment="1">
      <alignment horizontal="center"/>
    </xf>
    <xf numFmtId="0" fontId="13" fillId="9" borderId="7" xfId="0" applyFont="1" applyFill="1" applyBorder="1" applyAlignment="1">
      <alignment horizontal="center"/>
    </xf>
    <xf numFmtId="0" fontId="14" fillId="0" borderId="32" xfId="0" applyFont="1" applyBorder="1"/>
    <xf numFmtId="0" fontId="14" fillId="0" borderId="0" xfId="0" applyNumberFormat="1" applyFont="1"/>
    <xf numFmtId="1" fontId="14" fillId="0" borderId="0" xfId="0" applyNumberFormat="1" applyFont="1"/>
    <xf numFmtId="9" fontId="14" fillId="0" borderId="0" xfId="16" applyFont="1"/>
    <xf numFmtId="0" fontId="71" fillId="0" borderId="0" xfId="0" applyFont="1"/>
    <xf numFmtId="0" fontId="14" fillId="9" borderId="2" xfId="0" applyFont="1" applyFill="1" applyBorder="1"/>
    <xf numFmtId="0" fontId="14" fillId="9" borderId="2" xfId="0" applyFont="1" applyFill="1" applyBorder="1" applyAlignment="1">
      <alignment horizontal="center"/>
    </xf>
    <xf numFmtId="9" fontId="22" fillId="0" borderId="0" xfId="16" applyFont="1"/>
    <xf numFmtId="0" fontId="72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0" fontId="73" fillId="0" borderId="0" xfId="0" applyFont="1"/>
    <xf numFmtId="0" fontId="71" fillId="0" borderId="0" xfId="0" applyFont="1" applyAlignment="1">
      <alignment horizontal="center"/>
    </xf>
    <xf numFmtId="0" fontId="70" fillId="9" borderId="2" xfId="0" applyFont="1" applyFill="1" applyBorder="1" applyAlignment="1">
      <alignment horizontal="center"/>
    </xf>
    <xf numFmtId="0" fontId="70" fillId="9" borderId="9" xfId="0" applyFont="1" applyFill="1" applyBorder="1" applyAlignment="1">
      <alignment horizontal="centerContinuous"/>
    </xf>
    <xf numFmtId="0" fontId="71" fillId="9" borderId="9" xfId="0" applyFont="1" applyFill="1" applyBorder="1" applyAlignment="1">
      <alignment horizontal="centerContinuous"/>
    </xf>
    <xf numFmtId="0" fontId="71" fillId="9" borderId="10" xfId="0" applyFont="1" applyFill="1" applyBorder="1" applyAlignment="1">
      <alignment horizontal="centerContinuous"/>
    </xf>
    <xf numFmtId="1" fontId="70" fillId="7" borderId="2" xfId="0" applyNumberFormat="1" applyFont="1" applyFill="1" applyBorder="1" applyAlignment="1" applyProtection="1">
      <alignment horizontal="center"/>
      <protection locked="0"/>
    </xf>
    <xf numFmtId="166" fontId="70" fillId="9" borderId="5" xfId="0" applyNumberFormat="1" applyFont="1" applyFill="1" applyBorder="1" applyAlignment="1">
      <alignment horizontal="center"/>
    </xf>
    <xf numFmtId="0" fontId="70" fillId="9" borderId="5" xfId="0" applyFont="1" applyFill="1" applyBorder="1" applyAlignment="1">
      <alignment horizontal="center"/>
    </xf>
    <xf numFmtId="0" fontId="70" fillId="9" borderId="5" xfId="8" applyFont="1" applyFill="1" applyBorder="1" applyAlignment="1">
      <alignment horizontal="center"/>
    </xf>
    <xf numFmtId="0" fontId="70" fillId="0" borderId="0" xfId="0" applyFont="1" applyBorder="1" applyAlignment="1">
      <alignment horizontal="centerContinuous"/>
    </xf>
    <xf numFmtId="0" fontId="71" fillId="9" borderId="6" xfId="0" applyFont="1" applyFill="1" applyBorder="1"/>
    <xf numFmtId="166" fontId="76" fillId="9" borderId="2" xfId="0" applyNumberFormat="1" applyFont="1" applyFill="1" applyBorder="1" applyAlignment="1">
      <alignment horizontal="left"/>
    </xf>
    <xf numFmtId="0" fontId="70" fillId="7" borderId="2" xfId="0" applyNumberFormat="1" applyFont="1" applyFill="1" applyBorder="1" applyAlignment="1" applyProtection="1">
      <alignment horizontal="center"/>
      <protection locked="0"/>
    </xf>
    <xf numFmtId="0" fontId="71" fillId="6" borderId="6" xfId="0" applyNumberFormat="1" applyFont="1" applyFill="1" applyBorder="1" applyAlignment="1">
      <alignment horizontal="center"/>
    </xf>
    <xf numFmtId="2" fontId="71" fillId="6" borderId="6" xfId="0" applyNumberFormat="1" applyFont="1" applyFill="1" applyBorder="1" applyAlignment="1">
      <alignment horizontal="center"/>
    </xf>
    <xf numFmtId="3" fontId="71" fillId="6" borderId="6" xfId="0" applyNumberFormat="1" applyFont="1" applyFill="1" applyBorder="1" applyAlignment="1">
      <alignment horizontal="center"/>
    </xf>
    <xf numFmtId="0" fontId="70" fillId="0" borderId="0" xfId="0" applyFont="1" applyBorder="1" applyAlignment="1">
      <alignment horizontal="center"/>
    </xf>
    <xf numFmtId="0" fontId="71" fillId="9" borderId="33" xfId="0" applyFont="1" applyFill="1" applyBorder="1"/>
    <xf numFmtId="0" fontId="76" fillId="9" borderId="2" xfId="0" applyFont="1" applyFill="1" applyBorder="1"/>
    <xf numFmtId="0" fontId="13" fillId="7" borderId="0" xfId="0" applyFont="1" applyFill="1"/>
    <xf numFmtId="0" fontId="71" fillId="7" borderId="0" xfId="0" applyFont="1" applyFill="1"/>
    <xf numFmtId="0" fontId="13" fillId="0" borderId="0" xfId="0" applyFont="1"/>
    <xf numFmtId="0" fontId="70" fillId="9" borderId="33" xfId="0" applyFont="1" applyFill="1" applyBorder="1" applyAlignment="1">
      <alignment horizontal="center"/>
    </xf>
    <xf numFmtId="10" fontId="70" fillId="7" borderId="2" xfId="0" applyNumberFormat="1" applyFont="1" applyFill="1" applyBorder="1" applyAlignment="1" applyProtection="1">
      <alignment horizontal="center"/>
      <protection locked="0"/>
    </xf>
    <xf numFmtId="3" fontId="70" fillId="7" borderId="2" xfId="0" applyNumberFormat="1" applyFont="1" applyFill="1" applyBorder="1" applyAlignment="1" applyProtection="1">
      <alignment horizontal="center"/>
      <protection locked="0"/>
    </xf>
    <xf numFmtId="0" fontId="76" fillId="9" borderId="2" xfId="8" applyFont="1" applyFill="1" applyBorder="1"/>
    <xf numFmtId="166" fontId="70" fillId="7" borderId="2" xfId="0" applyNumberFormat="1" applyFont="1" applyFill="1" applyBorder="1" applyAlignment="1" applyProtection="1">
      <alignment horizontal="center"/>
      <protection locked="0"/>
    </xf>
    <xf numFmtId="0" fontId="71" fillId="9" borderId="7" xfId="0" applyFont="1" applyFill="1" applyBorder="1"/>
    <xf numFmtId="0" fontId="71" fillId="0" borderId="0" xfId="0" applyFont="1" applyAlignment="1">
      <alignment horizontal="left"/>
    </xf>
    <xf numFmtId="0" fontId="79" fillId="0" borderId="0" xfId="0" applyFont="1"/>
    <xf numFmtId="1" fontId="71" fillId="0" borderId="0" xfId="0" applyNumberFormat="1" applyFont="1" applyAlignment="1">
      <alignment horizontal="center"/>
    </xf>
    <xf numFmtId="0" fontId="80" fillId="0" borderId="0" xfId="0" applyFont="1"/>
    <xf numFmtId="0" fontId="70" fillId="0" borderId="0" xfId="0" applyFont="1"/>
    <xf numFmtId="166" fontId="71" fillId="0" borderId="0" xfId="0" applyNumberFormat="1" applyFont="1"/>
    <xf numFmtId="166" fontId="80" fillId="0" borderId="0" xfId="0" applyNumberFormat="1" applyFont="1" applyFill="1" applyBorder="1" applyAlignment="1">
      <alignment horizontal="right"/>
    </xf>
    <xf numFmtId="0" fontId="78" fillId="0" borderId="0" xfId="0" applyFont="1"/>
    <xf numFmtId="0" fontId="81" fillId="0" borderId="5" xfId="0" applyFont="1" applyBorder="1" applyAlignment="1">
      <alignment horizontal="center"/>
    </xf>
    <xf numFmtId="0" fontId="70" fillId="0" borderId="5" xfId="0" applyFont="1" applyBorder="1" applyAlignment="1">
      <alignment horizontal="center"/>
    </xf>
    <xf numFmtId="0" fontId="80" fillId="0" borderId="0" xfId="0" applyFont="1" applyFill="1" applyBorder="1" applyAlignment="1">
      <alignment horizontal="right"/>
    </xf>
    <xf numFmtId="0" fontId="71" fillId="7" borderId="2" xfId="0" applyFont="1" applyFill="1" applyBorder="1" applyProtection="1">
      <protection locked="0"/>
    </xf>
    <xf numFmtId="0" fontId="71" fillId="0" borderId="2" xfId="0" applyFont="1" applyBorder="1"/>
    <xf numFmtId="0" fontId="71" fillId="0" borderId="0" xfId="0" applyFont="1" applyBorder="1"/>
    <xf numFmtId="0" fontId="80" fillId="0" borderId="2" xfId="0" applyFont="1" applyBorder="1" applyAlignment="1">
      <alignment horizontal="center"/>
    </xf>
    <xf numFmtId="166" fontId="71" fillId="0" borderId="2" xfId="0" applyNumberFormat="1" applyFont="1" applyBorder="1"/>
    <xf numFmtId="166" fontId="71" fillId="0" borderId="0" xfId="0" applyNumberFormat="1" applyFont="1" applyBorder="1"/>
    <xf numFmtId="0" fontId="83" fillId="0" borderId="0" xfId="0" applyFont="1"/>
    <xf numFmtId="0" fontId="71" fillId="0" borderId="0" xfId="0" applyFont="1" applyAlignment="1">
      <alignment horizontal="centerContinuous"/>
    </xf>
    <xf numFmtId="0" fontId="3" fillId="0" borderId="0" xfId="0" applyFont="1" applyAlignment="1">
      <alignment horizontal="right"/>
    </xf>
    <xf numFmtId="0" fontId="3" fillId="0" borderId="0" xfId="0" applyFont="1"/>
    <xf numFmtId="1" fontId="14" fillId="0" borderId="0" xfId="0" applyNumberFormat="1" applyFont="1" applyAlignment="1">
      <alignment horizontal="center"/>
    </xf>
    <xf numFmtId="167" fontId="14" fillId="0" borderId="0" xfId="0" applyNumberFormat="1" applyFont="1" applyAlignment="1">
      <alignment horizontal="center"/>
    </xf>
    <xf numFmtId="167" fontId="14" fillId="0" borderId="0" xfId="0" applyNumberFormat="1" applyFont="1" applyAlignment="1">
      <alignment horizontal="right"/>
    </xf>
    <xf numFmtId="2" fontId="14" fillId="0" borderId="0" xfId="0" applyNumberFormat="1" applyFont="1"/>
    <xf numFmtId="10" fontId="14" fillId="0" borderId="0" xfId="16" applyNumberFormat="1" applyFont="1"/>
    <xf numFmtId="0" fontId="14" fillId="0" borderId="0" xfId="0" quotePrefix="1" applyFont="1"/>
    <xf numFmtId="164" fontId="14" fillId="0" borderId="0" xfId="0" applyNumberFormat="1" applyFont="1"/>
    <xf numFmtId="165" fontId="14" fillId="0" borderId="0" xfId="0" applyNumberFormat="1" applyFont="1"/>
    <xf numFmtId="0" fontId="5" fillId="0" borderId="0" xfId="0" applyFont="1"/>
    <xf numFmtId="0" fontId="84" fillId="0" borderId="0" xfId="0" applyFont="1"/>
    <xf numFmtId="0" fontId="53" fillId="0" borderId="0" xfId="0" applyFont="1" applyAlignment="1">
      <alignment horizontal="right"/>
    </xf>
    <xf numFmtId="3" fontId="85" fillId="0" borderId="0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72" fontId="17" fillId="0" borderId="0" xfId="0" applyNumberFormat="1" applyFont="1"/>
    <xf numFmtId="0" fontId="12" fillId="0" borderId="0" xfId="0" applyFont="1" applyAlignment="1">
      <alignment horizontal="left"/>
    </xf>
    <xf numFmtId="166" fontId="22" fillId="0" borderId="0" xfId="0" applyNumberFormat="1" applyFont="1"/>
    <xf numFmtId="0" fontId="12" fillId="0" borderId="0" xfId="0" quotePrefix="1" applyFont="1" applyAlignment="1">
      <alignment horizontal="left"/>
    </xf>
    <xf numFmtId="2" fontId="22" fillId="0" borderId="0" xfId="0" applyNumberFormat="1" applyFont="1"/>
    <xf numFmtId="0" fontId="53" fillId="0" borderId="0" xfId="0" applyFont="1"/>
    <xf numFmtId="164" fontId="22" fillId="0" borderId="0" xfId="0" applyNumberFormat="1" applyFont="1" applyAlignment="1">
      <alignment horizontal="left"/>
    </xf>
    <xf numFmtId="0" fontId="27" fillId="0" borderId="0" xfId="0" applyFont="1" applyAlignment="1">
      <alignment horizontal="left"/>
    </xf>
    <xf numFmtId="0" fontId="27" fillId="9" borderId="5" xfId="0" applyFont="1" applyFill="1" applyBorder="1" applyAlignment="1">
      <alignment horizontal="center"/>
    </xf>
    <xf numFmtId="0" fontId="9" fillId="0" borderId="7" xfId="0" applyFont="1" applyFill="1" applyBorder="1" applyAlignment="1">
      <alignment horizontal="right"/>
    </xf>
    <xf numFmtId="169" fontId="86" fillId="0" borderId="7" xfId="0" applyNumberFormat="1" applyFont="1" applyBorder="1"/>
    <xf numFmtId="166" fontId="0" fillId="0" borderId="7" xfId="0" applyNumberFormat="1" applyBorder="1"/>
    <xf numFmtId="0" fontId="9" fillId="0" borderId="2" xfId="0" applyFont="1" applyFill="1" applyBorder="1" applyAlignment="1">
      <alignment horizontal="right"/>
    </xf>
    <xf numFmtId="166" fontId="9" fillId="0" borderId="7" xfId="0" applyNumberFormat="1" applyFont="1" applyBorder="1"/>
    <xf numFmtId="0" fontId="0" fillId="0" borderId="7" xfId="0" applyBorder="1"/>
    <xf numFmtId="169" fontId="86" fillId="0" borderId="2" xfId="0" applyNumberFormat="1" applyFont="1" applyBorder="1"/>
    <xf numFmtId="166" fontId="0" fillId="0" borderId="2" xfId="0" applyNumberFormat="1" applyBorder="1"/>
    <xf numFmtId="166" fontId="9" fillId="0" borderId="2" xfId="0" applyNumberFormat="1" applyFont="1" applyBorder="1"/>
    <xf numFmtId="0" fontId="27" fillId="0" borderId="2" xfId="0" applyFont="1" applyBorder="1"/>
    <xf numFmtId="169" fontId="87" fillId="0" borderId="2" xfId="0" applyNumberFormat="1" applyFont="1" applyBorder="1"/>
    <xf numFmtId="166" fontId="27" fillId="0" borderId="2" xfId="0" applyNumberFormat="1" applyFont="1" applyBorder="1"/>
    <xf numFmtId="0" fontId="12" fillId="0" borderId="0" xfId="13" applyFont="1"/>
    <xf numFmtId="0" fontId="6" fillId="0" borderId="0" xfId="13"/>
    <xf numFmtId="0" fontId="3" fillId="0" borderId="0" xfId="15"/>
    <xf numFmtId="0" fontId="6" fillId="0" borderId="0" xfId="13" applyFont="1"/>
    <xf numFmtId="0" fontId="6" fillId="0" borderId="2" xfId="13" applyBorder="1"/>
    <xf numFmtId="0" fontId="4" fillId="0" borderId="2" xfId="13" applyFont="1" applyBorder="1"/>
    <xf numFmtId="0" fontId="88" fillId="0" borderId="0" xfId="13" applyFont="1"/>
    <xf numFmtId="165" fontId="6" fillId="0" borderId="2" xfId="16" applyNumberFormat="1" applyFont="1" applyBorder="1"/>
    <xf numFmtId="0" fontId="4" fillId="0" borderId="0" xfId="13" applyFont="1"/>
    <xf numFmtId="165" fontId="6" fillId="0" borderId="2" xfId="13" applyNumberFormat="1" applyBorder="1"/>
    <xf numFmtId="3" fontId="6" fillId="0" borderId="2" xfId="13" applyNumberFormat="1" applyBorder="1"/>
    <xf numFmtId="165" fontId="6" fillId="0" borderId="0" xfId="16" applyNumberFormat="1" applyFont="1"/>
    <xf numFmtId="2" fontId="6" fillId="0" borderId="2" xfId="13" applyNumberFormat="1" applyBorder="1"/>
    <xf numFmtId="9" fontId="6" fillId="0" borderId="0" xfId="16" applyFont="1"/>
    <xf numFmtId="2" fontId="6" fillId="0" borderId="0" xfId="13" applyNumberFormat="1"/>
    <xf numFmtId="0" fontId="14" fillId="0" borderId="0" xfId="0" applyFont="1" applyProtection="1">
      <protection locked="0"/>
    </xf>
    <xf numFmtId="165" fontId="12" fillId="0" borderId="0" xfId="0" applyNumberFormat="1" applyFont="1"/>
    <xf numFmtId="0" fontId="12" fillId="0" borderId="0" xfId="0" applyFont="1" applyAlignment="1">
      <alignment horizontal="center"/>
    </xf>
    <xf numFmtId="0" fontId="12" fillId="0" borderId="6" xfId="0" applyFont="1" applyBorder="1" applyAlignment="1">
      <alignment horizontal="center"/>
    </xf>
    <xf numFmtId="0" fontId="22" fillId="0" borderId="0" xfId="0" applyFont="1" applyAlignment="1">
      <alignment horizontal="centerContinuous"/>
    </xf>
    <xf numFmtId="0" fontId="14" fillId="0" borderId="0" xfId="0" applyFont="1" applyBorder="1"/>
    <xf numFmtId="0" fontId="90" fillId="0" borderId="2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56" fillId="0" borderId="0" xfId="0" applyFont="1" applyAlignment="1">
      <alignment horizontal="right"/>
    </xf>
    <xf numFmtId="0" fontId="4" fillId="0" borderId="0" xfId="0" applyFont="1" applyBorder="1"/>
    <xf numFmtId="170" fontId="14" fillId="0" borderId="0" xfId="0" applyNumberFormat="1" applyFont="1"/>
    <xf numFmtId="0" fontId="92" fillId="0" borderId="0" xfId="0" applyFont="1"/>
    <xf numFmtId="0" fontId="93" fillId="0" borderId="0" xfId="0" applyFont="1"/>
    <xf numFmtId="0" fontId="12" fillId="10" borderId="2" xfId="0" applyFont="1" applyFill="1" applyBorder="1"/>
    <xf numFmtId="10" fontId="14" fillId="10" borderId="2" xfId="0" applyNumberFormat="1" applyFont="1" applyFill="1" applyBorder="1"/>
    <xf numFmtId="0" fontId="14" fillId="10" borderId="2" xfId="0" applyFont="1" applyFill="1" applyBorder="1"/>
    <xf numFmtId="3" fontId="14" fillId="10" borderId="2" xfId="0" applyNumberFormat="1" applyFont="1" applyFill="1" applyBorder="1"/>
    <xf numFmtId="2" fontId="14" fillId="10" borderId="2" xfId="0" applyNumberFormat="1" applyFont="1" applyFill="1" applyBorder="1"/>
    <xf numFmtId="0" fontId="12" fillId="0" borderId="0" xfId="0" quotePrefix="1" applyFont="1" applyAlignment="1">
      <alignment horizontal="center"/>
    </xf>
    <xf numFmtId="2" fontId="14" fillId="0" borderId="0" xfId="0" applyNumberFormat="1" applyFont="1" applyBorder="1"/>
    <xf numFmtId="0" fontId="6" fillId="0" borderId="0" xfId="0" applyFont="1"/>
    <xf numFmtId="164" fontId="14" fillId="10" borderId="2" xfId="0" applyNumberFormat="1" applyFont="1" applyFill="1" applyBorder="1"/>
    <xf numFmtId="10" fontId="14" fillId="10" borderId="2" xfId="16" applyNumberFormat="1" applyFont="1" applyFill="1" applyBorder="1"/>
    <xf numFmtId="174" fontId="14" fillId="0" borderId="0" xfId="1" applyNumberFormat="1" applyFont="1"/>
    <xf numFmtId="0" fontId="27" fillId="9" borderId="0" xfId="0" applyFont="1" applyFill="1" applyAlignment="1">
      <alignment horizontal="right"/>
    </xf>
    <xf numFmtId="0" fontId="39" fillId="0" borderId="0" xfId="0" applyFont="1" applyAlignment="1" applyProtection="1">
      <alignment horizontal="centerContinuous"/>
      <protection locked="0"/>
    </xf>
    <xf numFmtId="0" fontId="14" fillId="0" borderId="0" xfId="0" applyFont="1" applyAlignment="1" applyProtection="1">
      <alignment horizontal="centerContinuous"/>
      <protection locked="0"/>
    </xf>
    <xf numFmtId="0" fontId="13" fillId="0" borderId="0" xfId="0" applyFont="1" applyAlignment="1" applyProtection="1">
      <alignment horizontal="centerContinuous"/>
      <protection locked="0"/>
    </xf>
    <xf numFmtId="0" fontId="13" fillId="0" borderId="0" xfId="0" applyFont="1" applyProtection="1"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4" fillId="7" borderId="3" xfId="0" applyFont="1" applyFill="1" applyBorder="1" applyAlignment="1" applyProtection="1">
      <alignment horizontal="left"/>
      <protection locked="0"/>
    </xf>
    <xf numFmtId="0" fontId="22" fillId="7" borderId="23" xfId="0" applyFont="1" applyFill="1" applyBorder="1" applyAlignment="1" applyProtection="1">
      <alignment horizontal="centerContinuous"/>
      <protection locked="0"/>
    </xf>
    <xf numFmtId="0" fontId="14" fillId="7" borderId="4" xfId="0" applyFont="1" applyFill="1" applyBorder="1" applyAlignment="1" applyProtection="1">
      <alignment horizontal="centerContinuous"/>
      <protection locked="0"/>
    </xf>
    <xf numFmtId="0" fontId="14" fillId="7" borderId="3" xfId="0" applyFont="1" applyFill="1" applyBorder="1" applyProtection="1">
      <protection locked="0"/>
    </xf>
    <xf numFmtId="0" fontId="14" fillId="7" borderId="23" xfId="0" applyFont="1" applyFill="1" applyBorder="1" applyProtection="1">
      <protection locked="0"/>
    </xf>
    <xf numFmtId="0" fontId="14" fillId="7" borderId="4" xfId="0" applyFont="1" applyFill="1" applyBorder="1" applyProtection="1">
      <protection locked="0"/>
    </xf>
    <xf numFmtId="0" fontId="14" fillId="7" borderId="2" xfId="0" applyFont="1" applyFill="1" applyBorder="1" applyProtection="1">
      <protection locked="0"/>
    </xf>
    <xf numFmtId="0" fontId="22" fillId="0" borderId="5" xfId="0" applyFont="1" applyBorder="1" applyAlignment="1" applyProtection="1">
      <alignment horizontal="center"/>
      <protection locked="0"/>
    </xf>
    <xf numFmtId="0" fontId="20" fillId="4" borderId="2" xfId="0" applyFont="1" applyFill="1" applyBorder="1" applyAlignment="1">
      <alignment horizontal="left"/>
    </xf>
    <xf numFmtId="0" fontId="14" fillId="0" borderId="0" xfId="0" applyFont="1" applyBorder="1" applyProtection="1">
      <protection locked="0"/>
    </xf>
    <xf numFmtId="0" fontId="14" fillId="7" borderId="7" xfId="0" applyFont="1" applyFill="1" applyBorder="1" applyAlignment="1" applyProtection="1">
      <alignment horizontal="center"/>
      <protection locked="0"/>
    </xf>
    <xf numFmtId="0" fontId="14" fillId="7" borderId="2" xfId="0" applyFont="1" applyFill="1" applyBorder="1" applyAlignment="1" applyProtection="1">
      <alignment horizontal="center"/>
      <protection locked="0"/>
    </xf>
    <xf numFmtId="0" fontId="20" fillId="4" borderId="2" xfId="0" applyFont="1" applyFill="1" applyBorder="1" applyAlignment="1" applyProtection="1">
      <alignment horizontal="left"/>
      <protection locked="0"/>
    </xf>
    <xf numFmtId="0" fontId="13" fillId="0" borderId="0" xfId="0" applyFont="1" applyAlignment="1" applyProtection="1">
      <alignment horizontal="left"/>
      <protection locked="0"/>
    </xf>
    <xf numFmtId="0" fontId="9" fillId="0" borderId="0" xfId="0" applyFont="1" applyFill="1" applyBorder="1" applyAlignment="1">
      <alignment horizontal="right"/>
    </xf>
    <xf numFmtId="0" fontId="36" fillId="0" borderId="0" xfId="0" applyFont="1" applyAlignment="1" applyProtection="1">
      <alignment horizontal="right"/>
      <protection locked="0"/>
    </xf>
    <xf numFmtId="0" fontId="14" fillId="7" borderId="5" xfId="0" applyFont="1" applyFill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4" fillId="2" borderId="7" xfId="0" applyFont="1" applyFill="1" applyBorder="1" applyProtection="1">
      <protection locked="0"/>
    </xf>
    <xf numFmtId="0" fontId="22" fillId="0" borderId="0" xfId="0" applyFont="1" applyBorder="1" applyAlignment="1" applyProtection="1">
      <alignment horizontal="center"/>
      <protection locked="0"/>
    </xf>
    <xf numFmtId="0" fontId="22" fillId="0" borderId="2" xfId="0" applyFont="1" applyBorder="1" applyProtection="1">
      <protection locked="0"/>
    </xf>
    <xf numFmtId="0" fontId="95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2" fontId="14" fillId="0" borderId="0" xfId="0" applyNumberFormat="1" applyFont="1" applyProtection="1">
      <protection locked="0"/>
    </xf>
    <xf numFmtId="0" fontId="22" fillId="2" borderId="2" xfId="0" applyFont="1" applyFill="1" applyBorder="1" applyAlignment="1" applyProtection="1">
      <alignment horizontal="centerContinuous"/>
      <protection locked="0"/>
    </xf>
    <xf numFmtId="0" fontId="22" fillId="0" borderId="6" xfId="0" applyFont="1" applyBorder="1" applyAlignment="1" applyProtection="1">
      <alignment horizontal="center"/>
      <protection locked="0"/>
    </xf>
    <xf numFmtId="2" fontId="22" fillId="0" borderId="6" xfId="0" applyNumberFormat="1" applyFont="1" applyBorder="1" applyAlignment="1" applyProtection="1">
      <alignment horizontal="center"/>
      <protection locked="0"/>
    </xf>
    <xf numFmtId="2" fontId="22" fillId="0" borderId="8" xfId="0" applyNumberFormat="1" applyFont="1" applyBorder="1" applyAlignment="1" applyProtection="1">
      <alignment horizontal="center"/>
      <protection locked="0"/>
    </xf>
    <xf numFmtId="2" fontId="22" fillId="0" borderId="34" xfId="0" applyNumberFormat="1" applyFont="1" applyBorder="1" applyAlignment="1" applyProtection="1">
      <alignment horizontal="center"/>
      <protection locked="0"/>
    </xf>
    <xf numFmtId="0" fontId="22" fillId="2" borderId="2" xfId="0" applyFont="1" applyFill="1" applyBorder="1" applyAlignment="1" applyProtection="1">
      <alignment horizontal="center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2" fontId="22" fillId="8" borderId="23" xfId="0" applyNumberFormat="1" applyFont="1" applyFill="1" applyBorder="1" applyAlignment="1" applyProtection="1">
      <alignment horizontal="center"/>
      <protection locked="0"/>
    </xf>
    <xf numFmtId="0" fontId="22" fillId="8" borderId="4" xfId="0" applyFont="1" applyFill="1" applyBorder="1" applyAlignment="1" applyProtection="1">
      <alignment horizontal="center"/>
      <protection locked="0"/>
    </xf>
    <xf numFmtId="0" fontId="22" fillId="8" borderId="23" xfId="0" applyFont="1" applyFill="1" applyBorder="1" applyAlignment="1" applyProtection="1">
      <alignment horizontal="center"/>
      <protection locked="0"/>
    </xf>
    <xf numFmtId="0" fontId="22" fillId="8" borderId="35" xfId="0" applyFont="1" applyFill="1" applyBorder="1" applyAlignment="1" applyProtection="1">
      <alignment horizontal="center"/>
      <protection locked="0"/>
    </xf>
    <xf numFmtId="2" fontId="14" fillId="2" borderId="4" xfId="0" applyNumberFormat="1" applyFont="1" applyFill="1" applyBorder="1" applyProtection="1">
      <protection locked="0"/>
    </xf>
    <xf numFmtId="2" fontId="14" fillId="2" borderId="2" xfId="0" applyNumberFormat="1" applyFont="1" applyFill="1" applyBorder="1" applyProtection="1">
      <protection locked="0"/>
    </xf>
    <xf numFmtId="0" fontId="22" fillId="2" borderId="7" xfId="0" applyFont="1" applyFill="1" applyBorder="1" applyProtection="1">
      <protection locked="0"/>
    </xf>
    <xf numFmtId="0" fontId="14" fillId="2" borderId="7" xfId="0" applyNumberFormat="1" applyFont="1" applyFill="1" applyBorder="1" applyAlignment="1" applyProtection="1">
      <alignment horizontal="right"/>
      <protection locked="0"/>
    </xf>
    <xf numFmtId="0" fontId="14" fillId="2" borderId="7" xfId="0" applyFont="1" applyFill="1" applyBorder="1" applyAlignment="1" applyProtection="1">
      <alignment horizontal="right"/>
      <protection locked="0"/>
    </xf>
    <xf numFmtId="0" fontId="14" fillId="2" borderId="13" xfId="0" applyFont="1" applyFill="1" applyBorder="1" applyAlignment="1" applyProtection="1">
      <alignment horizontal="right"/>
      <protection locked="0"/>
    </xf>
    <xf numFmtId="0" fontId="14" fillId="2" borderId="36" xfId="0" applyNumberFormat="1" applyFont="1" applyFill="1" applyBorder="1" applyAlignment="1" applyProtection="1">
      <alignment horizontal="right"/>
      <protection locked="0"/>
    </xf>
    <xf numFmtId="0" fontId="22" fillId="2" borderId="2" xfId="0" applyFont="1" applyFill="1" applyBorder="1" applyProtection="1">
      <protection locked="0"/>
    </xf>
    <xf numFmtId="0" fontId="14" fillId="7" borderId="2" xfId="0" applyNumberFormat="1" applyFont="1" applyFill="1" applyBorder="1" applyAlignment="1" applyProtection="1">
      <alignment horizontal="right"/>
      <protection locked="0"/>
    </xf>
    <xf numFmtId="0" fontId="14" fillId="7" borderId="3" xfId="0" applyNumberFormat="1" applyFont="1" applyFill="1" applyBorder="1" applyAlignment="1" applyProtection="1">
      <alignment horizontal="right"/>
      <protection locked="0"/>
    </xf>
    <xf numFmtId="0" fontId="14" fillId="7" borderId="35" xfId="0" applyNumberFormat="1" applyFont="1" applyFill="1" applyBorder="1" applyAlignment="1" applyProtection="1">
      <alignment horizontal="right"/>
      <protection locked="0"/>
    </xf>
    <xf numFmtId="0" fontId="15" fillId="7" borderId="2" xfId="0" applyFont="1" applyFill="1" applyBorder="1" applyAlignment="1" applyProtection="1">
      <alignment horizontal="left"/>
      <protection locked="0"/>
    </xf>
    <xf numFmtId="0" fontId="14" fillId="7" borderId="2" xfId="0" applyNumberFormat="1" applyFont="1" applyFill="1" applyBorder="1" applyProtection="1">
      <protection locked="0"/>
    </xf>
    <xf numFmtId="0" fontId="14" fillId="7" borderId="3" xfId="0" applyNumberFormat="1" applyFont="1" applyFill="1" applyBorder="1" applyProtection="1">
      <protection locked="0"/>
    </xf>
    <xf numFmtId="0" fontId="14" fillId="7" borderId="35" xfId="0" applyNumberFormat="1" applyFont="1" applyFill="1" applyBorder="1" applyProtection="1">
      <protection locked="0"/>
    </xf>
    <xf numFmtId="0" fontId="15" fillId="7" borderId="2" xfId="0" applyFont="1" applyFill="1" applyBorder="1" applyProtection="1">
      <protection locked="0"/>
    </xf>
    <xf numFmtId="0" fontId="97" fillId="0" borderId="0" xfId="0" applyFont="1" applyAlignment="1" applyProtection="1">
      <alignment horizontal="right"/>
      <protection locked="0"/>
    </xf>
    <xf numFmtId="0" fontId="14" fillId="0" borderId="0" xfId="0" applyFont="1" applyAlignment="1" applyProtection="1">
      <alignment horizontal="left"/>
      <protection locked="0"/>
    </xf>
    <xf numFmtId="0" fontId="1" fillId="7" borderId="23" xfId="0" applyFont="1" applyFill="1" applyBorder="1" applyAlignment="1" applyProtection="1">
      <alignment horizontal="centerContinuous"/>
      <protection locked="0"/>
    </xf>
    <xf numFmtId="0" fontId="0" fillId="0" borderId="0" xfId="0" applyProtection="1">
      <protection locked="0"/>
    </xf>
    <xf numFmtId="0" fontId="14" fillId="0" borderId="2" xfId="0" applyFont="1" applyBorder="1" applyProtection="1">
      <protection locked="0"/>
    </xf>
    <xf numFmtId="0" fontId="21" fillId="4" borderId="2" xfId="0" applyFont="1" applyFill="1" applyBorder="1" applyAlignment="1">
      <alignment horizontal="left"/>
    </xf>
    <xf numFmtId="0" fontId="14" fillId="2" borderId="2" xfId="0" applyNumberFormat="1" applyFont="1" applyFill="1" applyBorder="1" applyAlignment="1" applyProtection="1">
      <alignment horizontal="right"/>
      <protection locked="0"/>
    </xf>
    <xf numFmtId="14" fontId="14" fillId="7" borderId="2" xfId="0" applyNumberFormat="1" applyFont="1" applyFill="1" applyBorder="1" applyProtection="1">
      <protection locked="0"/>
    </xf>
    <xf numFmtId="171" fontId="14" fillId="0" borderId="0" xfId="0" applyNumberFormat="1" applyFont="1" applyAlignment="1" applyProtection="1">
      <alignment horizontal="center"/>
      <protection locked="0"/>
    </xf>
    <xf numFmtId="0" fontId="97" fillId="0" borderId="0" xfId="0" applyFont="1" applyProtection="1">
      <protection locked="0"/>
    </xf>
    <xf numFmtId="0" fontId="22" fillId="0" borderId="2" xfId="0" applyFont="1" applyBorder="1" applyAlignment="1" applyProtection="1">
      <alignment horizontal="center" wrapText="1"/>
      <protection locked="0"/>
    </xf>
    <xf numFmtId="0" fontId="14" fillId="2" borderId="2" xfId="0" applyFont="1" applyFill="1" applyBorder="1" applyAlignment="1" applyProtection="1">
      <alignment horizontal="center"/>
      <protection locked="0"/>
    </xf>
    <xf numFmtId="0" fontId="14" fillId="7" borderId="6" xfId="0" applyFont="1" applyFill="1" applyBorder="1" applyAlignment="1" applyProtection="1">
      <alignment horizontal="center"/>
      <protection locked="0"/>
    </xf>
    <xf numFmtId="0" fontId="99" fillId="0" borderId="0" xfId="0" applyFont="1"/>
    <xf numFmtId="0" fontId="14" fillId="7" borderId="4" xfId="0" applyNumberFormat="1" applyFont="1" applyFill="1" applyBorder="1" applyAlignment="1" applyProtection="1">
      <alignment horizontal="right"/>
      <protection locked="0"/>
    </xf>
    <xf numFmtId="0" fontId="15" fillId="0" borderId="0" xfId="0" applyFont="1" applyAlignment="1" applyProtection="1">
      <alignment horizontal="left"/>
      <protection locked="0"/>
    </xf>
    <xf numFmtId="2" fontId="22" fillId="0" borderId="37" xfId="0" applyNumberFormat="1" applyFont="1" applyBorder="1" applyAlignment="1" applyProtection="1">
      <alignment horizontal="center"/>
      <protection locked="0"/>
    </xf>
    <xf numFmtId="2" fontId="22" fillId="0" borderId="2" xfId="0" applyNumberFormat="1" applyFont="1" applyBorder="1" applyAlignment="1" applyProtection="1">
      <alignment horizontal="center"/>
      <protection locked="0"/>
    </xf>
    <xf numFmtId="0" fontId="14" fillId="2" borderId="13" xfId="0" applyNumberFormat="1" applyFont="1" applyFill="1" applyBorder="1" applyAlignment="1" applyProtection="1">
      <alignment horizontal="right"/>
      <protection locked="0"/>
    </xf>
    <xf numFmtId="0" fontId="14" fillId="5" borderId="2" xfId="0" applyFont="1" applyFill="1" applyBorder="1" applyProtection="1">
      <protection locked="0"/>
    </xf>
    <xf numFmtId="0" fontId="14" fillId="2" borderId="3" xfId="0" applyNumberFormat="1" applyFont="1" applyFill="1" applyBorder="1" applyAlignment="1" applyProtection="1">
      <alignment horizontal="right"/>
      <protection locked="0"/>
    </xf>
    <xf numFmtId="0" fontId="14" fillId="2" borderId="35" xfId="0" applyNumberFormat="1" applyFont="1" applyFill="1" applyBorder="1" applyAlignment="1" applyProtection="1">
      <alignment horizontal="right"/>
      <protection locked="0"/>
    </xf>
    <xf numFmtId="0" fontId="6" fillId="0" borderId="0" xfId="10"/>
    <xf numFmtId="0" fontId="101" fillId="0" borderId="0" xfId="10" applyFont="1"/>
    <xf numFmtId="0" fontId="60" fillId="0" borderId="0" xfId="10" applyFont="1"/>
    <xf numFmtId="0" fontId="12" fillId="0" borderId="0" xfId="10" applyFont="1"/>
    <xf numFmtId="0" fontId="88" fillId="0" borderId="0" xfId="10" applyFont="1"/>
    <xf numFmtId="0" fontId="98" fillId="0" borderId="0" xfId="10" applyFont="1" applyFill="1"/>
    <xf numFmtId="0" fontId="98" fillId="0" borderId="0" xfId="10" applyFont="1" applyFill="1" applyAlignment="1">
      <alignment horizontal="left"/>
    </xf>
    <xf numFmtId="0" fontId="6" fillId="0" borderId="0" xfId="10" applyAlignment="1">
      <alignment horizontal="left"/>
    </xf>
    <xf numFmtId="0" fontId="6" fillId="0" borderId="0" xfId="10" applyFill="1" applyBorder="1" applyProtection="1"/>
    <xf numFmtId="0" fontId="104" fillId="0" borderId="0" xfId="10" applyFont="1" applyFill="1" applyAlignment="1">
      <alignment horizontal="left"/>
    </xf>
    <xf numFmtId="0" fontId="22" fillId="0" borderId="0" xfId="10" applyFont="1"/>
    <xf numFmtId="0" fontId="6" fillId="0" borderId="0" xfId="10" applyAlignment="1">
      <alignment horizontal="right"/>
    </xf>
    <xf numFmtId="0" fontId="22" fillId="0" borderId="0" xfId="10" applyFont="1" applyAlignment="1">
      <alignment horizontal="right"/>
    </xf>
    <xf numFmtId="1" fontId="22" fillId="0" borderId="0" xfId="10" applyNumberFormat="1" applyFont="1" applyAlignment="1">
      <alignment horizontal="center"/>
    </xf>
    <xf numFmtId="9" fontId="14" fillId="0" borderId="0" xfId="16" applyFont="1" applyAlignment="1">
      <alignment horizontal="right"/>
    </xf>
    <xf numFmtId="166" fontId="6" fillId="0" borderId="0" xfId="16" applyNumberFormat="1" applyFont="1" applyAlignment="1">
      <alignment horizontal="left"/>
    </xf>
    <xf numFmtId="0" fontId="21" fillId="4" borderId="38" xfId="10" applyFont="1" applyFill="1" applyBorder="1"/>
    <xf numFmtId="0" fontId="51" fillId="4" borderId="39" xfId="10" applyFont="1" applyFill="1" applyBorder="1"/>
    <xf numFmtId="0" fontId="51" fillId="4" borderId="39" xfId="10" applyFont="1" applyFill="1" applyBorder="1" applyAlignment="1">
      <alignment horizontal="right"/>
    </xf>
    <xf numFmtId="0" fontId="48" fillId="4" borderId="40" xfId="10" applyFont="1" applyFill="1" applyBorder="1" applyAlignment="1">
      <alignment horizontal="right"/>
    </xf>
    <xf numFmtId="0" fontId="51" fillId="4" borderId="18" xfId="16" applyNumberFormat="1" applyFont="1" applyFill="1" applyBorder="1" applyAlignment="1">
      <alignment horizontal="left"/>
    </xf>
    <xf numFmtId="0" fontId="21" fillId="4" borderId="22" xfId="10" applyFont="1" applyFill="1" applyBorder="1"/>
    <xf numFmtId="0" fontId="51" fillId="4" borderId="23" xfId="10" applyFont="1" applyFill="1" applyBorder="1"/>
    <xf numFmtId="0" fontId="51" fillId="4" borderId="23" xfId="10" applyFont="1" applyFill="1" applyBorder="1" applyAlignment="1">
      <alignment horizontal="right"/>
    </xf>
    <xf numFmtId="0" fontId="51" fillId="4" borderId="4" xfId="10" applyFont="1" applyFill="1" applyBorder="1" applyAlignment="1">
      <alignment horizontal="right"/>
    </xf>
    <xf numFmtId="0" fontId="51" fillId="4" borderId="19" xfId="16" applyNumberFormat="1" applyFont="1" applyFill="1" applyBorder="1" applyAlignment="1">
      <alignment horizontal="left"/>
    </xf>
    <xf numFmtId="9" fontId="48" fillId="4" borderId="4" xfId="16" applyFont="1" applyFill="1" applyBorder="1" applyAlignment="1">
      <alignment horizontal="right"/>
    </xf>
    <xf numFmtId="166" fontId="51" fillId="4" borderId="19" xfId="10" applyNumberFormat="1" applyFont="1" applyFill="1" applyBorder="1" applyAlignment="1">
      <alignment horizontal="left"/>
    </xf>
    <xf numFmtId="9" fontId="20" fillId="4" borderId="4" xfId="16" applyFont="1" applyFill="1" applyBorder="1" applyAlignment="1">
      <alignment horizontal="right"/>
    </xf>
    <xf numFmtId="166" fontId="51" fillId="4" borderId="19" xfId="16" applyNumberFormat="1" applyFont="1" applyFill="1" applyBorder="1" applyAlignment="1">
      <alignment horizontal="left"/>
    </xf>
    <xf numFmtId="0" fontId="6" fillId="0" borderId="41" xfId="10" applyBorder="1"/>
    <xf numFmtId="0" fontId="6" fillId="0" borderId="0" xfId="10" applyBorder="1"/>
    <xf numFmtId="0" fontId="6" fillId="0" borderId="42" xfId="10" applyBorder="1"/>
    <xf numFmtId="0" fontId="105" fillId="4" borderId="43" xfId="10" applyFont="1" applyFill="1" applyBorder="1" applyAlignment="1">
      <alignment horizontal="center"/>
    </xf>
    <xf numFmtId="0" fontId="105" fillId="4" borderId="5" xfId="10" applyFont="1" applyFill="1" applyBorder="1" applyAlignment="1">
      <alignment horizontal="center"/>
    </xf>
    <xf numFmtId="0" fontId="106" fillId="4" borderId="5" xfId="10" applyFont="1" applyFill="1" applyBorder="1" applyAlignment="1">
      <alignment horizontal="center"/>
    </xf>
    <xf numFmtId="0" fontId="21" fillId="4" borderId="5" xfId="10" applyFont="1" applyFill="1" applyBorder="1"/>
    <xf numFmtId="0" fontId="106" fillId="4" borderId="44" xfId="10" applyFont="1" applyFill="1" applyBorder="1" applyAlignment="1">
      <alignment horizontal="center"/>
    </xf>
    <xf numFmtId="0" fontId="51" fillId="4" borderId="26" xfId="10" applyFont="1" applyFill="1" applyBorder="1"/>
    <xf numFmtId="0" fontId="51" fillId="4" borderId="7" xfId="10" applyFont="1" applyFill="1" applyBorder="1" applyAlignment="1">
      <alignment horizontal="center"/>
    </xf>
    <xf numFmtId="165" fontId="51" fillId="4" borderId="7" xfId="10" applyNumberFormat="1" applyFont="1" applyFill="1" applyBorder="1"/>
    <xf numFmtId="165" fontId="51" fillId="4" borderId="30" xfId="10" applyNumberFormat="1" applyFont="1" applyFill="1" applyBorder="1"/>
    <xf numFmtId="0" fontId="51" fillId="4" borderId="16" xfId="10" applyFont="1" applyFill="1" applyBorder="1"/>
    <xf numFmtId="0" fontId="51" fillId="4" borderId="2" xfId="10" applyFont="1" applyFill="1" applyBorder="1" applyAlignment="1">
      <alignment horizontal="center"/>
    </xf>
    <xf numFmtId="165" fontId="51" fillId="4" borderId="2" xfId="10" applyNumberFormat="1" applyFont="1" applyFill="1" applyBorder="1"/>
    <xf numFmtId="165" fontId="51" fillId="4" borderId="19" xfId="10" applyNumberFormat="1" applyFont="1" applyFill="1" applyBorder="1"/>
    <xf numFmtId="0" fontId="51" fillId="4" borderId="20" xfId="10" applyFont="1" applyFill="1" applyBorder="1"/>
    <xf numFmtId="0" fontId="51" fillId="4" borderId="45" xfId="10" applyFont="1" applyFill="1" applyBorder="1" applyAlignment="1">
      <alignment horizontal="center"/>
    </xf>
    <xf numFmtId="165" fontId="51" fillId="4" borderId="45" xfId="10" applyNumberFormat="1" applyFont="1" applyFill="1" applyBorder="1"/>
    <xf numFmtId="165" fontId="51" fillId="4" borderId="21" xfId="10" applyNumberFormat="1" applyFont="1" applyFill="1" applyBorder="1"/>
    <xf numFmtId="0" fontId="6" fillId="0" borderId="0" xfId="10" quotePrefix="1"/>
    <xf numFmtId="0" fontId="6" fillId="0" borderId="0" xfId="10" applyAlignment="1">
      <alignment horizontal="center"/>
    </xf>
    <xf numFmtId="0" fontId="107" fillId="0" borderId="0" xfId="10" applyFont="1"/>
    <xf numFmtId="0" fontId="22" fillId="0" borderId="0" xfId="10" applyFont="1" applyAlignment="1">
      <alignment horizontal="center"/>
    </xf>
    <xf numFmtId="0" fontId="12" fillId="0" borderId="0" xfId="10" applyFont="1" applyAlignment="1">
      <alignment horizontal="centerContinuous"/>
    </xf>
    <xf numFmtId="0" fontId="6" fillId="0" borderId="0" xfId="10" applyAlignment="1">
      <alignment horizontal="centerContinuous"/>
    </xf>
    <xf numFmtId="0" fontId="12" fillId="0" borderId="11" xfId="10" applyFont="1" applyBorder="1" applyAlignment="1">
      <alignment horizontal="centerContinuous"/>
    </xf>
    <xf numFmtId="0" fontId="6" fillId="0" borderId="11" xfId="10" applyBorder="1"/>
    <xf numFmtId="0" fontId="6" fillId="0" borderId="13" xfId="10" applyBorder="1"/>
    <xf numFmtId="0" fontId="12" fillId="0" borderId="0" xfId="10" applyFont="1" applyAlignment="1">
      <alignment horizontal="center"/>
    </xf>
    <xf numFmtId="0" fontId="12" fillId="0" borderId="2" xfId="10" applyFont="1" applyBorder="1" applyAlignment="1">
      <alignment horizontal="center"/>
    </xf>
    <xf numFmtId="0" fontId="12" fillId="0" borderId="6" xfId="10" applyFont="1" applyBorder="1" applyAlignment="1">
      <alignment horizontal="center"/>
    </xf>
    <xf numFmtId="0" fontId="12" fillId="0" borderId="2" xfId="10" quotePrefix="1" applyFont="1" applyBorder="1"/>
    <xf numFmtId="0" fontId="6" fillId="0" borderId="2" xfId="10" applyFill="1" applyBorder="1" applyProtection="1"/>
    <xf numFmtId="0" fontId="6" fillId="0" borderId="6" xfId="10" applyBorder="1"/>
    <xf numFmtId="0" fontId="56" fillId="0" borderId="7" xfId="10" applyFont="1" applyBorder="1" applyAlignment="1">
      <alignment horizontal="center"/>
    </xf>
    <xf numFmtId="0" fontId="12" fillId="0" borderId="2" xfId="10" applyFont="1" applyBorder="1"/>
    <xf numFmtId="0" fontId="6" fillId="0" borderId="2" xfId="10" applyBorder="1"/>
    <xf numFmtId="0" fontId="6" fillId="9" borderId="2" xfId="10" applyFill="1" applyBorder="1"/>
    <xf numFmtId="0" fontId="71" fillId="0" borderId="5" xfId="10" applyFont="1" applyBorder="1"/>
    <xf numFmtId="0" fontId="12" fillId="0" borderId="0" xfId="10" applyFont="1" applyAlignment="1">
      <alignment horizontal="right"/>
    </xf>
    <xf numFmtId="0" fontId="6" fillId="0" borderId="14" xfId="10" applyBorder="1"/>
    <xf numFmtId="0" fontId="6" fillId="0" borderId="15" xfId="10" applyBorder="1"/>
    <xf numFmtId="0" fontId="6" fillId="0" borderId="7" xfId="10" applyBorder="1"/>
    <xf numFmtId="0" fontId="6" fillId="0" borderId="3" xfId="10" applyBorder="1"/>
    <xf numFmtId="0" fontId="6" fillId="0" borderId="23" xfId="10" applyBorder="1"/>
    <xf numFmtId="0" fontId="6" fillId="0" borderId="4" xfId="10" applyBorder="1"/>
    <xf numFmtId="0" fontId="6" fillId="0" borderId="4" xfId="10" applyBorder="1" applyAlignment="1">
      <alignment horizontal="centerContinuous"/>
    </xf>
    <xf numFmtId="0" fontId="12" fillId="0" borderId="7" xfId="10" applyFont="1" applyBorder="1" applyAlignment="1">
      <alignment horizontal="center"/>
    </xf>
    <xf numFmtId="0" fontId="6" fillId="0" borderId="46" xfId="10" applyBorder="1" applyAlignment="1">
      <alignment horizontal="center"/>
    </xf>
    <xf numFmtId="0" fontId="6" fillId="9" borderId="47" xfId="10" applyFill="1" applyBorder="1" applyProtection="1"/>
    <xf numFmtId="0" fontId="6" fillId="0" borderId="2" xfId="10" applyBorder="1" applyAlignment="1">
      <alignment horizontal="center"/>
    </xf>
    <xf numFmtId="0" fontId="23" fillId="0" borderId="0" xfId="10" applyFont="1"/>
    <xf numFmtId="0" fontId="6" fillId="0" borderId="48" xfId="10" applyBorder="1" applyAlignment="1">
      <alignment horizontal="center"/>
    </xf>
    <xf numFmtId="0" fontId="6" fillId="9" borderId="49" xfId="10" applyFill="1" applyBorder="1" applyProtection="1"/>
    <xf numFmtId="0" fontId="13" fillId="0" borderId="0" xfId="10" applyFont="1"/>
    <xf numFmtId="0" fontId="6" fillId="0" borderId="0" xfId="10" applyFill="1"/>
    <xf numFmtId="0" fontId="20" fillId="3" borderId="0" xfId="10" applyFont="1" applyFill="1"/>
    <xf numFmtId="0" fontId="6" fillId="2" borderId="0" xfId="10" applyFill="1"/>
    <xf numFmtId="165" fontId="6" fillId="2" borderId="0" xfId="10" applyNumberFormat="1" applyFill="1"/>
    <xf numFmtId="0" fontId="12" fillId="0" borderId="2" xfId="10" applyFont="1" applyFill="1" applyBorder="1" applyAlignment="1">
      <alignment horizontal="center"/>
    </xf>
    <xf numFmtId="0" fontId="20" fillId="3" borderId="2" xfId="10" applyFont="1" applyFill="1" applyBorder="1"/>
    <xf numFmtId="0" fontId="6" fillId="9" borderId="2" xfId="10" applyFill="1" applyBorder="1" applyProtection="1"/>
    <xf numFmtId="0" fontId="6" fillId="2" borderId="0" xfId="10" applyFill="1" applyAlignment="1">
      <alignment horizontal="center"/>
    </xf>
    <xf numFmtId="0" fontId="6" fillId="0" borderId="0" xfId="10" applyFill="1" applyBorder="1" applyAlignment="1" applyProtection="1">
      <alignment horizontal="left"/>
    </xf>
    <xf numFmtId="0" fontId="6" fillId="9" borderId="2" xfId="10" applyFill="1" applyBorder="1" applyAlignment="1" applyProtection="1">
      <alignment horizontal="left"/>
    </xf>
    <xf numFmtId="0" fontId="98" fillId="0" borderId="0" xfId="10" applyFont="1" applyFill="1" applyAlignment="1">
      <alignment horizontal="right"/>
    </xf>
    <xf numFmtId="9" fontId="4" fillId="2" borderId="0" xfId="16" applyFont="1" applyFill="1" applyAlignment="1">
      <alignment horizontal="right"/>
    </xf>
    <xf numFmtId="9" fontId="14" fillId="2" borderId="0" xfId="16" applyFont="1" applyFill="1" applyAlignment="1">
      <alignment horizontal="right"/>
    </xf>
    <xf numFmtId="0" fontId="12" fillId="2" borderId="0" xfId="10" applyFont="1" applyFill="1" applyAlignment="1">
      <alignment horizontal="center"/>
    </xf>
    <xf numFmtId="0" fontId="56" fillId="2" borderId="0" xfId="10" applyFont="1" applyFill="1" applyAlignment="1">
      <alignment horizontal="center"/>
    </xf>
    <xf numFmtId="0" fontId="22" fillId="0" borderId="0" xfId="10" applyFont="1" applyFill="1"/>
    <xf numFmtId="0" fontId="22" fillId="0" borderId="0" xfId="10" applyFont="1" applyFill="1" applyAlignment="1">
      <alignment horizontal="right"/>
    </xf>
    <xf numFmtId="0" fontId="22" fillId="2" borderId="0" xfId="10" applyFont="1" applyFill="1"/>
    <xf numFmtId="0" fontId="4" fillId="0" borderId="0" xfId="10" applyFont="1" applyFill="1" applyAlignment="1">
      <alignment horizontal="right"/>
    </xf>
    <xf numFmtId="9" fontId="4" fillId="0" borderId="0" xfId="16" applyFont="1" applyFill="1" applyAlignment="1">
      <alignment horizontal="right"/>
    </xf>
    <xf numFmtId="9" fontId="14" fillId="0" borderId="0" xfId="16" applyFont="1" applyFill="1" applyAlignment="1">
      <alignment horizontal="right"/>
    </xf>
    <xf numFmtId="0" fontId="12" fillId="0" borderId="0" xfId="10" applyFont="1" applyBorder="1" applyAlignment="1">
      <alignment horizontal="center"/>
    </xf>
    <xf numFmtId="0" fontId="6" fillId="0" borderId="8" xfId="10" quotePrefix="1" applyBorder="1"/>
    <xf numFmtId="0" fontId="6" fillId="0" borderId="8" xfId="10" applyBorder="1"/>
    <xf numFmtId="0" fontId="12" fillId="0" borderId="3" xfId="10" applyFont="1" applyBorder="1" applyAlignment="1">
      <alignment horizontal="centerContinuous"/>
    </xf>
    <xf numFmtId="0" fontId="6" fillId="0" borderId="23" xfId="10" applyBorder="1" applyAlignment="1">
      <alignment horizontal="centerContinuous"/>
    </xf>
    <xf numFmtId="0" fontId="109" fillId="0" borderId="6" xfId="10" applyFont="1" applyBorder="1" applyAlignment="1">
      <alignment horizontal="center"/>
    </xf>
    <xf numFmtId="0" fontId="17" fillId="0" borderId="6" xfId="10" applyFont="1" applyBorder="1" applyAlignment="1">
      <alignment horizontal="center"/>
    </xf>
    <xf numFmtId="0" fontId="17" fillId="0" borderId="2" xfId="10" applyFont="1" applyBorder="1" applyAlignment="1">
      <alignment horizontal="center"/>
    </xf>
    <xf numFmtId="0" fontId="14" fillId="0" borderId="0" xfId="10" applyFont="1"/>
    <xf numFmtId="0" fontId="6" fillId="0" borderId="15" xfId="10" applyBorder="1" applyAlignment="1">
      <alignment horizontal="right"/>
    </xf>
    <xf numFmtId="0" fontId="6" fillId="0" borderId="4" xfId="10" applyBorder="1" applyAlignment="1">
      <alignment horizontal="right"/>
    </xf>
    <xf numFmtId="0" fontId="6" fillId="0" borderId="6" xfId="10" applyFill="1" applyBorder="1" applyProtection="1"/>
    <xf numFmtId="0" fontId="12" fillId="0" borderId="0" xfId="10" quotePrefix="1" applyFont="1" applyFill="1" applyBorder="1"/>
    <xf numFmtId="0" fontId="12" fillId="0" borderId="6" xfId="10" applyFont="1" applyFill="1" applyBorder="1" applyAlignment="1">
      <alignment horizontal="center"/>
    </xf>
    <xf numFmtId="0" fontId="12" fillId="0" borderId="7" xfId="10" applyFont="1" applyFill="1" applyBorder="1" applyAlignment="1">
      <alignment horizontal="center"/>
    </xf>
    <xf numFmtId="0" fontId="22" fillId="0" borderId="3" xfId="10" applyFont="1" applyFill="1" applyBorder="1" applyAlignment="1">
      <alignment horizontal="center"/>
    </xf>
    <xf numFmtId="0" fontId="12" fillId="9" borderId="50" xfId="10" applyFont="1" applyFill="1" applyBorder="1" applyAlignment="1">
      <alignment horizontal="right"/>
    </xf>
    <xf numFmtId="0" fontId="22" fillId="0" borderId="0" xfId="10" applyFont="1" applyBorder="1"/>
    <xf numFmtId="0" fontId="14" fillId="9" borderId="50" xfId="10" applyFont="1" applyFill="1" applyBorder="1" applyAlignment="1">
      <alignment horizontal="center"/>
    </xf>
    <xf numFmtId="0" fontId="6" fillId="0" borderId="2" xfId="10" applyBorder="1" applyAlignment="1">
      <alignment horizontal="right"/>
    </xf>
    <xf numFmtId="0" fontId="6" fillId="9" borderId="2" xfId="10" applyFill="1" applyBorder="1" applyAlignment="1" applyProtection="1">
      <alignment horizontal="center"/>
    </xf>
    <xf numFmtId="0" fontId="6" fillId="2" borderId="2" xfId="10" applyFill="1" applyBorder="1"/>
    <xf numFmtId="0" fontId="6" fillId="9" borderId="2" xfId="10" applyFill="1" applyBorder="1" applyAlignment="1" applyProtection="1">
      <alignment horizontal="right"/>
    </xf>
    <xf numFmtId="0" fontId="20" fillId="4" borderId="0" xfId="10" applyFont="1" applyFill="1"/>
    <xf numFmtId="0" fontId="20" fillId="4" borderId="0" xfId="10" applyFont="1" applyFill="1" applyAlignment="1">
      <alignment horizontal="right"/>
    </xf>
    <xf numFmtId="0" fontId="20" fillId="4" borderId="0" xfId="10" applyFont="1" applyFill="1" applyBorder="1" applyAlignment="1" applyProtection="1">
      <alignment horizontal="left"/>
    </xf>
    <xf numFmtId="0" fontId="20" fillId="11" borderId="2" xfId="10" applyFont="1" applyFill="1" applyBorder="1" applyAlignment="1" applyProtection="1">
      <alignment horizontal="left"/>
    </xf>
    <xf numFmtId="0" fontId="20" fillId="4" borderId="0" xfId="10" applyFont="1" applyFill="1" applyAlignment="1">
      <alignment horizontal="left"/>
    </xf>
    <xf numFmtId="0" fontId="6" fillId="2" borderId="8" xfId="10" applyFill="1" applyBorder="1" applyAlignment="1">
      <alignment horizontal="centerContinuous"/>
    </xf>
    <xf numFmtId="0" fontId="6" fillId="2" borderId="9" xfId="10" applyFill="1" applyBorder="1" applyAlignment="1">
      <alignment horizontal="centerContinuous"/>
    </xf>
    <xf numFmtId="0" fontId="6" fillId="2" borderId="9" xfId="10" applyFill="1" applyBorder="1"/>
    <xf numFmtId="0" fontId="6" fillId="2" borderId="10" xfId="10" applyFill="1" applyBorder="1" applyAlignment="1">
      <alignment horizontal="centerContinuous"/>
    </xf>
    <xf numFmtId="0" fontId="6" fillId="2" borderId="11" xfId="10" applyFill="1" applyBorder="1"/>
    <xf numFmtId="0" fontId="6" fillId="2" borderId="0" xfId="10" applyFill="1" applyBorder="1" applyAlignment="1">
      <alignment horizontal="center"/>
    </xf>
    <xf numFmtId="0" fontId="6" fillId="2" borderId="11" xfId="10" applyFill="1" applyBorder="1" applyAlignment="1">
      <alignment horizontal="center"/>
    </xf>
    <xf numFmtId="0" fontId="6" fillId="2" borderId="0" xfId="10" applyFill="1" applyBorder="1"/>
    <xf numFmtId="0" fontId="6" fillId="2" borderId="33" xfId="10" applyFill="1" applyBorder="1" applyAlignment="1">
      <alignment horizontal="center"/>
    </xf>
    <xf numFmtId="0" fontId="21" fillId="4" borderId="0" xfId="10" applyFont="1" applyFill="1" applyAlignment="1">
      <alignment horizontal="right"/>
    </xf>
    <xf numFmtId="0" fontId="21" fillId="4" borderId="0" xfId="10" applyFont="1" applyFill="1"/>
    <xf numFmtId="0" fontId="6" fillId="2" borderId="13" xfId="10" applyFill="1" applyBorder="1" applyAlignment="1">
      <alignment horizontal="center"/>
    </xf>
    <xf numFmtId="0" fontId="6" fillId="2" borderId="14" xfId="10" applyFill="1" applyBorder="1"/>
    <xf numFmtId="0" fontId="6" fillId="2" borderId="14" xfId="10" applyFill="1" applyBorder="1" applyAlignment="1">
      <alignment horizontal="center"/>
    </xf>
    <xf numFmtId="0" fontId="12" fillId="2" borderId="2" xfId="10" applyFont="1" applyFill="1" applyBorder="1" applyAlignment="1">
      <alignment horizontal="center"/>
    </xf>
    <xf numFmtId="0" fontId="6" fillId="2" borderId="5" xfId="10" applyFill="1" applyBorder="1"/>
    <xf numFmtId="0" fontId="6" fillId="2" borderId="7" xfId="10" applyFill="1" applyBorder="1"/>
    <xf numFmtId="0" fontId="6" fillId="0" borderId="25" xfId="10" applyBorder="1"/>
    <xf numFmtId="0" fontId="13" fillId="0" borderId="0" xfId="10" applyFont="1" applyAlignment="1">
      <alignment horizontal="center"/>
    </xf>
    <xf numFmtId="0" fontId="17" fillId="0" borderId="7" xfId="10" applyFont="1" applyBorder="1" applyAlignment="1">
      <alignment horizontal="center"/>
    </xf>
    <xf numFmtId="0" fontId="13" fillId="0" borderId="46" xfId="10" applyFont="1" applyBorder="1" applyAlignment="1">
      <alignment horizontal="center"/>
    </xf>
    <xf numFmtId="0" fontId="13" fillId="9" borderId="47" xfId="10" applyFont="1" applyFill="1" applyBorder="1" applyProtection="1"/>
    <xf numFmtId="0" fontId="13" fillId="0" borderId="2" xfId="10" applyFont="1" applyBorder="1" applyAlignment="1">
      <alignment horizontal="center"/>
    </xf>
    <xf numFmtId="0" fontId="12" fillId="0" borderId="0" xfId="10" applyFont="1" applyBorder="1" applyAlignment="1">
      <alignment horizontal="centerContinuous"/>
    </xf>
    <xf numFmtId="0" fontId="12" fillId="0" borderId="10" xfId="10" applyFont="1" applyBorder="1" applyAlignment="1">
      <alignment horizontal="center" vertical="center"/>
    </xf>
    <xf numFmtId="0" fontId="6" fillId="0" borderId="3" xfId="10" quotePrefix="1" applyFont="1" applyBorder="1"/>
    <xf numFmtId="0" fontId="6" fillId="0" borderId="3" xfId="10" applyFont="1" applyBorder="1"/>
    <xf numFmtId="0" fontId="12" fillId="0" borderId="4" xfId="10" applyFont="1" applyBorder="1" applyAlignment="1">
      <alignment horizontal="center" vertical="center"/>
    </xf>
    <xf numFmtId="0" fontId="12" fillId="0" borderId="12" xfId="10" applyFont="1" applyBorder="1" applyAlignment="1">
      <alignment horizontal="center" vertical="center"/>
    </xf>
    <xf numFmtId="0" fontId="90" fillId="0" borderId="2" xfId="10" applyFont="1" applyBorder="1" applyAlignment="1">
      <alignment horizontal="center"/>
    </xf>
    <xf numFmtId="0" fontId="100" fillId="0" borderId="0" xfId="10" applyFont="1"/>
    <xf numFmtId="0" fontId="90" fillId="0" borderId="6" xfId="10" applyFont="1" applyBorder="1" applyAlignment="1">
      <alignment horizontal="center"/>
    </xf>
    <xf numFmtId="0" fontId="100" fillId="0" borderId="2" xfId="10" quotePrefix="1" applyFont="1" applyBorder="1"/>
    <xf numFmtId="0" fontId="100" fillId="0" borderId="2" xfId="10" applyFont="1" applyFill="1" applyBorder="1" applyProtection="1"/>
    <xf numFmtId="0" fontId="100" fillId="0" borderId="2" xfId="10" applyFont="1" applyBorder="1"/>
    <xf numFmtId="0" fontId="100" fillId="9" borderId="2" xfId="10" applyFont="1" applyFill="1" applyBorder="1"/>
    <xf numFmtId="0" fontId="111" fillId="0" borderId="7" xfId="10" applyFont="1" applyBorder="1" applyAlignment="1">
      <alignment horizontal="center"/>
    </xf>
    <xf numFmtId="0" fontId="13" fillId="0" borderId="48" xfId="10" applyFont="1" applyBorder="1" applyAlignment="1">
      <alignment horizontal="center"/>
    </xf>
    <xf numFmtId="0" fontId="13" fillId="9" borderId="49" xfId="10" applyFont="1" applyFill="1" applyBorder="1" applyProtection="1"/>
    <xf numFmtId="0" fontId="13" fillId="0" borderId="0" xfId="10" applyFont="1" applyAlignment="1">
      <alignment horizontal="right"/>
    </xf>
    <xf numFmtId="0" fontId="19" fillId="3" borderId="0" xfId="10" applyFont="1" applyFill="1"/>
    <xf numFmtId="0" fontId="19" fillId="3" borderId="2" xfId="10" applyFont="1" applyFill="1" applyBorder="1"/>
    <xf numFmtId="0" fontId="17" fillId="0" borderId="2" xfId="10" applyFont="1" applyBorder="1"/>
    <xf numFmtId="0" fontId="17" fillId="0" borderId="2" xfId="10" quotePrefix="1" applyFont="1" applyBorder="1"/>
    <xf numFmtId="0" fontId="6" fillId="2" borderId="0" xfId="10" quotePrefix="1" applyFill="1"/>
    <xf numFmtId="0" fontId="13" fillId="2" borderId="0" xfId="10" applyFont="1" applyFill="1"/>
    <xf numFmtId="0" fontId="6" fillId="2" borderId="15" xfId="10" applyFill="1" applyBorder="1"/>
    <xf numFmtId="0" fontId="6" fillId="2" borderId="12" xfId="10" applyFill="1" applyBorder="1"/>
    <xf numFmtId="0" fontId="14" fillId="0" borderId="0" xfId="0" applyNumberFormat="1" applyFont="1" applyProtection="1">
      <protection locked="0"/>
    </xf>
    <xf numFmtId="0" fontId="14" fillId="6" borderId="0" xfId="0" applyFont="1" applyFill="1" applyBorder="1" applyProtection="1">
      <protection locked="0"/>
    </xf>
    <xf numFmtId="0" fontId="22" fillId="0" borderId="0" xfId="0" applyFont="1" applyBorder="1" applyAlignment="1">
      <alignment horizontal="right"/>
    </xf>
    <xf numFmtId="0" fontId="22" fillId="6" borderId="0" xfId="0" applyFont="1" applyFill="1" applyBorder="1" applyAlignment="1" applyProtection="1">
      <alignment horizontal="right"/>
      <protection locked="0"/>
    </xf>
    <xf numFmtId="16" fontId="14" fillId="7" borderId="3" xfId="0" applyNumberFormat="1" applyFont="1" applyFill="1" applyBorder="1" applyAlignment="1" applyProtection="1">
      <alignment horizontal="left"/>
      <protection locked="0"/>
    </xf>
    <xf numFmtId="0" fontId="14" fillId="7" borderId="23" xfId="0" applyFont="1" applyFill="1" applyBorder="1" applyAlignment="1" applyProtection="1">
      <alignment horizontal="left"/>
      <protection locked="0"/>
    </xf>
    <xf numFmtId="0" fontId="14" fillId="7" borderId="4" xfId="0" applyFont="1" applyFill="1" applyBorder="1" applyAlignment="1" applyProtection="1">
      <alignment horizontal="left"/>
      <protection locked="0"/>
    </xf>
    <xf numFmtId="0" fontId="14" fillId="7" borderId="3" xfId="0" applyFont="1" applyFill="1" applyBorder="1"/>
    <xf numFmtId="0" fontId="14" fillId="7" borderId="23" xfId="0" applyFont="1" applyFill="1" applyBorder="1"/>
    <xf numFmtId="0" fontId="14" fillId="7" borderId="4" xfId="0" applyFont="1" applyFill="1" applyBorder="1"/>
    <xf numFmtId="17" fontId="0" fillId="7" borderId="5" xfId="0" applyNumberFormat="1" applyFill="1" applyBorder="1"/>
    <xf numFmtId="0" fontId="0" fillId="7" borderId="5" xfId="0" applyFill="1" applyBorder="1"/>
    <xf numFmtId="17" fontId="5" fillId="7" borderId="5" xfId="0" applyNumberFormat="1" applyFont="1" applyFill="1" applyBorder="1"/>
    <xf numFmtId="0" fontId="112" fillId="0" borderId="2" xfId="0" applyFont="1" applyBorder="1" applyAlignment="1">
      <alignment horizontal="right"/>
    </xf>
    <xf numFmtId="0" fontId="112" fillId="0" borderId="7" xfId="0" applyFont="1" applyBorder="1" applyAlignment="1">
      <alignment horizontal="center"/>
    </xf>
    <xf numFmtId="0" fontId="98" fillId="0" borderId="0" xfId="0" applyFont="1" applyAlignment="1">
      <alignment horizontal="right"/>
    </xf>
    <xf numFmtId="0" fontId="14" fillId="6" borderId="2" xfId="0" applyFont="1" applyFill="1" applyBorder="1" applyProtection="1">
      <protection locked="0"/>
    </xf>
    <xf numFmtId="0" fontId="5" fillId="0" borderId="2" xfId="0" applyFont="1" applyBorder="1" applyAlignment="1">
      <alignment horizontal="right"/>
    </xf>
    <xf numFmtId="0" fontId="5" fillId="0" borderId="7" xfId="0" applyFont="1" applyBorder="1" applyAlignment="1">
      <alignment horizontal="center"/>
    </xf>
    <xf numFmtId="0" fontId="104" fillId="0" borderId="0" xfId="0" applyFont="1" applyAlignment="1">
      <alignment horizontal="right"/>
    </xf>
    <xf numFmtId="9" fontId="5" fillId="0" borderId="2" xfId="0" applyNumberFormat="1" applyFont="1" applyBorder="1" applyAlignment="1">
      <alignment horizontal="right"/>
    </xf>
    <xf numFmtId="0" fontId="95" fillId="0" borderId="0" xfId="0" applyFont="1" applyAlignment="1">
      <alignment horizontal="right"/>
    </xf>
    <xf numFmtId="0" fontId="22" fillId="6" borderId="2" xfId="0" applyFont="1" applyFill="1" applyBorder="1" applyProtection="1">
      <protection locked="0"/>
    </xf>
    <xf numFmtId="0" fontId="82" fillId="0" borderId="0" xfId="0" applyFont="1"/>
    <xf numFmtId="0" fontId="14" fillId="2" borderId="0" xfId="0" applyNumberFormat="1" applyFont="1" applyFill="1"/>
    <xf numFmtId="0" fontId="16" fillId="0" borderId="2" xfId="0" applyFont="1" applyBorder="1" applyAlignment="1">
      <alignment horizontal="right"/>
    </xf>
    <xf numFmtId="9" fontId="5" fillId="0" borderId="7" xfId="16" applyFont="1" applyBorder="1" applyAlignment="1">
      <alignment horizontal="right"/>
    </xf>
    <xf numFmtId="1" fontId="14" fillId="2" borderId="0" xfId="0" applyNumberFormat="1" applyFont="1" applyFill="1"/>
    <xf numFmtId="0" fontId="14" fillId="2" borderId="0" xfId="0" applyFont="1" applyFill="1"/>
    <xf numFmtId="0" fontId="21" fillId="4" borderId="2" xfId="0" applyFont="1" applyFill="1" applyBorder="1" applyAlignment="1">
      <alignment horizontal="center"/>
    </xf>
    <xf numFmtId="0" fontId="113" fillId="4" borderId="2" xfId="0" applyFont="1" applyFill="1" applyBorder="1" applyAlignment="1">
      <alignment horizontal="center"/>
    </xf>
    <xf numFmtId="0" fontId="113" fillId="4" borderId="6" xfId="0" applyFont="1" applyFill="1" applyBorder="1" applyAlignment="1">
      <alignment horizontal="center"/>
    </xf>
    <xf numFmtId="0" fontId="113" fillId="4" borderId="8" xfId="0" applyFont="1" applyFill="1" applyBorder="1" applyAlignment="1">
      <alignment horizontal="center"/>
    </xf>
    <xf numFmtId="0" fontId="65" fillId="4" borderId="2" xfId="0" applyFont="1" applyFill="1" applyBorder="1"/>
    <xf numFmtId="0" fontId="47" fillId="4" borderId="2" xfId="0" applyFont="1" applyFill="1" applyBorder="1"/>
    <xf numFmtId="0" fontId="21" fillId="4" borderId="2" xfId="0" quotePrefix="1" applyFont="1" applyFill="1" applyBorder="1" applyAlignment="1">
      <alignment horizontal="left"/>
    </xf>
    <xf numFmtId="0" fontId="113" fillId="4" borderId="4" xfId="0" applyFont="1" applyFill="1" applyBorder="1" applyAlignment="1">
      <alignment horizontal="right"/>
    </xf>
    <xf numFmtId="0" fontId="114" fillId="4" borderId="2" xfId="0" applyFont="1" applyFill="1" applyBorder="1"/>
    <xf numFmtId="0" fontId="114" fillId="8" borderId="3" xfId="0" applyFont="1" applyFill="1" applyBorder="1"/>
    <xf numFmtId="0" fontId="0" fillId="12" borderId="2" xfId="0" applyFill="1" applyBorder="1"/>
    <xf numFmtId="0" fontId="21" fillId="4" borderId="4" xfId="0" applyFont="1" applyFill="1" applyBorder="1"/>
    <xf numFmtId="0" fontId="114" fillId="4" borderId="3" xfId="0" quotePrefix="1" applyFont="1" applyFill="1" applyBorder="1"/>
    <xf numFmtId="0" fontId="114" fillId="4" borderId="3" xfId="0" applyFont="1" applyFill="1" applyBorder="1"/>
    <xf numFmtId="0" fontId="21" fillId="4" borderId="2" xfId="0" applyFont="1" applyFill="1" applyBorder="1"/>
    <xf numFmtId="0" fontId="0" fillId="12" borderId="2" xfId="0" applyFill="1" applyBorder="1" applyAlignment="1">
      <alignment horizontal="right"/>
    </xf>
    <xf numFmtId="0" fontId="65" fillId="4" borderId="2" xfId="0" applyFont="1" applyFill="1" applyBorder="1" applyAlignment="1">
      <alignment horizontal="right"/>
    </xf>
    <xf numFmtId="0" fontId="13" fillId="2" borderId="4" xfId="0" applyFont="1" applyFill="1" applyBorder="1" applyAlignment="1">
      <alignment horizontal="center"/>
    </xf>
    <xf numFmtId="0" fontId="22" fillId="2" borderId="2" xfId="0" applyFont="1" applyFill="1" applyBorder="1"/>
    <xf numFmtId="0" fontId="14" fillId="2" borderId="4" xfId="0" applyFont="1" applyFill="1" applyBorder="1"/>
    <xf numFmtId="0" fontId="14" fillId="2" borderId="2" xfId="0" quotePrefix="1" applyFont="1" applyFill="1" applyBorder="1"/>
    <xf numFmtId="0" fontId="14" fillId="2" borderId="2" xfId="0" applyFont="1" applyFill="1" applyBorder="1"/>
    <xf numFmtId="0" fontId="27" fillId="0" borderId="2" xfId="0" applyFont="1" applyBorder="1" applyAlignment="1">
      <alignment horizontal="right"/>
    </xf>
    <xf numFmtId="0" fontId="27" fillId="0" borderId="7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7" xfId="0" applyBorder="1" applyAlignment="1">
      <alignment horizontal="center"/>
    </xf>
    <xf numFmtId="9" fontId="0" fillId="0" borderId="2" xfId="0" applyNumberFormat="1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14" fillId="2" borderId="4" xfId="0" applyFont="1" applyFill="1" applyBorder="1" applyAlignment="1">
      <alignment horizontal="right"/>
    </xf>
    <xf numFmtId="0" fontId="114" fillId="4" borderId="5" xfId="0" applyFont="1" applyFill="1" applyBorder="1" applyAlignment="1">
      <alignment horizontal="center"/>
    </xf>
    <xf numFmtId="0" fontId="115" fillId="4" borderId="5" xfId="0" applyFont="1" applyFill="1" applyBorder="1" applyAlignment="1">
      <alignment horizontal="center"/>
    </xf>
    <xf numFmtId="0" fontId="21" fillId="4" borderId="5" xfId="0" applyFont="1" applyFill="1" applyBorder="1" applyAlignment="1">
      <alignment horizontal="center"/>
    </xf>
    <xf numFmtId="0" fontId="117" fillId="4" borderId="2" xfId="0" applyFont="1" applyFill="1" applyBorder="1" applyProtection="1">
      <protection locked="0"/>
    </xf>
    <xf numFmtId="167" fontId="117" fillId="4" borderId="2" xfId="0" applyNumberFormat="1" applyFont="1" applyFill="1" applyBorder="1"/>
    <xf numFmtId="0" fontId="114" fillId="4" borderId="2" xfId="0" applyFont="1" applyFill="1" applyBorder="1" applyAlignment="1">
      <alignment horizontal="right"/>
    </xf>
    <xf numFmtId="166" fontId="114" fillId="4" borderId="2" xfId="0" applyNumberFormat="1" applyFont="1" applyFill="1" applyBorder="1" applyAlignment="1">
      <alignment horizontal="center"/>
    </xf>
    <xf numFmtId="0" fontId="20" fillId="4" borderId="7" xfId="0" applyFont="1" applyFill="1" applyBorder="1" applyAlignment="1">
      <alignment horizontal="center"/>
    </xf>
    <xf numFmtId="0" fontId="106" fillId="4" borderId="5" xfId="0" applyFont="1" applyFill="1" applyBorder="1" applyAlignment="1">
      <alignment horizontal="center"/>
    </xf>
    <xf numFmtId="168" fontId="20" fillId="4" borderId="7" xfId="16" applyNumberFormat="1" applyFont="1" applyFill="1" applyBorder="1" applyAlignment="1">
      <alignment horizontal="center"/>
    </xf>
    <xf numFmtId="0" fontId="0" fillId="13" borderId="0" xfId="0" applyFill="1" applyBorder="1"/>
    <xf numFmtId="0" fontId="112" fillId="2" borderId="2" xfId="0" applyFont="1" applyFill="1" applyBorder="1" applyAlignment="1">
      <alignment horizontal="right"/>
    </xf>
    <xf numFmtId="0" fontId="0" fillId="2" borderId="2" xfId="0" applyFill="1" applyBorder="1"/>
    <xf numFmtId="0" fontId="118" fillId="4" borderId="0" xfId="0" applyFont="1" applyFill="1"/>
    <xf numFmtId="0" fontId="65" fillId="4" borderId="0" xfId="0" applyFont="1" applyFill="1" applyAlignment="1">
      <alignment horizontal="center"/>
    </xf>
    <xf numFmtId="0" fontId="118" fillId="4" borderId="0" xfId="0" applyFont="1" applyFill="1" applyAlignment="1">
      <alignment horizontal="right"/>
    </xf>
    <xf numFmtId="0" fontId="65" fillId="4" borderId="0" xfId="0" applyFont="1" applyFill="1"/>
    <xf numFmtId="0" fontId="31" fillId="4" borderId="0" xfId="0" applyFont="1" applyFill="1" applyAlignment="1">
      <alignment horizontal="center"/>
    </xf>
    <xf numFmtId="0" fontId="118" fillId="4" borderId="0" xfId="0" applyFont="1" applyFill="1" applyBorder="1" applyAlignment="1">
      <alignment horizontal="right"/>
    </xf>
    <xf numFmtId="0" fontId="65" fillId="4" borderId="0" xfId="0" applyFont="1" applyFill="1" applyBorder="1"/>
    <xf numFmtId="0" fontId="118" fillId="4" borderId="51" xfId="0" applyFont="1" applyFill="1" applyBorder="1" applyAlignment="1">
      <alignment horizontal="right"/>
    </xf>
    <xf numFmtId="0" fontId="65" fillId="4" borderId="51" xfId="0" applyFont="1" applyFill="1" applyBorder="1"/>
    <xf numFmtId="0" fontId="118" fillId="4" borderId="0" xfId="0" applyFont="1" applyFill="1" applyBorder="1" applyAlignment="1">
      <alignment horizontal="left"/>
    </xf>
    <xf numFmtId="0" fontId="118" fillId="4" borderId="0" xfId="0" applyFont="1" applyFill="1" applyAlignment="1">
      <alignment horizontal="left"/>
    </xf>
    <xf numFmtId="0" fontId="0" fillId="0" borderId="0" xfId="0" applyBorder="1" applyAlignment="1">
      <alignment horizontal="right"/>
    </xf>
    <xf numFmtId="0" fontId="1" fillId="0" borderId="0" xfId="0" applyFont="1" applyAlignment="1">
      <alignment horizontal="center"/>
    </xf>
    <xf numFmtId="0" fontId="56" fillId="0" borderId="0" xfId="0" applyFont="1" applyAlignment="1">
      <alignment horizontal="center"/>
    </xf>
    <xf numFmtId="0" fontId="29" fillId="0" borderId="0" xfId="0" applyFont="1" applyFill="1" applyBorder="1"/>
    <xf numFmtId="0" fontId="58" fillId="0" borderId="2" xfId="0" applyFont="1" applyFill="1" applyBorder="1" applyAlignment="1">
      <alignment horizontal="right"/>
    </xf>
    <xf numFmtId="0" fontId="58" fillId="0" borderId="2" xfId="0" applyFont="1" applyFill="1" applyBorder="1"/>
    <xf numFmtId="0" fontId="58" fillId="0" borderId="0" xfId="0" applyFont="1" applyFill="1"/>
    <xf numFmtId="0" fontId="65" fillId="4" borderId="0" xfId="0" applyFont="1" applyFill="1" applyAlignment="1">
      <alignment horizontal="right"/>
    </xf>
    <xf numFmtId="0" fontId="1" fillId="0" borderId="0" xfId="0" applyFont="1" applyFill="1" applyBorder="1"/>
    <xf numFmtId="0" fontId="1" fillId="0" borderId="0" xfId="0" applyFont="1"/>
    <xf numFmtId="0" fontId="106" fillId="4" borderId="0" xfId="0" applyFont="1" applyFill="1" applyAlignment="1">
      <alignment horizontal="right"/>
    </xf>
    <xf numFmtId="0" fontId="65" fillId="11" borderId="0" xfId="0" applyFont="1" applyFill="1" applyAlignment="1">
      <alignment horizontal="center"/>
    </xf>
    <xf numFmtId="0" fontId="31" fillId="4" borderId="0" xfId="0" applyFont="1" applyFill="1"/>
    <xf numFmtId="0" fontId="0" fillId="11" borderId="0" xfId="0" applyFill="1"/>
    <xf numFmtId="0" fontId="58" fillId="2" borderId="2" xfId="0" applyFont="1" applyFill="1" applyBorder="1" applyAlignment="1">
      <alignment horizontal="right"/>
    </xf>
    <xf numFmtId="0" fontId="58" fillId="2" borderId="2" xfId="0" applyFont="1" applyFill="1" applyBorder="1"/>
    <xf numFmtId="0" fontId="120" fillId="2" borderId="2" xfId="0" applyFont="1" applyFill="1" applyBorder="1" applyAlignment="1">
      <alignment horizontal="right"/>
    </xf>
    <xf numFmtId="0" fontId="122" fillId="2" borderId="2" xfId="0" applyFont="1" applyFill="1" applyBorder="1"/>
    <xf numFmtId="0" fontId="57" fillId="2" borderId="2" xfId="0" applyFont="1" applyFill="1" applyBorder="1"/>
    <xf numFmtId="0" fontId="6" fillId="0" borderId="0" xfId="14"/>
    <xf numFmtId="0" fontId="6" fillId="0" borderId="0" xfId="14" applyFont="1" applyAlignment="1">
      <alignment horizontal="right"/>
    </xf>
    <xf numFmtId="0" fontId="39" fillId="0" borderId="0" xfId="14" applyFont="1" applyAlignment="1">
      <alignment horizontal="center"/>
    </xf>
    <xf numFmtId="0" fontId="60" fillId="0" borderId="0" xfId="14" applyFont="1"/>
    <xf numFmtId="0" fontId="6" fillId="0" borderId="0" xfId="14" applyBorder="1"/>
    <xf numFmtId="0" fontId="12" fillId="0" borderId="5" xfId="14" applyFont="1" applyBorder="1" applyAlignment="1">
      <alignment horizontal="center" vertical="center"/>
    </xf>
    <xf numFmtId="0" fontId="12" fillId="0" borderId="5" xfId="14" applyFont="1" applyBorder="1" applyAlignment="1">
      <alignment horizontal="center" wrapText="1"/>
    </xf>
    <xf numFmtId="0" fontId="6" fillId="7" borderId="25" xfId="14" applyFill="1" applyBorder="1" applyAlignment="1" applyProtection="1">
      <alignment horizontal="left"/>
      <protection locked="0"/>
    </xf>
    <xf numFmtId="0" fontId="6" fillId="11" borderId="0" xfId="14" applyFill="1" applyBorder="1"/>
    <xf numFmtId="0" fontId="6" fillId="7" borderId="2" xfId="14" applyFill="1" applyBorder="1" applyProtection="1">
      <protection locked="0"/>
    </xf>
    <xf numFmtId="0" fontId="20" fillId="3" borderId="0" xfId="14" applyFont="1" applyFill="1" applyBorder="1"/>
    <xf numFmtId="0" fontId="6" fillId="0" borderId="0" xfId="14" applyFont="1"/>
    <xf numFmtId="166" fontId="6" fillId="0" borderId="0" xfId="14" applyNumberFormat="1"/>
    <xf numFmtId="0" fontId="60" fillId="0" borderId="0" xfId="14" applyFont="1" applyBorder="1"/>
    <xf numFmtId="0" fontId="72" fillId="0" borderId="0" xfId="14" applyFont="1"/>
    <xf numFmtId="0" fontId="6" fillId="0" borderId="0" xfId="14" applyAlignment="1">
      <alignment horizontal="right"/>
    </xf>
    <xf numFmtId="0" fontId="22" fillId="0" borderId="0" xfId="14" applyFont="1"/>
    <xf numFmtId="0" fontId="22" fillId="0" borderId="0" xfId="14" applyFont="1" applyAlignment="1">
      <alignment horizontal="right"/>
    </xf>
    <xf numFmtId="165" fontId="70" fillId="0" borderId="0" xfId="14" applyNumberFormat="1" applyFont="1"/>
    <xf numFmtId="0" fontId="6" fillId="0" borderId="0" xfId="14" quotePrefix="1"/>
    <xf numFmtId="2" fontId="6" fillId="0" borderId="0" xfId="14" applyNumberFormat="1"/>
    <xf numFmtId="0" fontId="50" fillId="0" borderId="0" xfId="0" applyFont="1"/>
    <xf numFmtId="0" fontId="112" fillId="7" borderId="2" xfId="0" applyFont="1" applyFill="1" applyBorder="1" applyAlignment="1">
      <alignment horizontal="center"/>
    </xf>
    <xf numFmtId="0" fontId="112" fillId="7" borderId="5" xfId="0" applyFont="1" applyFill="1" applyBorder="1" applyAlignment="1">
      <alignment horizontal="center"/>
    </xf>
    <xf numFmtId="0" fontId="112" fillId="7" borderId="54" xfId="0" applyFont="1" applyFill="1" applyBorder="1" applyAlignment="1">
      <alignment horizontal="center"/>
    </xf>
    <xf numFmtId="0" fontId="50" fillId="0" borderId="15" xfId="0" applyFont="1" applyBorder="1"/>
    <xf numFmtId="0" fontId="50" fillId="0" borderId="7" xfId="0" applyFont="1" applyBorder="1"/>
    <xf numFmtId="0" fontId="50" fillId="0" borderId="4" xfId="0" applyFont="1" applyBorder="1"/>
    <xf numFmtId="0" fontId="50" fillId="0" borderId="2" xfId="0" applyFont="1" applyBorder="1"/>
    <xf numFmtId="0" fontId="50" fillId="0" borderId="0" xfId="0" applyFont="1" applyAlignment="1">
      <alignment horizontal="right"/>
    </xf>
    <xf numFmtId="0" fontId="50" fillId="7" borderId="54" xfId="0" applyFont="1" applyFill="1" applyBorder="1"/>
    <xf numFmtId="0" fontId="27" fillId="0" borderId="25" xfId="0" applyFont="1" applyFill="1" applyBorder="1" applyAlignment="1">
      <alignment horizontal="center"/>
    </xf>
    <xf numFmtId="0" fontId="27" fillId="0" borderId="25" xfId="0" applyFont="1" applyFill="1" applyBorder="1" applyAlignment="1">
      <alignment horizontal="center" wrapText="1"/>
    </xf>
    <xf numFmtId="0" fontId="21" fillId="3" borderId="5" xfId="14" applyFont="1" applyFill="1" applyBorder="1" applyAlignment="1">
      <alignment horizontal="center" wrapText="1"/>
    </xf>
    <xf numFmtId="2" fontId="20" fillId="3" borderId="0" xfId="14" applyNumberFormat="1" applyFont="1" applyFill="1" applyBorder="1"/>
    <xf numFmtId="0" fontId="6" fillId="0" borderId="0" xfId="14" applyFill="1" applyBorder="1"/>
    <xf numFmtId="0" fontId="27" fillId="0" borderId="2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27" fillId="0" borderId="0" xfId="0" applyFont="1" applyBorder="1" applyAlignment="1">
      <alignment horizontal="right"/>
    </xf>
    <xf numFmtId="0" fontId="65" fillId="4" borderId="7" xfId="0" applyFont="1" applyFill="1" applyBorder="1" applyAlignment="1">
      <alignment horizontal="center"/>
    </xf>
    <xf numFmtId="0" fontId="65" fillId="4" borderId="2" xfId="0" applyFont="1" applyFill="1" applyBorder="1" applyAlignment="1">
      <alignment horizontal="center"/>
    </xf>
    <xf numFmtId="0" fontId="65" fillId="0" borderId="0" xfId="0" applyFont="1" applyFill="1" applyBorder="1" applyAlignment="1">
      <alignment horizontal="center"/>
    </xf>
    <xf numFmtId="0" fontId="31" fillId="4" borderId="2" xfId="0" applyFont="1" applyFill="1" applyBorder="1"/>
    <xf numFmtId="0" fontId="57" fillId="12" borderId="7" xfId="0" applyFont="1" applyFill="1" applyBorder="1"/>
    <xf numFmtId="0" fontId="9" fillId="0" borderId="0" xfId="0" applyFont="1" applyFill="1" applyBorder="1"/>
    <xf numFmtId="0" fontId="57" fillId="12" borderId="2" xfId="0" applyFont="1" applyFill="1" applyBorder="1"/>
    <xf numFmtId="0" fontId="28" fillId="2" borderId="0" xfId="0" applyFont="1" applyFill="1"/>
    <xf numFmtId="0" fontId="0" fillId="0" borderId="0" xfId="0" applyAlignment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2" xfId="0" applyBorder="1" applyAlignment="1">
      <alignment horizontal="center" wrapText="1"/>
    </xf>
    <xf numFmtId="0" fontId="0" fillId="0" borderId="2" xfId="0" applyFill="1" applyBorder="1" applyAlignment="1">
      <alignment horizontal="center" wrapText="1"/>
    </xf>
    <xf numFmtId="0" fontId="127" fillId="0" borderId="71" xfId="0" applyFont="1" applyBorder="1" applyAlignment="1">
      <alignment horizontal="center" vertical="center"/>
    </xf>
    <xf numFmtId="0" fontId="127" fillId="0" borderId="72" xfId="0" applyFont="1" applyBorder="1" applyAlignment="1">
      <alignment horizontal="center" vertical="center"/>
    </xf>
    <xf numFmtId="2" fontId="27" fillId="0" borderId="2" xfId="0" applyNumberFormat="1" applyFont="1" applyBorder="1" applyAlignment="1">
      <alignment horizontal="center" vertical="center"/>
    </xf>
    <xf numFmtId="10" fontId="27" fillId="0" borderId="2" xfId="0" applyNumberFormat="1" applyFont="1" applyBorder="1" applyAlignment="1">
      <alignment horizontal="center" vertical="center"/>
    </xf>
    <xf numFmtId="0" fontId="127" fillId="0" borderId="73" xfId="0" applyFont="1" applyBorder="1" applyAlignment="1">
      <alignment horizontal="center" vertical="center"/>
    </xf>
    <xf numFmtId="0" fontId="127" fillId="0" borderId="74" xfId="0" applyFont="1" applyBorder="1" applyAlignment="1">
      <alignment horizontal="center" vertical="center"/>
    </xf>
    <xf numFmtId="0" fontId="0" fillId="0" borderId="53" xfId="0" applyBorder="1" applyAlignment="1">
      <alignment horizontal="right"/>
    </xf>
    <xf numFmtId="0" fontId="0" fillId="0" borderId="15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0" fillId="0" borderId="0" xfId="0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right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9" fontId="27" fillId="0" borderId="2" xfId="0" applyNumberFormat="1" applyFont="1" applyBorder="1" applyAlignment="1">
      <alignment horizontal="center" vertical="center"/>
    </xf>
    <xf numFmtId="0" fontId="0" fillId="7" borderId="4" xfId="0" applyFill="1" applyBorder="1"/>
    <xf numFmtId="0" fontId="0" fillId="7" borderId="15" xfId="0" applyFill="1" applyBorder="1"/>
    <xf numFmtId="0" fontId="14" fillId="7" borderId="7" xfId="0" applyFont="1" applyFill="1" applyBorder="1" applyAlignment="1">
      <alignment horizontal="center"/>
    </xf>
    <xf numFmtId="0" fontId="0" fillId="7" borderId="0" xfId="0" applyFill="1"/>
    <xf numFmtId="0" fontId="0" fillId="7" borderId="11" xfId="0" applyFill="1" applyBorder="1"/>
    <xf numFmtId="0" fontId="0" fillId="7" borderId="10" xfId="0" applyFill="1" applyBorder="1"/>
    <xf numFmtId="0" fontId="0" fillId="7" borderId="0" xfId="0" applyFill="1" applyBorder="1"/>
    <xf numFmtId="0" fontId="27" fillId="7" borderId="12" xfId="0" applyFont="1" applyFill="1" applyBorder="1"/>
    <xf numFmtId="0" fontId="0" fillId="7" borderId="12" xfId="0" applyFill="1" applyBorder="1"/>
    <xf numFmtId="0" fontId="0" fillId="7" borderId="0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13" xfId="0" applyFill="1" applyBorder="1"/>
    <xf numFmtId="0" fontId="0" fillId="7" borderId="14" xfId="0" applyFill="1" applyBorder="1"/>
    <xf numFmtId="0" fontId="0" fillId="7" borderId="8" xfId="0" applyFill="1" applyBorder="1"/>
    <xf numFmtId="0" fontId="0" fillId="7" borderId="24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7" borderId="4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3" xfId="0" applyFill="1" applyBorder="1" applyAlignment="1" applyProtection="1">
      <protection locked="0"/>
    </xf>
    <xf numFmtId="0" fontId="0" fillId="7" borderId="23" xfId="0" applyFill="1" applyBorder="1"/>
    <xf numFmtId="0" fontId="0" fillId="7" borderId="11" xfId="0" applyFill="1" applyBorder="1" applyAlignment="1" applyProtection="1">
      <protection locked="0"/>
    </xf>
    <xf numFmtId="0" fontId="0" fillId="7" borderId="11" xfId="0" applyFill="1" applyBorder="1" applyAlignment="1">
      <alignment horizontal="left"/>
    </xf>
    <xf numFmtId="14" fontId="0" fillId="7" borderId="3" xfId="0" applyNumberFormat="1" applyFill="1" applyBorder="1" applyAlignment="1" applyProtection="1">
      <protection locked="0"/>
    </xf>
    <xf numFmtId="0" fontId="0" fillId="7" borderId="13" xfId="0" applyFill="1" applyBorder="1" applyAlignment="1" applyProtection="1">
      <alignment horizontal="left"/>
      <protection locked="0"/>
    </xf>
    <xf numFmtId="0" fontId="0" fillId="7" borderId="2" xfId="0" applyFill="1" applyBorder="1" applyAlignment="1" applyProtection="1">
      <alignment horizontal="left"/>
      <protection locked="0"/>
    </xf>
    <xf numFmtId="0" fontId="0" fillId="7" borderId="9" xfId="0" applyFill="1" applyBorder="1"/>
    <xf numFmtId="0" fontId="0" fillId="7" borderId="3" xfId="0" applyFill="1" applyBorder="1"/>
    <xf numFmtId="0" fontId="0" fillId="7" borderId="23" xfId="0" applyFill="1" applyBorder="1" applyAlignment="1">
      <alignment horizontal="left"/>
    </xf>
    <xf numFmtId="164" fontId="57" fillId="3" borderId="2" xfId="7" applyNumberFormat="1" applyFont="1" applyFill="1" applyBorder="1"/>
    <xf numFmtId="0" fontId="6" fillId="3" borderId="2" xfId="7" applyFill="1" applyBorder="1"/>
    <xf numFmtId="165" fontId="6" fillId="3" borderId="2" xfId="7" applyNumberFormat="1" applyFill="1" applyBorder="1"/>
    <xf numFmtId="0" fontId="6" fillId="7" borderId="2" xfId="13" applyFill="1" applyBorder="1" applyProtection="1">
      <protection locked="0"/>
    </xf>
    <xf numFmtId="0" fontId="22" fillId="7" borderId="2" xfId="0" applyNumberFormat="1" applyFont="1" applyFill="1" applyBorder="1" applyAlignment="1" applyProtection="1">
      <alignment horizontal="center"/>
      <protection locked="0"/>
    </xf>
    <xf numFmtId="0" fontId="6" fillId="7" borderId="2" xfId="10" applyFill="1" applyBorder="1" applyAlignment="1" applyProtection="1">
      <alignment horizontal="left"/>
    </xf>
    <xf numFmtId="0" fontId="6" fillId="7" borderId="2" xfId="10" applyFill="1" applyBorder="1"/>
    <xf numFmtId="0" fontId="6" fillId="7" borderId="10" xfId="10" applyFill="1" applyBorder="1" applyProtection="1">
      <protection locked="0"/>
    </xf>
    <xf numFmtId="0" fontId="6" fillId="7" borderId="12" xfId="10" applyFill="1" applyBorder="1" applyProtection="1">
      <protection locked="0"/>
    </xf>
    <xf numFmtId="0" fontId="6" fillId="7" borderId="15" xfId="10" applyFill="1" applyBorder="1" applyProtection="1">
      <protection locked="0"/>
    </xf>
    <xf numFmtId="0" fontId="6" fillId="7" borderId="3" xfId="10" applyFill="1" applyBorder="1"/>
    <xf numFmtId="0" fontId="6" fillId="7" borderId="23" xfId="10" applyFill="1" applyBorder="1"/>
    <xf numFmtId="0" fontId="6" fillId="7" borderId="4" xfId="10" applyFill="1" applyBorder="1"/>
    <xf numFmtId="0" fontId="6" fillId="7" borderId="4" xfId="10" applyFont="1" applyFill="1" applyBorder="1" applyProtection="1">
      <protection locked="0"/>
    </xf>
    <xf numFmtId="0" fontId="6" fillId="7" borderId="3" xfId="14" applyFill="1" applyBorder="1" applyProtection="1">
      <protection locked="0"/>
    </xf>
    <xf numFmtId="0" fontId="6" fillId="7" borderId="23" xfId="14" applyFill="1" applyBorder="1"/>
    <xf numFmtId="0" fontId="6" fillId="7" borderId="4" xfId="14" applyFill="1" applyBorder="1"/>
    <xf numFmtId="0" fontId="6" fillId="7" borderId="0" xfId="14" applyFill="1" applyBorder="1"/>
    <xf numFmtId="0" fontId="125" fillId="7" borderId="76" xfId="0" applyFont="1" applyFill="1" applyBorder="1" applyAlignment="1">
      <alignment horizontal="center"/>
    </xf>
    <xf numFmtId="0" fontId="125" fillId="7" borderId="77" xfId="0" applyFont="1" applyFill="1" applyBorder="1" applyAlignment="1">
      <alignment horizontal="center"/>
    </xf>
    <xf numFmtId="0" fontId="125" fillId="7" borderId="34" xfId="0" applyFont="1" applyFill="1" applyBorder="1" applyAlignment="1">
      <alignment horizontal="center"/>
    </xf>
    <xf numFmtId="0" fontId="125" fillId="7" borderId="78" xfId="0" applyFont="1" applyFill="1" applyBorder="1" applyAlignment="1">
      <alignment horizontal="center"/>
    </xf>
    <xf numFmtId="9" fontId="126" fillId="7" borderId="2" xfId="0" applyNumberFormat="1" applyFont="1" applyFill="1" applyBorder="1" applyAlignment="1">
      <alignment horizontal="center" vertical="center"/>
    </xf>
    <xf numFmtId="0" fontId="126" fillId="7" borderId="2" xfId="0" applyNumberFormat="1" applyFont="1" applyFill="1" applyBorder="1" applyAlignment="1">
      <alignment horizontal="center" vertical="center"/>
    </xf>
    <xf numFmtId="0" fontId="0" fillId="5" borderId="2" xfId="0" applyFill="1" applyBorder="1"/>
    <xf numFmtId="0" fontId="6" fillId="0" borderId="0" xfId="9" applyAlignment="1">
      <alignment horizontal="right"/>
    </xf>
    <xf numFmtId="0" fontId="6" fillId="5" borderId="3" xfId="9" applyFill="1" applyBorder="1" applyProtection="1">
      <protection locked="0"/>
    </xf>
    <xf numFmtId="0" fontId="6" fillId="5" borderId="23" xfId="9" applyFill="1" applyBorder="1"/>
    <xf numFmtId="0" fontId="6" fillId="5" borderId="4" xfId="9" applyFill="1" applyBorder="1"/>
    <xf numFmtId="0" fontId="6" fillId="0" borderId="0" xfId="9" quotePrefix="1"/>
    <xf numFmtId="0" fontId="6" fillId="0" borderId="0" xfId="9"/>
    <xf numFmtId="0" fontId="6" fillId="0" borderId="0" xfId="9" applyAlignment="1">
      <alignment horizontal="center"/>
    </xf>
    <xf numFmtId="0" fontId="6" fillId="5" borderId="2" xfId="9" applyFill="1" applyBorder="1" applyProtection="1">
      <protection locked="0"/>
    </xf>
    <xf numFmtId="0" fontId="107" fillId="0" borderId="0" xfId="9" applyFont="1"/>
    <xf numFmtId="0" fontId="22" fillId="0" borderId="0" xfId="9" applyFont="1" applyAlignment="1">
      <alignment horizontal="center"/>
    </xf>
    <xf numFmtId="0" fontId="12" fillId="0" borderId="0" xfId="9" applyFont="1" applyAlignment="1">
      <alignment horizontal="centerContinuous"/>
    </xf>
    <xf numFmtId="0" fontId="6" fillId="0" borderId="0" xfId="9" applyAlignment="1">
      <alignment horizontal="centerContinuous"/>
    </xf>
    <xf numFmtId="0" fontId="12" fillId="0" borderId="11" xfId="9" applyFont="1" applyBorder="1" applyAlignment="1">
      <alignment horizontal="centerContinuous"/>
    </xf>
    <xf numFmtId="0" fontId="6" fillId="0" borderId="0" xfId="9" applyBorder="1" applyAlignment="1">
      <alignment horizontal="centerContinuous"/>
    </xf>
    <xf numFmtId="0" fontId="22" fillId="0" borderId="8" xfId="9" quotePrefix="1" applyFont="1" applyBorder="1"/>
    <xf numFmtId="0" fontId="6" fillId="5" borderId="10" xfId="9" applyFill="1" applyBorder="1" applyProtection="1">
      <protection locked="0"/>
    </xf>
    <xf numFmtId="0" fontId="22" fillId="0" borderId="8" xfId="9" applyFont="1" applyBorder="1"/>
    <xf numFmtId="0" fontId="6" fillId="0" borderId="11" xfId="9" applyBorder="1"/>
    <xf numFmtId="0" fontId="6" fillId="5" borderId="12" xfId="9" applyFill="1" applyBorder="1" applyProtection="1">
      <protection locked="0"/>
    </xf>
    <xf numFmtId="0" fontId="6" fillId="0" borderId="14" xfId="9" applyBorder="1" applyAlignment="1">
      <alignment horizontal="center"/>
    </xf>
    <xf numFmtId="0" fontId="6" fillId="0" borderId="13" xfId="9" applyBorder="1"/>
    <xf numFmtId="0" fontId="6" fillId="5" borderId="15" xfId="9" applyFill="1" applyBorder="1" applyProtection="1">
      <protection locked="0"/>
    </xf>
    <xf numFmtId="0" fontId="6" fillId="0" borderId="0" xfId="9" applyBorder="1"/>
    <xf numFmtId="0" fontId="60" fillId="0" borderId="0" xfId="9" applyFont="1"/>
    <xf numFmtId="0" fontId="12" fillId="0" borderId="0" xfId="9" applyFont="1"/>
    <xf numFmtId="0" fontId="12" fillId="0" borderId="0" xfId="9" applyFont="1" applyAlignment="1">
      <alignment horizontal="center"/>
    </xf>
    <xf numFmtId="0" fontId="6" fillId="0" borderId="0" xfId="9" applyFont="1" applyAlignment="1">
      <alignment horizontal="centerContinuous"/>
    </xf>
    <xf numFmtId="0" fontId="12" fillId="0" borderId="2" xfId="9" applyFont="1" applyBorder="1" applyAlignment="1">
      <alignment horizontal="center"/>
    </xf>
    <xf numFmtId="0" fontId="108" fillId="0" borderId="6" xfId="9" applyFont="1" applyBorder="1" applyAlignment="1">
      <alignment horizontal="center"/>
    </xf>
    <xf numFmtId="0" fontId="12" fillId="0" borderId="6" xfId="9" applyFont="1" applyBorder="1" applyAlignment="1">
      <alignment horizontal="center"/>
    </xf>
    <xf numFmtId="0" fontId="12" fillId="0" borderId="2" xfId="9" quotePrefix="1" applyFont="1" applyBorder="1"/>
    <xf numFmtId="0" fontId="6" fillId="0" borderId="2" xfId="9" applyFill="1" applyBorder="1" applyProtection="1"/>
    <xf numFmtId="0" fontId="6" fillId="0" borderId="6" xfId="9" applyBorder="1"/>
    <xf numFmtId="0" fontId="6" fillId="9" borderId="6" xfId="9" applyFill="1" applyBorder="1"/>
    <xf numFmtId="0" fontId="56" fillId="0" borderId="7" xfId="9" applyFont="1" applyBorder="1" applyAlignment="1">
      <alignment horizontal="center"/>
    </xf>
    <xf numFmtId="0" fontId="14" fillId="0" borderId="0" xfId="9" applyFont="1" applyAlignment="1">
      <alignment horizontal="right"/>
    </xf>
    <xf numFmtId="0" fontId="14" fillId="0" borderId="0" xfId="9" applyFont="1" applyAlignment="1">
      <alignment horizontal="center"/>
    </xf>
    <xf numFmtId="0" fontId="12" fillId="0" borderId="2" xfId="9" applyFont="1" applyBorder="1"/>
    <xf numFmtId="0" fontId="6" fillId="0" borderId="2" xfId="9" applyBorder="1"/>
    <xf numFmtId="0" fontId="6" fillId="9" borderId="2" xfId="9" applyFill="1" applyBorder="1"/>
    <xf numFmtId="0" fontId="6" fillId="0" borderId="79" xfId="9" applyBorder="1" applyAlignment="1">
      <alignment horizontal="center"/>
    </xf>
    <xf numFmtId="0" fontId="6" fillId="0" borderId="59" xfId="9" applyBorder="1" applyAlignment="1">
      <alignment horizontal="center"/>
    </xf>
    <xf numFmtId="0" fontId="6" fillId="0" borderId="5" xfId="9" applyBorder="1" applyAlignment="1">
      <alignment horizontal="center"/>
    </xf>
    <xf numFmtId="0" fontId="71" fillId="0" borderId="5" xfId="9" applyFont="1" applyBorder="1"/>
    <xf numFmtId="0" fontId="6" fillId="0" borderId="0" xfId="9" applyFill="1" applyBorder="1"/>
    <xf numFmtId="0" fontId="12" fillId="0" borderId="0" xfId="9" applyFont="1" applyAlignment="1">
      <alignment horizontal="right"/>
    </xf>
    <xf numFmtId="0" fontId="6" fillId="0" borderId="14" xfId="9" applyBorder="1"/>
    <xf numFmtId="0" fontId="6" fillId="0" borderId="15" xfId="9" applyBorder="1"/>
    <xf numFmtId="0" fontId="6" fillId="0" borderId="7" xfId="9" applyBorder="1"/>
    <xf numFmtId="0" fontId="6" fillId="0" borderId="3" xfId="9" applyBorder="1"/>
    <xf numFmtId="0" fontId="6" fillId="0" borderId="23" xfId="9" applyBorder="1"/>
    <xf numFmtId="0" fontId="6" fillId="0" borderId="4" xfId="9" applyBorder="1"/>
    <xf numFmtId="0" fontId="22" fillId="0" borderId="0" xfId="9" applyFont="1" applyAlignment="1">
      <alignment horizontal="right"/>
    </xf>
    <xf numFmtId="0" fontId="22" fillId="0" borderId="0" xfId="9" applyFont="1"/>
    <xf numFmtId="0" fontId="6" fillId="0" borderId="0" xfId="9" applyFont="1" applyBorder="1" applyAlignment="1">
      <alignment horizontal="center"/>
    </xf>
    <xf numFmtId="0" fontId="6" fillId="0" borderId="3" xfId="9" applyBorder="1" applyAlignment="1">
      <alignment horizontal="centerContinuous"/>
    </xf>
    <xf numFmtId="0" fontId="12" fillId="0" borderId="23" xfId="9" applyFont="1" applyBorder="1" applyAlignment="1">
      <alignment horizontal="center"/>
    </xf>
    <xf numFmtId="0" fontId="6" fillId="0" borderId="4" xfId="9" applyBorder="1" applyAlignment="1">
      <alignment horizontal="centerContinuous"/>
    </xf>
    <xf numFmtId="0" fontId="12" fillId="0" borderId="7" xfId="9" applyFont="1" applyBorder="1" applyAlignment="1">
      <alignment horizontal="center"/>
    </xf>
    <xf numFmtId="0" fontId="6" fillId="0" borderId="46" xfId="9" applyBorder="1" applyAlignment="1">
      <alignment horizontal="center"/>
    </xf>
    <xf numFmtId="0" fontId="6" fillId="9" borderId="47" xfId="9" applyFill="1" applyBorder="1" applyProtection="1"/>
    <xf numFmtId="0" fontId="6" fillId="0" borderId="2" xfId="9" applyBorder="1" applyAlignment="1">
      <alignment horizontal="center"/>
    </xf>
    <xf numFmtId="0" fontId="23" fillId="0" borderId="0" xfId="9" applyFont="1"/>
    <xf numFmtId="0" fontId="6" fillId="0" borderId="48" xfId="9" applyBorder="1" applyAlignment="1">
      <alignment horizontal="center"/>
    </xf>
    <xf numFmtId="0" fontId="6" fillId="9" borderId="49" xfId="9" applyFill="1" applyBorder="1" applyProtection="1"/>
    <xf numFmtId="0" fontId="13" fillId="0" borderId="0" xfId="9" applyFont="1"/>
    <xf numFmtId="0" fontId="6" fillId="0" borderId="0" xfId="9" applyFill="1"/>
    <xf numFmtId="0" fontId="20" fillId="3" borderId="0" xfId="9" applyFont="1" applyFill="1"/>
    <xf numFmtId="0" fontId="6" fillId="2" borderId="0" xfId="9" applyFill="1"/>
    <xf numFmtId="0" fontId="6" fillId="2" borderId="0" xfId="9" applyFill="1" applyAlignment="1">
      <alignment horizontal="right"/>
    </xf>
    <xf numFmtId="0" fontId="6" fillId="2" borderId="0" xfId="9" quotePrefix="1" applyFill="1" applyAlignment="1">
      <alignment horizontal="center"/>
    </xf>
    <xf numFmtId="0" fontId="12" fillId="9" borderId="6" xfId="9" applyFont="1" applyFill="1" applyBorder="1" applyAlignment="1">
      <alignment horizontal="center"/>
    </xf>
    <xf numFmtId="0" fontId="6" fillId="0" borderId="0" xfId="9" applyFill="1" applyBorder="1" applyAlignment="1">
      <alignment horizontal="centerContinuous"/>
    </xf>
    <xf numFmtId="0" fontId="22" fillId="0" borderId="6" xfId="9" applyFont="1" applyFill="1" applyBorder="1"/>
    <xf numFmtId="165" fontId="6" fillId="2" borderId="0" xfId="9" applyNumberFormat="1" applyFill="1"/>
    <xf numFmtId="0" fontId="12" fillId="9" borderId="7" xfId="9" applyFont="1" applyFill="1" applyBorder="1" applyAlignment="1">
      <alignment horizontal="center"/>
    </xf>
    <xf numFmtId="0" fontId="12" fillId="0" borderId="2" xfId="9" applyFont="1" applyFill="1" applyBorder="1" applyAlignment="1">
      <alignment horizontal="center"/>
    </xf>
    <xf numFmtId="0" fontId="12" fillId="9" borderId="3" xfId="9" applyFont="1" applyFill="1" applyBorder="1" applyAlignment="1">
      <alignment horizontal="center"/>
    </xf>
    <xf numFmtId="0" fontId="22" fillId="0" borderId="7" xfId="9" applyFont="1" applyFill="1" applyBorder="1"/>
    <xf numFmtId="0" fontId="20" fillId="3" borderId="2" xfId="9" applyFont="1" applyFill="1" applyBorder="1"/>
    <xf numFmtId="0" fontId="6" fillId="9" borderId="2" xfId="9" applyFill="1" applyBorder="1" applyProtection="1"/>
    <xf numFmtId="0" fontId="12" fillId="0" borderId="2" xfId="9" applyFont="1" applyFill="1" applyBorder="1"/>
    <xf numFmtId="0" fontId="22" fillId="0" borderId="2" xfId="9" applyFont="1" applyFill="1" applyBorder="1" applyAlignment="1">
      <alignment horizontal="left"/>
    </xf>
    <xf numFmtId="0" fontId="12" fillId="0" borderId="2" xfId="9" quotePrefix="1" applyFont="1" applyFill="1" applyBorder="1"/>
    <xf numFmtId="0" fontId="20" fillId="3" borderId="0" xfId="9" applyFont="1" applyFill="1" applyBorder="1"/>
    <xf numFmtId="165" fontId="6" fillId="0" borderId="0" xfId="9" applyNumberFormat="1"/>
    <xf numFmtId="0" fontId="6" fillId="2" borderId="0" xfId="9" applyFill="1" applyAlignment="1">
      <alignment horizontal="center"/>
    </xf>
    <xf numFmtId="0" fontId="6" fillId="0" borderId="0" xfId="9" applyFill="1" applyBorder="1" applyAlignment="1" applyProtection="1">
      <alignment horizontal="left"/>
    </xf>
    <xf numFmtId="0" fontId="6" fillId="9" borderId="2" xfId="9" applyFill="1" applyBorder="1" applyAlignment="1" applyProtection="1">
      <alignment horizontal="left"/>
    </xf>
    <xf numFmtId="0" fontId="98" fillId="0" borderId="0" xfId="9" applyFont="1" applyFill="1"/>
    <xf numFmtId="0" fontId="98" fillId="0" borderId="0" xfId="9" applyFont="1" applyFill="1" applyAlignment="1">
      <alignment horizontal="right"/>
    </xf>
    <xf numFmtId="0" fontId="6" fillId="0" borderId="0" xfId="9" applyAlignment="1">
      <alignment horizontal="left"/>
    </xf>
    <xf numFmtId="0" fontId="101" fillId="0" borderId="0" xfId="9" applyFont="1"/>
    <xf numFmtId="0" fontId="4" fillId="2" borderId="0" xfId="9" applyFont="1" applyFill="1" applyAlignment="1">
      <alignment horizontal="right"/>
    </xf>
    <xf numFmtId="0" fontId="6" fillId="2" borderId="0" xfId="9" applyFill="1" applyAlignment="1">
      <alignment horizontal="left"/>
    </xf>
    <xf numFmtId="0" fontId="12" fillId="2" borderId="0" xfId="9" applyFont="1" applyFill="1" applyAlignment="1">
      <alignment horizontal="center"/>
    </xf>
    <xf numFmtId="0" fontId="56" fillId="2" borderId="0" xfId="9" applyFont="1" applyFill="1" applyAlignment="1">
      <alignment horizontal="center"/>
    </xf>
    <xf numFmtId="0" fontId="17" fillId="2" borderId="0" xfId="9" applyFont="1" applyFill="1"/>
    <xf numFmtId="0" fontId="22" fillId="0" borderId="0" xfId="9" applyFont="1" applyFill="1"/>
    <xf numFmtId="0" fontId="22" fillId="0" borderId="0" xfId="9" applyFont="1" applyFill="1" applyAlignment="1">
      <alignment horizontal="right"/>
    </xf>
    <xf numFmtId="0" fontId="22" fillId="2" borderId="0" xfId="9" applyFont="1" applyFill="1"/>
    <xf numFmtId="0" fontId="6" fillId="2" borderId="45" xfId="9" applyFill="1" applyBorder="1" applyAlignment="1">
      <alignment horizontal="center"/>
    </xf>
    <xf numFmtId="0" fontId="6" fillId="2" borderId="7" xfId="9" applyFill="1" applyBorder="1" applyAlignment="1">
      <alignment horizontal="center"/>
    </xf>
    <xf numFmtId="0" fontId="6" fillId="2" borderId="2" xfId="9" applyFill="1" applyBorder="1" applyAlignment="1">
      <alignment horizontal="center"/>
    </xf>
    <xf numFmtId="0" fontId="6" fillId="2" borderId="5" xfId="9" applyFill="1" applyBorder="1" applyAlignment="1">
      <alignment horizontal="center"/>
    </xf>
    <xf numFmtId="0" fontId="6" fillId="7" borderId="2" xfId="10" applyFont="1" applyFill="1" applyBorder="1" applyAlignment="1" applyProtection="1">
      <alignment horizontal="left"/>
    </xf>
    <xf numFmtId="0" fontId="0" fillId="7" borderId="2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4" fillId="6" borderId="2" xfId="0" applyFont="1" applyFill="1" applyBorder="1" applyAlignment="1">
      <alignment horizontal="center"/>
    </xf>
    <xf numFmtId="0" fontId="14" fillId="0" borderId="2" xfId="0" applyFont="1" applyFill="1" applyBorder="1" applyAlignment="1">
      <alignment horizontal="center"/>
    </xf>
    <xf numFmtId="2" fontId="0" fillId="0" borderId="2" xfId="0" applyNumberFormat="1" applyBorder="1"/>
    <xf numFmtId="0" fontId="0" fillId="0" borderId="0" xfId="0" applyBorder="1" applyAlignment="1">
      <alignment horizontal="left"/>
    </xf>
    <xf numFmtId="168" fontId="3" fillId="0" borderId="2" xfId="16" applyNumberFormat="1" applyBorder="1"/>
    <xf numFmtId="0" fontId="128" fillId="0" borderId="0" xfId="0" applyFont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0" fillId="4" borderId="2" xfId="0" applyFill="1" applyBorder="1"/>
    <xf numFmtId="0" fontId="0" fillId="14" borderId="0" xfId="0" applyFill="1" applyBorder="1" applyAlignment="1">
      <alignment horizontal="left"/>
    </xf>
    <xf numFmtId="0" fontId="0" fillId="14" borderId="0" xfId="0" applyFill="1"/>
    <xf numFmtId="0" fontId="24" fillId="4" borderId="2" xfId="0" applyFont="1" applyFill="1" applyBorder="1"/>
    <xf numFmtId="0" fontId="24" fillId="4" borderId="2" xfId="0" applyFont="1" applyFill="1" applyBorder="1" applyAlignment="1">
      <alignment horizontal="center"/>
    </xf>
    <xf numFmtId="0" fontId="0" fillId="4" borderId="0" xfId="0" applyFill="1"/>
    <xf numFmtId="0" fontId="24" fillId="4" borderId="0" xfId="0" applyFont="1" applyFill="1"/>
    <xf numFmtId="0" fontId="27" fillId="0" borderId="2" xfId="0" applyFon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0" fontId="27" fillId="0" borderId="6" xfId="0" applyFont="1" applyFill="1" applyBorder="1" applyAlignment="1">
      <alignment horizontal="center"/>
    </xf>
    <xf numFmtId="0" fontId="87" fillId="0" borderId="6" xfId="0" applyFont="1" applyFill="1" applyBorder="1" applyAlignment="1">
      <alignment horizontal="center" wrapText="1"/>
    </xf>
    <xf numFmtId="0" fontId="130" fillId="0" borderId="6" xfId="0" applyFont="1" applyFill="1" applyBorder="1" applyAlignment="1">
      <alignment horizontal="center" wrapText="1"/>
    </xf>
    <xf numFmtId="0" fontId="27" fillId="0" borderId="6" xfId="0" applyFont="1" applyFill="1" applyBorder="1" applyAlignment="1">
      <alignment horizontal="center" wrapText="1"/>
    </xf>
    <xf numFmtId="2" fontId="65" fillId="4" borderId="2" xfId="0" applyNumberFormat="1" applyFont="1" applyFill="1" applyBorder="1"/>
    <xf numFmtId="0" fontId="0" fillId="8" borderId="2" xfId="0" applyFill="1" applyBorder="1"/>
    <xf numFmtId="2" fontId="65" fillId="8" borderId="2" xfId="0" applyNumberFormat="1" applyFont="1" applyFill="1" applyBorder="1"/>
    <xf numFmtId="0" fontId="27" fillId="0" borderId="33" xfId="0" applyFont="1" applyFill="1" applyBorder="1" applyAlignment="1">
      <alignment horizontal="center"/>
    </xf>
    <xf numFmtId="0" fontId="27" fillId="8" borderId="6" xfId="0" applyFont="1" applyFill="1" applyBorder="1" applyAlignment="1">
      <alignment horizontal="center"/>
    </xf>
    <xf numFmtId="0" fontId="27" fillId="8" borderId="6" xfId="0" applyFont="1" applyFill="1" applyBorder="1" applyAlignment="1">
      <alignment horizontal="center" wrapText="1"/>
    </xf>
    <xf numFmtId="0" fontId="27" fillId="0" borderId="5" xfId="0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8" borderId="0" xfId="0" applyFont="1" applyFill="1" applyBorder="1" applyAlignment="1">
      <alignment horizontal="center"/>
    </xf>
    <xf numFmtId="0" fontId="27" fillId="8" borderId="2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center"/>
    </xf>
    <xf numFmtId="2" fontId="65" fillId="4" borderId="0" xfId="0" applyNumberFormat="1" applyFont="1" applyFill="1"/>
    <xf numFmtId="2" fontId="0" fillId="0" borderId="0" xfId="0" applyNumberFormat="1"/>
    <xf numFmtId="0" fontId="0" fillId="8" borderId="0" xfId="0" applyFill="1"/>
    <xf numFmtId="2" fontId="0" fillId="8" borderId="0" xfId="0" applyNumberFormat="1" applyFill="1"/>
    <xf numFmtId="2" fontId="65" fillId="8" borderId="0" xfId="0" applyNumberFormat="1" applyFont="1" applyFill="1"/>
    <xf numFmtId="0" fontId="131" fillId="0" borderId="0" xfId="0" applyFont="1" applyAlignment="1">
      <alignment horizontal="right"/>
    </xf>
    <xf numFmtId="0" fontId="27" fillId="0" borderId="0" xfId="0" applyFont="1" applyFill="1" applyBorder="1" applyAlignment="1">
      <alignment horizontal="left"/>
    </xf>
    <xf numFmtId="2" fontId="0" fillId="0" borderId="0" xfId="0" quotePrefix="1" applyNumberFormat="1"/>
    <xf numFmtId="0" fontId="27" fillId="0" borderId="3" xfId="0" applyFont="1" applyFill="1" applyBorder="1" applyAlignment="1">
      <alignment horizontal="center"/>
    </xf>
    <xf numFmtId="0" fontId="65" fillId="4" borderId="0" xfId="0" applyNumberFormat="1" applyFont="1" applyFill="1"/>
    <xf numFmtId="0" fontId="27" fillId="0" borderId="0" xfId="0" applyFont="1" applyBorder="1" applyAlignment="1">
      <alignment horizontal="center" vertical="center"/>
    </xf>
    <xf numFmtId="2" fontId="0" fillId="0" borderId="0" xfId="0" applyNumberFormat="1" applyBorder="1"/>
    <xf numFmtId="166" fontId="0" fillId="7" borderId="7" xfId="0" applyNumberFormat="1" applyFill="1" applyBorder="1"/>
    <xf numFmtId="166" fontId="0" fillId="7" borderId="2" xfId="0" applyNumberFormat="1" applyFill="1" applyBorder="1"/>
    <xf numFmtId="0" fontId="4" fillId="9" borderId="2" xfId="0" applyFont="1" applyFill="1" applyBorder="1"/>
    <xf numFmtId="0" fontId="56" fillId="9" borderId="2" xfId="0" applyFont="1" applyFill="1" applyBorder="1" applyAlignment="1">
      <alignment horizontal="left"/>
    </xf>
    <xf numFmtId="0" fontId="0" fillId="13" borderId="2" xfId="0" applyFill="1" applyBorder="1"/>
    <xf numFmtId="168" fontId="0" fillId="0" borderId="2" xfId="0" applyNumberFormat="1" applyBorder="1"/>
    <xf numFmtId="172" fontId="58" fillId="0" borderId="0" xfId="0" applyNumberFormat="1" applyFont="1" applyFill="1" applyBorder="1"/>
    <xf numFmtId="166" fontId="65" fillId="4" borderId="7" xfId="0" applyNumberFormat="1" applyFont="1" applyFill="1" applyBorder="1" applyAlignment="1">
      <alignment horizontal="center"/>
    </xf>
    <xf numFmtId="2" fontId="0" fillId="7" borderId="2" xfId="0" applyNumberFormat="1" applyFill="1" applyBorder="1"/>
    <xf numFmtId="164" fontId="9" fillId="9" borderId="7" xfId="0" applyNumberFormat="1" applyFont="1" applyFill="1" applyBorder="1" applyAlignment="1">
      <alignment horizontal="center"/>
    </xf>
    <xf numFmtId="0" fontId="9" fillId="9" borderId="2" xfId="0" applyFont="1" applyFill="1" applyBorder="1" applyAlignment="1">
      <alignment horizontal="right"/>
    </xf>
    <xf numFmtId="0" fontId="9" fillId="7" borderId="4" xfId="0" applyFont="1" applyFill="1" applyBorder="1" applyAlignment="1">
      <alignment horizontal="center" wrapText="1"/>
    </xf>
    <xf numFmtId="0" fontId="5" fillId="7" borderId="2" xfId="0" applyFont="1" applyFill="1" applyBorder="1"/>
    <xf numFmtId="0" fontId="5" fillId="0" borderId="2" xfId="0" applyFont="1" applyBorder="1"/>
    <xf numFmtId="0" fontId="5" fillId="7" borderId="2" xfId="0" applyFont="1" applyFill="1" applyBorder="1" applyAlignment="1">
      <alignment horizontal="center"/>
    </xf>
    <xf numFmtId="166" fontId="50" fillId="0" borderId="0" xfId="0" applyNumberFormat="1" applyFont="1"/>
    <xf numFmtId="167" fontId="0" fillId="0" borderId="0" xfId="0" applyNumberFormat="1" applyAlignment="1">
      <alignment horizontal="right"/>
    </xf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29" fillId="0" borderId="0" xfId="0" applyNumberFormat="1" applyFont="1" applyFill="1" applyBorder="1"/>
    <xf numFmtId="165" fontId="0" fillId="0" borderId="0" xfId="0" applyNumberFormat="1" applyBorder="1"/>
    <xf numFmtId="0" fontId="0" fillId="7" borderId="0" xfId="0" applyFill="1" applyAlignment="1">
      <alignment horizontal="center" vertical="center"/>
    </xf>
    <xf numFmtId="0" fontId="132" fillId="0" borderId="0" xfId="0" applyFont="1"/>
    <xf numFmtId="0" fontId="0" fillId="0" borderId="0" xfId="0" applyFill="1" applyBorder="1" applyAlignment="1">
      <alignment horizontal="right"/>
    </xf>
    <xf numFmtId="0" fontId="27" fillId="0" borderId="80" xfId="0" applyFont="1" applyBorder="1" applyAlignment="1">
      <alignment horizontal="center"/>
    </xf>
    <xf numFmtId="0" fontId="27" fillId="0" borderId="68" xfId="0" applyFont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right"/>
    </xf>
    <xf numFmtId="165" fontId="27" fillId="0" borderId="0" xfId="0" applyNumberFormat="1" applyFont="1" applyFill="1" applyAlignment="1">
      <alignment horizontal="center"/>
    </xf>
    <xf numFmtId="0" fontId="27" fillId="0" borderId="0" xfId="0" applyFont="1" applyFill="1"/>
    <xf numFmtId="9" fontId="3" fillId="10" borderId="17" xfId="16" applyFill="1" applyBorder="1" applyAlignment="1">
      <alignment horizontal="center" vertical="center"/>
    </xf>
    <xf numFmtId="9" fontId="3" fillId="10" borderId="18" xfId="16" applyFill="1" applyBorder="1" applyAlignment="1">
      <alignment horizontal="center" vertical="center"/>
    </xf>
    <xf numFmtId="9" fontId="3" fillId="10" borderId="20" xfId="16" applyFill="1" applyBorder="1" applyAlignment="1">
      <alignment horizontal="center" vertical="center"/>
    </xf>
    <xf numFmtId="9" fontId="3" fillId="10" borderId="21" xfId="16" applyFill="1" applyBorder="1" applyAlignment="1">
      <alignment horizontal="center" vertical="center"/>
    </xf>
    <xf numFmtId="0" fontId="0" fillId="10" borderId="0" xfId="0" applyFill="1"/>
    <xf numFmtId="166" fontId="0" fillId="10" borderId="0" xfId="0" applyNumberFormat="1" applyFill="1"/>
    <xf numFmtId="0" fontId="1" fillId="9" borderId="0" xfId="0" applyFont="1" applyFill="1" applyAlignment="1">
      <alignment horizontal="center" vertical="center"/>
    </xf>
    <xf numFmtId="0" fontId="133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81" xfId="0" applyFill="1" applyBorder="1" applyAlignment="1" applyProtection="1">
      <alignment horizontal="left"/>
      <protection locked="0"/>
    </xf>
    <xf numFmtId="0" fontId="0" fillId="0" borderId="81" xfId="0" applyFill="1" applyBorder="1" applyProtection="1">
      <protection locked="0"/>
    </xf>
    <xf numFmtId="0" fontId="0" fillId="0" borderId="0" xfId="0"/>
    <xf numFmtId="0" fontId="12" fillId="0" borderId="4" xfId="9" quotePrefix="1" applyFont="1" applyBorder="1"/>
    <xf numFmtId="0" fontId="12" fillId="0" borderId="4" xfId="9" applyFont="1" applyBorder="1"/>
    <xf numFmtId="0" fontId="12" fillId="0" borderId="33" xfId="9" applyFont="1" applyBorder="1" applyAlignment="1">
      <alignment horizontal="center"/>
    </xf>
    <xf numFmtId="0" fontId="86" fillId="0" borderId="5" xfId="0" applyFont="1" applyBorder="1" applyAlignment="1" applyProtection="1">
      <alignment horizontal="center"/>
    </xf>
    <xf numFmtId="0" fontId="87" fillId="0" borderId="5" xfId="0" applyFont="1" applyBorder="1" applyAlignment="1" applyProtection="1">
      <alignment horizontal="center"/>
    </xf>
    <xf numFmtId="0" fontId="6" fillId="0" borderId="0" xfId="17"/>
    <xf numFmtId="0" fontId="6" fillId="5" borderId="3" xfId="17" applyFill="1" applyBorder="1" applyAlignment="1" applyProtection="1">
      <alignment horizontal="left"/>
      <protection locked="0"/>
    </xf>
    <xf numFmtId="0" fontId="6" fillId="5" borderId="23" xfId="17" applyFill="1" applyBorder="1" applyProtection="1">
      <protection locked="0"/>
    </xf>
    <xf numFmtId="0" fontId="6" fillId="5" borderId="4" xfId="17" applyFill="1" applyBorder="1" applyProtection="1">
      <protection locked="0"/>
    </xf>
    <xf numFmtId="0" fontId="6" fillId="5" borderId="23" xfId="17" quotePrefix="1" applyFill="1" applyBorder="1" applyProtection="1">
      <protection locked="0"/>
    </xf>
    <xf numFmtId="0" fontId="6" fillId="0" borderId="41" xfId="17" applyBorder="1"/>
    <xf numFmtId="0" fontId="6" fillId="0" borderId="0" xfId="17" applyBorder="1"/>
    <xf numFmtId="0" fontId="6" fillId="0" borderId="42" xfId="17" applyBorder="1"/>
    <xf numFmtId="0" fontId="95" fillId="2" borderId="25" xfId="17" applyFont="1" applyFill="1" applyBorder="1" applyAlignment="1" applyProtection="1">
      <alignment horizontal="center"/>
      <protection locked="0"/>
    </xf>
    <xf numFmtId="0" fontId="12" fillId="0" borderId="0" xfId="17" applyFont="1" applyBorder="1" applyAlignment="1">
      <alignment horizontal="center"/>
    </xf>
    <xf numFmtId="0" fontId="6" fillId="0" borderId="56" xfId="17" applyBorder="1" applyAlignment="1">
      <alignment horizontal="center"/>
    </xf>
    <xf numFmtId="0" fontId="6" fillId="0" borderId="51" xfId="17" applyBorder="1"/>
    <xf numFmtId="0" fontId="6" fillId="0" borderId="57" xfId="17" applyBorder="1"/>
    <xf numFmtId="0" fontId="12" fillId="0" borderId="56" xfId="17" applyFont="1" applyBorder="1" applyAlignment="1">
      <alignment horizontal="center"/>
    </xf>
    <xf numFmtId="0" fontId="12" fillId="0" borderId="51" xfId="17" applyFont="1" applyBorder="1" applyAlignment="1">
      <alignment horizontal="center"/>
    </xf>
    <xf numFmtId="0" fontId="12" fillId="0" borderId="57" xfId="17" applyFont="1" applyBorder="1" applyAlignment="1">
      <alignment horizontal="center"/>
    </xf>
    <xf numFmtId="0" fontId="95" fillId="2" borderId="58" xfId="17" applyFont="1" applyFill="1" applyBorder="1" applyAlignment="1">
      <alignment horizontal="center"/>
    </xf>
    <xf numFmtId="0" fontId="95" fillId="2" borderId="59" xfId="17" applyFont="1" applyFill="1" applyBorder="1" applyAlignment="1">
      <alignment horizontal="center"/>
    </xf>
    <xf numFmtId="0" fontId="95" fillId="2" borderId="60" xfId="17" applyFont="1" applyFill="1" applyBorder="1" applyAlignment="1">
      <alignment horizontal="center"/>
    </xf>
    <xf numFmtId="0" fontId="6" fillId="0" borderId="41" xfId="17" applyBorder="1" applyAlignment="1" applyProtection="1">
      <alignment horizontal="center"/>
      <protection locked="0"/>
    </xf>
    <xf numFmtId="0" fontId="6" fillId="0" borderId="0" xfId="17" applyBorder="1" applyAlignment="1" applyProtection="1">
      <alignment horizontal="center"/>
      <protection locked="0"/>
    </xf>
    <xf numFmtId="0" fontId="20" fillId="4" borderId="42" xfId="17" applyFont="1" applyFill="1" applyBorder="1" applyAlignment="1" applyProtection="1">
      <alignment horizontal="center"/>
      <protection locked="0"/>
    </xf>
    <xf numFmtId="0" fontId="6" fillId="0" borderId="0" xfId="17" applyProtection="1">
      <protection locked="0"/>
    </xf>
    <xf numFmtId="0" fontId="6" fillId="0" borderId="0" xfId="17" applyFont="1" applyBorder="1" applyAlignment="1" applyProtection="1">
      <alignment horizontal="center"/>
      <protection locked="0"/>
    </xf>
    <xf numFmtId="0" fontId="6" fillId="2" borderId="0" xfId="17" applyFill="1" applyBorder="1" applyAlignment="1" applyProtection="1">
      <alignment horizontal="center"/>
      <protection locked="0"/>
    </xf>
    <xf numFmtId="0" fontId="6" fillId="5" borderId="30" xfId="17" applyFill="1" applyBorder="1" applyProtection="1">
      <protection locked="0"/>
    </xf>
    <xf numFmtId="0" fontId="98" fillId="2" borderId="41" xfId="17" applyFont="1" applyFill="1" applyBorder="1" applyAlignment="1" applyProtection="1">
      <alignment horizontal="center"/>
      <protection locked="0"/>
    </xf>
    <xf numFmtId="0" fontId="98" fillId="2" borderId="0" xfId="17" applyFont="1" applyFill="1" applyBorder="1" applyAlignment="1" applyProtection="1">
      <alignment horizontal="center"/>
      <protection locked="0"/>
    </xf>
    <xf numFmtId="0" fontId="98" fillId="2" borderId="42" xfId="17" applyFont="1" applyFill="1" applyBorder="1" applyProtection="1">
      <protection locked="0"/>
    </xf>
    <xf numFmtId="0" fontId="6" fillId="0" borderId="0" xfId="17" applyBorder="1" applyProtection="1">
      <protection locked="0"/>
    </xf>
    <xf numFmtId="0" fontId="6" fillId="5" borderId="19" xfId="17" applyFill="1" applyBorder="1" applyProtection="1">
      <protection locked="0"/>
    </xf>
    <xf numFmtId="0" fontId="6" fillId="0" borderId="61" xfId="17" applyBorder="1" applyAlignment="1" applyProtection="1">
      <alignment horizontal="center"/>
      <protection locked="0"/>
    </xf>
    <xf numFmtId="0" fontId="6" fillId="0" borderId="62" xfId="17" applyFont="1" applyBorder="1" applyAlignment="1" applyProtection="1">
      <alignment horizontal="center"/>
      <protection locked="0"/>
    </xf>
    <xf numFmtId="0" fontId="20" fillId="4" borderId="63" xfId="17" applyFont="1" applyFill="1" applyBorder="1" applyAlignment="1" applyProtection="1">
      <alignment horizontal="center"/>
      <protection locked="0"/>
    </xf>
    <xf numFmtId="0" fontId="6" fillId="2" borderId="62" xfId="17" applyFill="1" applyBorder="1" applyAlignment="1" applyProtection="1">
      <alignment horizontal="center"/>
      <protection locked="0"/>
    </xf>
    <xf numFmtId="0" fontId="6" fillId="5" borderId="21" xfId="17" applyFill="1" applyBorder="1" applyProtection="1">
      <protection locked="0"/>
    </xf>
    <xf numFmtId="0" fontId="98" fillId="2" borderId="61" xfId="17" applyFont="1" applyFill="1" applyBorder="1" applyAlignment="1" applyProtection="1">
      <alignment horizontal="center"/>
      <protection locked="0"/>
    </xf>
    <xf numFmtId="0" fontId="98" fillId="2" borderId="62" xfId="17" applyFont="1" applyFill="1" applyBorder="1" applyAlignment="1" applyProtection="1">
      <alignment horizontal="center"/>
      <protection locked="0"/>
    </xf>
    <xf numFmtId="0" fontId="98" fillId="2" borderId="63" xfId="17" applyFont="1" applyFill="1" applyBorder="1" applyProtection="1">
      <protection locked="0"/>
    </xf>
    <xf numFmtId="0" fontId="6" fillId="0" borderId="0" xfId="17" applyAlignment="1">
      <alignment horizontal="center"/>
    </xf>
    <xf numFmtId="0" fontId="20" fillId="4" borderId="64" xfId="17" applyFont="1" applyFill="1" applyBorder="1" applyAlignment="1">
      <alignment horizontal="center"/>
    </xf>
    <xf numFmtId="0" fontId="95" fillId="2" borderId="65" xfId="17" applyFont="1" applyFill="1" applyBorder="1" applyAlignment="1">
      <alignment horizontal="center"/>
    </xf>
    <xf numFmtId="0" fontId="20" fillId="0" borderId="0" xfId="17" applyFont="1" applyFill="1" applyBorder="1"/>
    <xf numFmtId="0" fontId="20" fillId="0" borderId="42" xfId="17" applyFont="1" applyFill="1" applyBorder="1"/>
    <xf numFmtId="0" fontId="20" fillId="4" borderId="7" xfId="17" applyFont="1" applyFill="1" applyBorder="1"/>
    <xf numFmtId="0" fontId="98" fillId="2" borderId="12" xfId="17" applyFont="1" applyFill="1" applyBorder="1" applyProtection="1">
      <protection locked="0"/>
    </xf>
    <xf numFmtId="0" fontId="20" fillId="4" borderId="2" xfId="17" applyFont="1" applyFill="1" applyBorder="1"/>
    <xf numFmtId="0" fontId="98" fillId="2" borderId="66" xfId="17" applyFont="1" applyFill="1" applyBorder="1" applyAlignment="1" applyProtection="1">
      <alignment horizontal="center"/>
      <protection locked="0"/>
    </xf>
    <xf numFmtId="0" fontId="98" fillId="2" borderId="15" xfId="17" applyFont="1" applyFill="1" applyBorder="1" applyProtection="1">
      <protection locked="0"/>
    </xf>
    <xf numFmtId="0" fontId="20" fillId="0" borderId="41" xfId="17" applyFont="1" applyFill="1" applyBorder="1" applyAlignment="1" applyProtection="1">
      <alignment horizontal="center"/>
      <protection locked="0"/>
    </xf>
    <xf numFmtId="0" fontId="20" fillId="0" borderId="0" xfId="17" applyFont="1" applyFill="1" applyBorder="1" applyProtection="1">
      <protection locked="0"/>
    </xf>
    <xf numFmtId="0" fontId="20" fillId="11" borderId="41" xfId="17" applyFont="1" applyFill="1" applyBorder="1"/>
    <xf numFmtId="0" fontId="19" fillId="4" borderId="2" xfId="17" applyFont="1" applyFill="1" applyBorder="1" applyAlignment="1">
      <alignment horizontal="center"/>
    </xf>
    <xf numFmtId="0" fontId="19" fillId="4" borderId="19" xfId="17" applyFont="1" applyFill="1" applyBorder="1" applyAlignment="1">
      <alignment horizontal="center"/>
    </xf>
    <xf numFmtId="0" fontId="20" fillId="4" borderId="0" xfId="17" applyFont="1" applyFill="1"/>
    <xf numFmtId="0" fontId="21" fillId="4" borderId="16" xfId="17" applyFont="1" applyFill="1" applyBorder="1" applyAlignment="1">
      <alignment horizontal="center"/>
    </xf>
    <xf numFmtId="0" fontId="20" fillId="4" borderId="19" xfId="17" applyFont="1" applyFill="1" applyBorder="1"/>
    <xf numFmtId="0" fontId="21" fillId="4" borderId="20" xfId="17" applyFont="1" applyFill="1" applyBorder="1" applyAlignment="1">
      <alignment horizontal="center"/>
    </xf>
    <xf numFmtId="0" fontId="20" fillId="4" borderId="45" xfId="17" applyFont="1" applyFill="1" applyBorder="1"/>
    <xf numFmtId="0" fontId="20" fillId="4" borderId="21" xfId="17" applyFont="1" applyFill="1" applyBorder="1"/>
    <xf numFmtId="0" fontId="6" fillId="0" borderId="0" xfId="17" applyFill="1" applyBorder="1" applyProtection="1">
      <protection locked="0"/>
    </xf>
    <xf numFmtId="0" fontId="6" fillId="5" borderId="2" xfId="17" applyFill="1" applyBorder="1" applyAlignment="1" applyProtection="1">
      <alignment horizontal="left"/>
      <protection locked="0"/>
    </xf>
    <xf numFmtId="0" fontId="6" fillId="0" borderId="0" xfId="17" applyFont="1"/>
    <xf numFmtId="0" fontId="12" fillId="0" borderId="0" xfId="17" applyFont="1" applyAlignment="1">
      <alignment horizontal="right"/>
    </xf>
    <xf numFmtId="0" fontId="123" fillId="0" borderId="0" xfId="17" applyFont="1" applyAlignment="1">
      <alignment horizontal="right"/>
    </xf>
    <xf numFmtId="0" fontId="123" fillId="0" borderId="0" xfId="17" applyFont="1" applyAlignment="1">
      <alignment horizontal="left"/>
    </xf>
    <xf numFmtId="0" fontId="124" fillId="0" borderId="41" xfId="17" applyFont="1" applyBorder="1"/>
    <xf numFmtId="0" fontId="6" fillId="0" borderId="42" xfId="17" applyBorder="1" applyAlignment="1">
      <alignment horizontal="center"/>
    </xf>
    <xf numFmtId="0" fontId="95" fillId="2" borderId="67" xfId="17" applyFont="1" applyFill="1" applyBorder="1" applyAlignment="1">
      <alignment horizontal="center"/>
    </xf>
    <xf numFmtId="0" fontId="95" fillId="2" borderId="43" xfId="17" applyFont="1" applyFill="1" applyBorder="1" applyAlignment="1">
      <alignment horizontal="center"/>
    </xf>
    <xf numFmtId="0" fontId="95" fillId="2" borderId="5" xfId="17" applyFont="1" applyFill="1" applyBorder="1" applyAlignment="1">
      <alignment horizontal="center"/>
    </xf>
    <xf numFmtId="0" fontId="21" fillId="4" borderId="2" xfId="17" applyFont="1" applyFill="1" applyBorder="1" applyAlignment="1">
      <alignment horizontal="center"/>
    </xf>
    <xf numFmtId="0" fontId="21" fillId="4" borderId="19" xfId="17" applyFont="1" applyFill="1" applyBorder="1" applyAlignment="1">
      <alignment horizontal="center"/>
    </xf>
    <xf numFmtId="0" fontId="12" fillId="0" borderId="42" xfId="17" applyFont="1" applyFill="1" applyBorder="1" applyAlignment="1" applyProtection="1">
      <alignment horizontal="center"/>
      <protection locked="0"/>
    </xf>
    <xf numFmtId="0" fontId="12" fillId="0" borderId="0" xfId="17" applyFont="1" applyFill="1" applyBorder="1" applyAlignment="1" applyProtection="1">
      <alignment horizontal="center"/>
      <protection locked="0"/>
    </xf>
    <xf numFmtId="0" fontId="6" fillId="0" borderId="66" xfId="17" applyBorder="1"/>
    <xf numFmtId="0" fontId="6" fillId="0" borderId="14" xfId="17" applyBorder="1"/>
    <xf numFmtId="0" fontId="6" fillId="0" borderId="68" xfId="17" applyBorder="1"/>
    <xf numFmtId="0" fontId="98" fillId="2" borderId="2" xfId="17" applyFont="1" applyFill="1" applyBorder="1" applyProtection="1">
      <protection locked="0"/>
    </xf>
    <xf numFmtId="0" fontId="20" fillId="2" borderId="41" xfId="17" applyFont="1" applyFill="1" applyBorder="1" applyAlignment="1" applyProtection="1">
      <alignment horizontal="center"/>
      <protection locked="0"/>
    </xf>
    <xf numFmtId="0" fontId="20" fillId="2" borderId="0" xfId="17" applyFont="1" applyFill="1" applyBorder="1" applyProtection="1">
      <protection locked="0"/>
    </xf>
    <xf numFmtId="0" fontId="20" fillId="4" borderId="0" xfId="17" applyFont="1" applyFill="1" applyBorder="1"/>
    <xf numFmtId="0" fontId="20" fillId="4" borderId="42" xfId="17" applyFont="1" applyFill="1" applyBorder="1"/>
    <xf numFmtId="0" fontId="6" fillId="2" borderId="56" xfId="17" applyFill="1" applyBorder="1" applyAlignment="1">
      <alignment horizontal="center"/>
    </xf>
    <xf numFmtId="0" fontId="6" fillId="2" borderId="51" xfId="17" applyFill="1" applyBorder="1"/>
    <xf numFmtId="0" fontId="6" fillId="2" borderId="57" xfId="17" applyFill="1" applyBorder="1" applyAlignment="1">
      <alignment horizontal="center"/>
    </xf>
    <xf numFmtId="0" fontId="12" fillId="2" borderId="56" xfId="17" applyFont="1" applyFill="1" applyBorder="1" applyAlignment="1">
      <alignment horizontal="center"/>
    </xf>
    <xf numFmtId="0" fontId="12" fillId="2" borderId="51" xfId="17" applyFont="1" applyFill="1" applyBorder="1" applyAlignment="1">
      <alignment horizontal="center"/>
    </xf>
    <xf numFmtId="0" fontId="6" fillId="2" borderId="41" xfId="17" applyFill="1" applyBorder="1" applyAlignment="1" applyProtection="1">
      <alignment horizontal="center"/>
      <protection locked="0"/>
    </xf>
    <xf numFmtId="0" fontId="6" fillId="2" borderId="7" xfId="17" applyFill="1" applyBorder="1" applyAlignment="1" applyProtection="1">
      <alignment horizontal="center"/>
      <protection locked="0"/>
    </xf>
    <xf numFmtId="0" fontId="6" fillId="0" borderId="0" xfId="17" applyFill="1" applyBorder="1" applyAlignment="1" applyProtection="1">
      <alignment horizontal="center"/>
      <protection locked="0"/>
    </xf>
    <xf numFmtId="0" fontId="6" fillId="5" borderId="2" xfId="17" applyFill="1" applyBorder="1" applyProtection="1">
      <protection locked="0"/>
    </xf>
    <xf numFmtId="0" fontId="6" fillId="2" borderId="2" xfId="17" applyFill="1" applyBorder="1" applyAlignment="1" applyProtection="1">
      <alignment horizontal="center"/>
      <protection locked="0"/>
    </xf>
    <xf numFmtId="0" fontId="6" fillId="2" borderId="0" xfId="17" applyFont="1" applyFill="1" applyBorder="1" applyAlignment="1" applyProtection="1">
      <alignment horizontal="center"/>
      <protection locked="0"/>
    </xf>
    <xf numFmtId="0" fontId="6" fillId="2" borderId="0" xfId="17" applyFill="1" applyBorder="1" applyAlignment="1">
      <alignment horizontal="center"/>
    </xf>
    <xf numFmtId="0" fontId="98" fillId="2" borderId="0" xfId="17" applyFont="1" applyFill="1" applyBorder="1" applyAlignment="1">
      <alignment horizontal="center"/>
    </xf>
    <xf numFmtId="0" fontId="6" fillId="2" borderId="2" xfId="17" applyFill="1" applyBorder="1" applyAlignment="1">
      <alignment horizontal="center"/>
    </xf>
    <xf numFmtId="0" fontId="98" fillId="2" borderId="62" xfId="17" applyFont="1" applyFill="1" applyBorder="1" applyAlignment="1">
      <alignment horizontal="center"/>
    </xf>
    <xf numFmtId="0" fontId="20" fillId="4" borderId="41" xfId="17" applyFont="1" applyFill="1" applyBorder="1"/>
    <xf numFmtId="0" fontId="6" fillId="2" borderId="61" xfId="17" applyFill="1" applyBorder="1" applyAlignment="1" applyProtection="1">
      <alignment horizontal="center"/>
      <protection locked="0"/>
    </xf>
    <xf numFmtId="0" fontId="6" fillId="2" borderId="62" xfId="17" applyFont="1" applyFill="1" applyBorder="1" applyAlignment="1" applyProtection="1">
      <alignment horizontal="center"/>
      <protection locked="0"/>
    </xf>
    <xf numFmtId="0" fontId="6" fillId="0" borderId="0" xfId="17" applyAlignment="1">
      <alignment horizontal="right"/>
    </xf>
    <xf numFmtId="0" fontId="20" fillId="4" borderId="0" xfId="17" applyFont="1" applyFill="1" applyAlignment="1">
      <alignment horizontal="center"/>
    </xf>
    <xf numFmtId="0" fontId="20" fillId="4" borderId="6" xfId="17" applyFont="1" applyFill="1" applyBorder="1" applyAlignment="1">
      <alignment horizontal="right"/>
    </xf>
    <xf numFmtId="0" fontId="20" fillId="4" borderId="7" xfId="17" applyFont="1" applyFill="1" applyBorder="1" applyAlignment="1">
      <alignment horizontal="right"/>
    </xf>
    <xf numFmtId="0" fontId="20" fillId="4" borderId="0" xfId="17" applyFont="1" applyFill="1" applyAlignment="1">
      <alignment horizontal="right"/>
    </xf>
    <xf numFmtId="0" fontId="20" fillId="4" borderId="0" xfId="17" applyFont="1" applyFill="1" applyBorder="1" applyAlignment="1">
      <alignment horizontal="right"/>
    </xf>
    <xf numFmtId="0" fontId="20" fillId="4" borderId="0" xfId="17" applyFont="1" applyFill="1" applyBorder="1" applyAlignment="1" applyProtection="1">
      <alignment horizontal="left"/>
    </xf>
    <xf numFmtId="0" fontId="20" fillId="4" borderId="2" xfId="17" applyFont="1" applyFill="1" applyBorder="1" applyAlignment="1" applyProtection="1">
      <alignment horizontal="left"/>
    </xf>
    <xf numFmtId="0" fontId="20" fillId="4" borderId="0" xfId="17" applyFont="1" applyFill="1" applyBorder="1" applyProtection="1"/>
    <xf numFmtId="0" fontId="21" fillId="4" borderId="0" xfId="17" applyFont="1" applyFill="1"/>
    <xf numFmtId="0" fontId="20" fillId="4" borderId="69" xfId="17" applyFont="1" applyFill="1" applyBorder="1" applyAlignment="1">
      <alignment horizontal="left"/>
    </xf>
    <xf numFmtId="0" fontId="6" fillId="0" borderId="41" xfId="17" applyFont="1" applyFill="1" applyBorder="1"/>
    <xf numFmtId="0" fontId="6" fillId="0" borderId="0" xfId="17" applyFont="1" applyFill="1" applyBorder="1"/>
    <xf numFmtId="0" fontId="20" fillId="4" borderId="0" xfId="17" applyFont="1" applyFill="1" applyBorder="1" applyAlignment="1">
      <alignment horizontal="center"/>
    </xf>
    <xf numFmtId="0" fontId="6" fillId="0" borderId="61" xfId="17" applyFont="1" applyFill="1" applyBorder="1"/>
    <xf numFmtId="0" fontId="6" fillId="0" borderId="62" xfId="17" applyFont="1" applyFill="1" applyBorder="1"/>
    <xf numFmtId="0" fontId="20" fillId="4" borderId="62" xfId="17" applyFont="1" applyFill="1" applyBorder="1" applyAlignment="1">
      <alignment horizontal="center"/>
    </xf>
    <xf numFmtId="0" fontId="20" fillId="4" borderId="63" xfId="17" applyFont="1" applyFill="1" applyBorder="1"/>
    <xf numFmtId="0" fontId="6" fillId="2" borderId="0" xfId="17" applyFill="1" applyAlignment="1"/>
    <xf numFmtId="0" fontId="6" fillId="2" borderId="0" xfId="17" applyFill="1"/>
    <xf numFmtId="0" fontId="12" fillId="0" borderId="0" xfId="17" applyFont="1"/>
    <xf numFmtId="0" fontId="123" fillId="0" borderId="0" xfId="17" applyFont="1"/>
    <xf numFmtId="0" fontId="95" fillId="2" borderId="24" xfId="17" applyFont="1" applyFill="1" applyBorder="1" applyAlignment="1">
      <alignment horizontal="center"/>
    </xf>
    <xf numFmtId="0" fontId="95" fillId="2" borderId="6" xfId="17" applyFont="1" applyFill="1" applyBorder="1" applyAlignment="1">
      <alignment horizontal="center"/>
    </xf>
    <xf numFmtId="0" fontId="95" fillId="2" borderId="0" xfId="17" applyFont="1" applyFill="1" applyBorder="1" applyAlignment="1">
      <alignment horizontal="center"/>
    </xf>
    <xf numFmtId="0" fontId="95" fillId="2" borderId="42" xfId="17" applyFont="1" applyFill="1" applyBorder="1" applyAlignment="1">
      <alignment horizontal="center"/>
    </xf>
    <xf numFmtId="0" fontId="98" fillId="2" borderId="42" xfId="17" applyFont="1" applyFill="1" applyBorder="1" applyAlignment="1" applyProtection="1">
      <alignment horizontal="center"/>
      <protection locked="0"/>
    </xf>
    <xf numFmtId="0" fontId="98" fillId="2" borderId="8" xfId="17" applyFont="1" applyFill="1" applyBorder="1" applyAlignment="1" applyProtection="1">
      <alignment horizontal="center"/>
      <protection locked="0"/>
    </xf>
    <xf numFmtId="0" fontId="98" fillId="2" borderId="10" xfId="17" applyFont="1" applyFill="1" applyBorder="1" applyProtection="1">
      <protection locked="0"/>
    </xf>
    <xf numFmtId="0" fontId="12" fillId="2" borderId="58" xfId="17" applyFont="1" applyFill="1" applyBorder="1" applyAlignment="1">
      <alignment horizontal="center"/>
    </xf>
    <xf numFmtId="0" fontId="12" fillId="2" borderId="59" xfId="17" applyFont="1" applyFill="1" applyBorder="1"/>
    <xf numFmtId="0" fontId="12" fillId="2" borderId="60" xfId="17" applyFont="1" applyFill="1" applyBorder="1" applyAlignment="1">
      <alignment horizontal="center"/>
    </xf>
    <xf numFmtId="0" fontId="98" fillId="2" borderId="4" xfId="17" applyFont="1" applyFill="1" applyBorder="1" applyProtection="1">
      <protection locked="0"/>
    </xf>
    <xf numFmtId="0" fontId="98" fillId="2" borderId="11" xfId="17" applyFont="1" applyFill="1" applyBorder="1" applyAlignment="1" applyProtection="1">
      <alignment horizontal="center"/>
      <protection locked="0"/>
    </xf>
    <xf numFmtId="0" fontId="98" fillId="2" borderId="41" xfId="17" applyFont="1" applyFill="1" applyBorder="1" applyAlignment="1">
      <alignment horizontal="center"/>
    </xf>
    <xf numFmtId="0" fontId="98" fillId="2" borderId="42" xfId="17" applyFont="1" applyFill="1" applyBorder="1" applyAlignment="1">
      <alignment horizontal="center"/>
    </xf>
    <xf numFmtId="0" fontId="98" fillId="2" borderId="4" xfId="17" applyFont="1" applyFill="1" applyBorder="1"/>
    <xf numFmtId="0" fontId="6" fillId="0" borderId="0" xfId="17" applyFill="1"/>
    <xf numFmtId="0" fontId="98" fillId="2" borderId="61" xfId="17" applyFont="1" applyFill="1" applyBorder="1" applyAlignment="1">
      <alignment horizontal="center"/>
    </xf>
    <xf numFmtId="0" fontId="98" fillId="2" borderId="63" xfId="17" applyFont="1" applyFill="1" applyBorder="1" applyAlignment="1">
      <alignment horizontal="center"/>
    </xf>
    <xf numFmtId="0" fontId="98" fillId="2" borderId="13" xfId="17" applyFont="1" applyFill="1" applyBorder="1" applyAlignment="1" applyProtection="1">
      <alignment horizontal="center"/>
      <protection locked="0"/>
    </xf>
    <xf numFmtId="0" fontId="113" fillId="4" borderId="7" xfId="17" applyFont="1" applyFill="1" applyBorder="1" applyAlignment="1">
      <alignment horizontal="center"/>
    </xf>
    <xf numFmtId="0" fontId="113" fillId="4" borderId="2" xfId="17" applyFont="1" applyFill="1" applyBorder="1" applyAlignment="1">
      <alignment horizontal="center"/>
    </xf>
    <xf numFmtId="0" fontId="113" fillId="4" borderId="19" xfId="17" applyFont="1" applyFill="1" applyBorder="1" applyAlignment="1">
      <alignment horizontal="center"/>
    </xf>
    <xf numFmtId="0" fontId="6" fillId="2" borderId="62" xfId="17" applyFill="1" applyBorder="1" applyAlignment="1">
      <alignment horizontal="center"/>
    </xf>
    <xf numFmtId="0" fontId="21" fillId="4" borderId="2" xfId="17" applyFont="1" applyFill="1" applyBorder="1"/>
    <xf numFmtId="0" fontId="21" fillId="4" borderId="19" xfId="17" applyFont="1" applyFill="1" applyBorder="1"/>
    <xf numFmtId="0" fontId="21" fillId="4" borderId="45" xfId="17" applyFont="1" applyFill="1" applyBorder="1"/>
    <xf numFmtId="0" fontId="21" fillId="4" borderId="21" xfId="17" applyFont="1" applyFill="1" applyBorder="1"/>
    <xf numFmtId="0" fontId="6" fillId="0" borderId="41" xfId="17" applyFill="1" applyBorder="1"/>
    <xf numFmtId="0" fontId="21" fillId="4" borderId="42" xfId="17" applyFont="1" applyFill="1" applyBorder="1" applyAlignment="1">
      <alignment horizontal="center"/>
    </xf>
    <xf numFmtId="0" fontId="6" fillId="0" borderId="42" xfId="17" applyFill="1" applyBorder="1"/>
    <xf numFmtId="0" fontId="6" fillId="0" borderId="61" xfId="17" applyFill="1" applyBorder="1"/>
    <xf numFmtId="0" fontId="20" fillId="4" borderId="62" xfId="17" applyFont="1" applyFill="1" applyBorder="1"/>
    <xf numFmtId="0" fontId="6" fillId="0" borderId="63" xfId="17" applyFill="1" applyBorder="1"/>
    <xf numFmtId="0" fontId="0" fillId="0" borderId="0" xfId="0"/>
    <xf numFmtId="0" fontId="6" fillId="0" borderId="2" xfId="17" applyFont="1" applyBorder="1"/>
    <xf numFmtId="0" fontId="12" fillId="0" borderId="5" xfId="17" applyFont="1" applyBorder="1" applyAlignment="1">
      <alignment horizontal="center" vertical="center"/>
    </xf>
    <xf numFmtId="0" fontId="21" fillId="3" borderId="5" xfId="17" applyFont="1" applyFill="1" applyBorder="1" applyAlignment="1">
      <alignment horizontal="center" wrapText="1"/>
    </xf>
    <xf numFmtId="0" fontId="12" fillId="0" borderId="5" xfId="17" applyFont="1" applyBorder="1" applyAlignment="1">
      <alignment horizontal="center" wrapText="1"/>
    </xf>
    <xf numFmtId="0" fontId="21" fillId="3" borderId="33" xfId="17" applyFont="1" applyFill="1" applyBorder="1" applyAlignment="1">
      <alignment horizontal="center" wrapText="1"/>
    </xf>
    <xf numFmtId="0" fontId="6" fillId="5" borderId="25" xfId="17" applyFill="1" applyBorder="1" applyAlignment="1" applyProtection="1">
      <alignment horizontal="left"/>
      <protection locked="0"/>
    </xf>
    <xf numFmtId="2" fontId="20" fillId="3" borderId="0" xfId="17" applyNumberFormat="1" applyFont="1" applyFill="1" applyBorder="1"/>
    <xf numFmtId="166" fontId="6" fillId="5" borderId="2" xfId="17" applyNumberFormat="1" applyFill="1" applyBorder="1" applyProtection="1">
      <protection locked="0"/>
    </xf>
    <xf numFmtId="0" fontId="20" fillId="3" borderId="0" xfId="17" applyFont="1" applyFill="1" applyBorder="1"/>
    <xf numFmtId="0" fontId="72" fillId="0" borderId="0" xfId="17" applyFont="1"/>
    <xf numFmtId="166" fontId="6" fillId="0" borderId="0" xfId="17" applyNumberFormat="1" applyFill="1" applyBorder="1"/>
    <xf numFmtId="1" fontId="70" fillId="0" borderId="0" xfId="17" applyNumberFormat="1" applyFont="1"/>
    <xf numFmtId="0" fontId="6" fillId="0" borderId="0" xfId="17" applyFill="1" applyBorder="1"/>
    <xf numFmtId="166" fontId="12" fillId="0" borderId="0" xfId="17" applyNumberFormat="1" applyFont="1"/>
    <xf numFmtId="2" fontId="6" fillId="0" borderId="0" xfId="17" applyNumberFormat="1"/>
    <xf numFmtId="0" fontId="6" fillId="0" borderId="0" xfId="17" quotePrefix="1"/>
    <xf numFmtId="166" fontId="6" fillId="0" borderId="0" xfId="17" applyNumberFormat="1"/>
    <xf numFmtId="0" fontId="6" fillId="11" borderId="0" xfId="17" applyFill="1" applyBorder="1" applyProtection="1">
      <protection locked="0"/>
    </xf>
    <xf numFmtId="0" fontId="6" fillId="11" borderId="0" xfId="14" applyFill="1" applyBorder="1" applyProtection="1">
      <protection locked="0"/>
    </xf>
    <xf numFmtId="0" fontId="13" fillId="0" borderId="4" xfId="10" quotePrefix="1" applyFont="1" applyBorder="1"/>
    <xf numFmtId="0" fontId="13" fillId="0" borderId="4" xfId="10" applyFont="1" applyBorder="1"/>
    <xf numFmtId="0" fontId="17" fillId="0" borderId="33" xfId="10" applyFont="1" applyBorder="1" applyAlignment="1">
      <alignment horizontal="center"/>
    </xf>
    <xf numFmtId="0" fontId="12" fillId="0" borderId="4" xfId="10" quotePrefix="1" applyFont="1" applyBorder="1"/>
    <xf numFmtId="0" fontId="12" fillId="0" borderId="4" xfId="10" applyFont="1" applyBorder="1"/>
    <xf numFmtId="0" fontId="12" fillId="0" borderId="33" xfId="10" applyFont="1" applyBorder="1" applyAlignment="1">
      <alignment horizontal="center"/>
    </xf>
    <xf numFmtId="173" fontId="14" fillId="9" borderId="2" xfId="1" applyNumberFormat="1" applyFont="1" applyFill="1" applyBorder="1" applyProtection="1">
      <protection locked="0"/>
    </xf>
    <xf numFmtId="0" fontId="0" fillId="0" borderId="0" xfId="0"/>
    <xf numFmtId="0" fontId="0" fillId="0" borderId="0" xfId="0"/>
    <xf numFmtId="0" fontId="0" fillId="7" borderId="2" xfId="0" applyFill="1" applyBorder="1"/>
    <xf numFmtId="0" fontId="0" fillId="0" borderId="2" xfId="0" applyBorder="1" applyAlignment="1">
      <alignment horizontal="center" vertical="center" textRotation="90"/>
    </xf>
    <xf numFmtId="0" fontId="0" fillId="0" borderId="98" xfId="0" applyFill="1" applyBorder="1" applyAlignment="1" applyProtection="1">
      <alignment horizontal="left"/>
      <protection locked="0"/>
    </xf>
    <xf numFmtId="0" fontId="0" fillId="15" borderId="98" xfId="0" applyFill="1" applyBorder="1" applyAlignment="1" applyProtection="1">
      <alignment horizontal="left"/>
      <protection locked="0"/>
    </xf>
    <xf numFmtId="0" fontId="0" fillId="0" borderId="0" xfId="0" applyProtection="1"/>
    <xf numFmtId="0" fontId="0" fillId="0" borderId="0" xfId="0" applyFill="1" applyProtection="1"/>
    <xf numFmtId="0" fontId="27" fillId="0" borderId="0" xfId="0" applyFont="1" applyAlignment="1" applyProtection="1">
      <alignment horizontal="center"/>
    </xf>
    <xf numFmtId="0" fontId="0" fillId="0" borderId="0" xfId="0" applyFill="1" applyBorder="1" applyProtection="1"/>
    <xf numFmtId="0" fontId="0" fillId="0" borderId="2" xfId="0" applyFill="1" applyBorder="1" applyProtection="1"/>
    <xf numFmtId="0" fontId="0" fillId="0" borderId="2" xfId="0" applyBorder="1" applyProtection="1"/>
    <xf numFmtId="0" fontId="0" fillId="0" borderId="0" xfId="0" applyFill="1" applyBorder="1" applyAlignment="1" applyProtection="1">
      <alignment horizontal="center"/>
    </xf>
    <xf numFmtId="0" fontId="0" fillId="0" borderId="7" xfId="0" applyFill="1" applyBorder="1" applyProtection="1"/>
    <xf numFmtId="0" fontId="1" fillId="0" borderId="6" xfId="0" applyFont="1" applyFill="1" applyBorder="1" applyAlignment="1">
      <alignment horizontal="center"/>
    </xf>
    <xf numFmtId="0" fontId="98" fillId="2" borderId="2" xfId="0" applyFont="1" applyFill="1" applyBorder="1" applyProtection="1"/>
    <xf numFmtId="0" fontId="95" fillId="0" borderId="7" xfId="0" applyFont="1" applyBorder="1" applyAlignment="1" applyProtection="1">
      <alignment horizontal="center"/>
    </xf>
    <xf numFmtId="0" fontId="14" fillId="0" borderId="0" xfId="0" applyFont="1" applyAlignment="1" applyProtection="1">
      <alignment horizontal="right"/>
    </xf>
    <xf numFmtId="0" fontId="13" fillId="0" borderId="0" xfId="0" applyFont="1" applyAlignment="1" applyProtection="1">
      <alignment horizontal="left"/>
    </xf>
    <xf numFmtId="0" fontId="21" fillId="4" borderId="2" xfId="0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65" fontId="17" fillId="2" borderId="2" xfId="0" applyNumberFormat="1" applyFont="1" applyFill="1" applyBorder="1" applyAlignment="1" applyProtection="1">
      <alignment horizontal="left"/>
    </xf>
    <xf numFmtId="0" fontId="14" fillId="0" borderId="0" xfId="0" applyFont="1" applyProtection="1"/>
    <xf numFmtId="0" fontId="22" fillId="0" borderId="2" xfId="0" applyFont="1" applyBorder="1" applyProtection="1"/>
    <xf numFmtId="0" fontId="36" fillId="0" borderId="0" xfId="0" applyFont="1" applyAlignment="1" applyProtection="1">
      <alignment horizontal="right"/>
    </xf>
    <xf numFmtId="0" fontId="13" fillId="0" borderId="0" xfId="0" applyFont="1" applyProtection="1"/>
    <xf numFmtId="0" fontId="22" fillId="0" borderId="2" xfId="0" applyFont="1" applyBorder="1" applyAlignment="1" applyProtection="1">
      <alignment horizontal="center"/>
    </xf>
    <xf numFmtId="2" fontId="14" fillId="0" borderId="0" xfId="0" applyNumberFormat="1" applyFont="1" applyProtection="1"/>
    <xf numFmtId="0" fontId="22" fillId="0" borderId="2" xfId="0" applyFont="1" applyBorder="1" applyAlignment="1" applyProtection="1">
      <alignment horizontal="centerContinuous"/>
    </xf>
    <xf numFmtId="0" fontId="22" fillId="0" borderId="6" xfId="0" applyFont="1" applyBorder="1" applyAlignment="1" applyProtection="1">
      <alignment horizontal="center"/>
    </xf>
    <xf numFmtId="2" fontId="22" fillId="0" borderId="6" xfId="0" applyNumberFormat="1" applyFont="1" applyBorder="1" applyAlignment="1" applyProtection="1">
      <alignment horizontal="center"/>
    </xf>
    <xf numFmtId="0" fontId="22" fillId="0" borderId="7" xfId="0" applyFont="1" applyBorder="1" applyAlignment="1" applyProtection="1">
      <alignment horizontal="center"/>
    </xf>
    <xf numFmtId="0" fontId="22" fillId="8" borderId="3" xfId="0" applyFont="1" applyFill="1" applyBorder="1" applyAlignment="1" applyProtection="1">
      <alignment horizontal="center"/>
    </xf>
    <xf numFmtId="2" fontId="22" fillId="8" borderId="23" xfId="0" applyNumberFormat="1" applyFont="1" applyFill="1" applyBorder="1" applyAlignment="1" applyProtection="1">
      <alignment horizontal="center"/>
    </xf>
    <xf numFmtId="0" fontId="22" fillId="8" borderId="4" xfId="0" applyFont="1" applyFill="1" applyBorder="1" applyAlignment="1" applyProtection="1">
      <alignment horizontal="center"/>
    </xf>
    <xf numFmtId="2" fontId="14" fillId="0" borderId="4" xfId="0" applyNumberFormat="1" applyFont="1" applyBorder="1" applyProtection="1"/>
    <xf numFmtId="2" fontId="14" fillId="0" borderId="2" xfId="0" applyNumberFormat="1" applyFont="1" applyBorder="1" applyProtection="1"/>
    <xf numFmtId="0" fontId="13" fillId="8" borderId="2" xfId="0" applyFont="1" applyFill="1" applyBorder="1" applyAlignment="1" applyProtection="1"/>
    <xf numFmtId="0" fontId="14" fillId="0" borderId="2" xfId="0" applyFont="1" applyBorder="1" applyAlignment="1" applyProtection="1">
      <alignment horizontal="center"/>
    </xf>
    <xf numFmtId="0" fontId="39" fillId="0" borderId="0" xfId="0" applyFont="1" applyAlignment="1" applyProtection="1">
      <alignment horizontal="centerContinuous"/>
    </xf>
    <xf numFmtId="0" fontId="14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centerContinuous"/>
    </xf>
    <xf numFmtId="0" fontId="0" fillId="0" borderId="0" xfId="0" applyAlignment="1" applyProtection="1">
      <alignment horizontal="centerContinuous"/>
    </xf>
    <xf numFmtId="0" fontId="13" fillId="0" borderId="0" xfId="0" applyFont="1" applyAlignment="1" applyProtection="1">
      <alignment horizontal="centerContinuous"/>
    </xf>
    <xf numFmtId="0" fontId="9" fillId="0" borderId="0" xfId="0" applyFont="1" applyFill="1" applyBorder="1" applyAlignment="1" applyProtection="1">
      <alignment horizontal="right"/>
    </xf>
    <xf numFmtId="0" fontId="14" fillId="0" borderId="0" xfId="0" applyFont="1" applyBorder="1" applyAlignment="1" applyProtection="1">
      <alignment horizontal="right"/>
    </xf>
    <xf numFmtId="0" fontId="90" fillId="0" borderId="2" xfId="0" applyFont="1" applyBorder="1" applyAlignment="1" applyProtection="1">
      <alignment horizontal="centerContinuous"/>
    </xf>
    <xf numFmtId="0" fontId="13" fillId="0" borderId="0" xfId="0" applyFont="1" applyBorder="1" applyProtection="1"/>
    <xf numFmtId="2" fontId="14" fillId="0" borderId="9" xfId="0" applyNumberFormat="1" applyFont="1" applyBorder="1" applyProtection="1"/>
    <xf numFmtId="0" fontId="22" fillId="2" borderId="7" xfId="0" applyFont="1" applyFill="1" applyBorder="1" applyProtection="1"/>
    <xf numFmtId="0" fontId="14" fillId="2" borderId="7" xfId="0" applyNumberFormat="1" applyFont="1" applyFill="1" applyBorder="1" applyAlignment="1" applyProtection="1">
      <alignment horizontal="right"/>
    </xf>
    <xf numFmtId="0" fontId="14" fillId="2" borderId="7" xfId="0" applyFont="1" applyFill="1" applyBorder="1" applyAlignment="1" applyProtection="1">
      <alignment horizontal="right"/>
    </xf>
    <xf numFmtId="0" fontId="22" fillId="2" borderId="2" xfId="0" applyFont="1" applyFill="1" applyBorder="1" applyProtection="1"/>
    <xf numFmtId="0" fontId="55" fillId="7" borderId="0" xfId="0" applyFont="1" applyFill="1"/>
    <xf numFmtId="0" fontId="61" fillId="0" borderId="0" xfId="7" applyFont="1" applyProtection="1"/>
    <xf numFmtId="0" fontId="6" fillId="0" borderId="0" xfId="7" applyProtection="1"/>
    <xf numFmtId="0" fontId="22" fillId="0" borderId="0" xfId="7" applyFont="1" applyAlignment="1" applyProtection="1">
      <alignment horizontal="right"/>
    </xf>
    <xf numFmtId="0" fontId="6" fillId="0" borderId="0" xfId="7" applyFont="1" applyProtection="1"/>
    <xf numFmtId="0" fontId="12" fillId="0" borderId="5" xfId="7" applyFont="1" applyBorder="1" applyAlignment="1" applyProtection="1">
      <alignment horizontal="center"/>
    </xf>
    <xf numFmtId="0" fontId="12" fillId="0" borderId="0" xfId="7" applyFont="1" applyAlignment="1" applyProtection="1">
      <alignment horizontal="center"/>
    </xf>
    <xf numFmtId="170" fontId="14" fillId="3" borderId="2" xfId="7" applyNumberFormat="1" applyFont="1" applyFill="1" applyBorder="1" applyProtection="1"/>
    <xf numFmtId="0" fontId="12" fillId="0" borderId="0" xfId="7" quotePrefix="1" applyFont="1" applyBorder="1" applyProtection="1"/>
    <xf numFmtId="0" fontId="14" fillId="0" borderId="0" xfId="7" applyFont="1" applyProtection="1"/>
    <xf numFmtId="170" fontId="14" fillId="0" borderId="0" xfId="7" applyNumberFormat="1" applyFont="1" applyProtection="1"/>
    <xf numFmtId="0" fontId="14" fillId="0" borderId="2" xfId="7" applyFont="1" applyBorder="1" applyAlignment="1" applyProtection="1">
      <alignment horizontal="right"/>
    </xf>
    <xf numFmtId="170" fontId="14" fillId="0" borderId="2" xfId="7" applyNumberFormat="1" applyFont="1" applyBorder="1" applyProtection="1"/>
    <xf numFmtId="0" fontId="4" fillId="0" borderId="2" xfId="7" applyFont="1" applyBorder="1" applyAlignment="1" applyProtection="1">
      <alignment horizontal="right"/>
    </xf>
    <xf numFmtId="2" fontId="14" fillId="0" borderId="2" xfId="7" applyNumberFormat="1" applyFont="1" applyBorder="1" applyProtection="1"/>
    <xf numFmtId="165" fontId="14" fillId="0" borderId="2" xfId="7" applyNumberFormat="1" applyFont="1" applyBorder="1" applyProtection="1"/>
    <xf numFmtId="0" fontId="12" fillId="0" borderId="2" xfId="7" applyFont="1" applyBorder="1" applyAlignment="1" applyProtection="1">
      <alignment horizontal="right"/>
    </xf>
    <xf numFmtId="165" fontId="12" fillId="0" borderId="2" xfId="7" applyNumberFormat="1" applyFont="1" applyBorder="1" applyProtection="1"/>
    <xf numFmtId="0" fontId="14" fillId="7" borderId="3" xfId="7" applyFont="1" applyFill="1" applyBorder="1" applyProtection="1">
      <protection locked="0"/>
    </xf>
    <xf numFmtId="0" fontId="14" fillId="7" borderId="23" xfId="7" applyFont="1" applyFill="1" applyBorder="1" applyProtection="1">
      <protection locked="0"/>
    </xf>
    <xf numFmtId="0" fontId="14" fillId="7" borderId="4" xfId="7" applyFont="1" applyFill="1" applyBorder="1" applyProtection="1">
      <protection locked="0"/>
    </xf>
    <xf numFmtId="0" fontId="0" fillId="7" borderId="2" xfId="0" applyFill="1" applyBorder="1"/>
    <xf numFmtId="0" fontId="0" fillId="0" borderId="0" xfId="0" applyAlignment="1" applyProtection="1">
      <alignment horizontal="center"/>
    </xf>
    <xf numFmtId="0" fontId="22" fillId="0" borderId="0" xfId="0" applyFont="1" applyAlignment="1" applyProtection="1">
      <alignment horizontal="center"/>
    </xf>
    <xf numFmtId="3" fontId="14" fillId="0" borderId="0" xfId="0" applyNumberFormat="1" applyFont="1" applyFill="1" applyBorder="1" applyProtection="1"/>
    <xf numFmtId="0" fontId="14" fillId="0" borderId="0" xfId="0" applyFont="1" applyAlignment="1" applyProtection="1"/>
    <xf numFmtId="0" fontId="12" fillId="0" borderId="28" xfId="0" applyFont="1" applyBorder="1" applyAlignment="1" applyProtection="1">
      <alignment horizontal="center"/>
    </xf>
    <xf numFmtId="0" fontId="12" fillId="0" borderId="29" xfId="0" applyFont="1" applyBorder="1" applyAlignment="1" applyProtection="1">
      <alignment horizontal="center"/>
    </xf>
    <xf numFmtId="0" fontId="0" fillId="0" borderId="26" xfId="0" applyBorder="1" applyProtection="1"/>
    <xf numFmtId="174" fontId="14" fillId="0" borderId="30" xfId="1" applyNumberFormat="1" applyFont="1" applyBorder="1" applyProtection="1"/>
    <xf numFmtId="0" fontId="0" fillId="0" borderId="16" xfId="0" applyBorder="1" applyProtection="1"/>
    <xf numFmtId="174" fontId="14" fillId="0" borderId="19" xfId="1" applyNumberFormat="1" applyFont="1" applyBorder="1" applyProtection="1"/>
    <xf numFmtId="173" fontId="14" fillId="0" borderId="19" xfId="1" applyNumberFormat="1" applyFont="1" applyBorder="1" applyProtection="1"/>
    <xf numFmtId="173" fontId="12" fillId="0" borderId="20" xfId="1" applyNumberFormat="1" applyFont="1" applyFill="1" applyBorder="1" applyProtection="1"/>
    <xf numFmtId="173" fontId="12" fillId="0" borderId="21" xfId="1" applyNumberFormat="1" applyFont="1" applyFill="1" applyBorder="1" applyProtection="1"/>
    <xf numFmtId="165" fontId="65" fillId="16" borderId="2" xfId="0" applyNumberFormat="1" applyFont="1" applyFill="1" applyBorder="1"/>
    <xf numFmtId="0" fontId="0" fillId="0" borderId="0" xfId="0"/>
    <xf numFmtId="0" fontId="0" fillId="7" borderId="2" xfId="0" applyFill="1" applyBorder="1"/>
    <xf numFmtId="0" fontId="6" fillId="7" borderId="2" xfId="7" applyFont="1" applyFill="1" applyBorder="1" applyProtection="1">
      <protection locked="0"/>
    </xf>
    <xf numFmtId="0" fontId="0" fillId="0" borderId="0" xfId="0" applyAlignment="1">
      <alignment horizontal="center"/>
    </xf>
    <xf numFmtId="0" fontId="0" fillId="0" borderId="0" xfId="0"/>
    <xf numFmtId="0" fontId="0" fillId="7" borderId="2" xfId="0" applyFill="1" applyBorder="1"/>
    <xf numFmtId="0" fontId="55" fillId="7" borderId="3" xfId="0" applyFont="1" applyFill="1" applyBorder="1" applyAlignment="1">
      <alignment horizontal="center"/>
    </xf>
    <xf numFmtId="0" fontId="55" fillId="7" borderId="23" xfId="0" applyFont="1" applyFill="1" applyBorder="1" applyAlignment="1">
      <alignment horizontal="center"/>
    </xf>
    <xf numFmtId="0" fontId="55" fillId="7" borderId="4" xfId="0" applyFont="1" applyFill="1" applyBorder="1" applyAlignment="1">
      <alignment horizontal="center"/>
    </xf>
    <xf numFmtId="0" fontId="27" fillId="7" borderId="11" xfId="0" applyFont="1" applyFill="1" applyBorder="1" applyAlignment="1">
      <alignment horizontal="center"/>
    </xf>
    <xf numFmtId="0" fontId="27" fillId="7" borderId="12" xfId="0" applyFont="1" applyFill="1" applyBorder="1" applyAlignment="1">
      <alignment horizontal="center"/>
    </xf>
    <xf numFmtId="0" fontId="27" fillId="7" borderId="0" xfId="0" applyFont="1" applyFill="1" applyBorder="1" applyAlignment="1">
      <alignment horizontal="center"/>
    </xf>
    <xf numFmtId="0" fontId="129" fillId="10" borderId="3" xfId="0" applyFont="1" applyFill="1" applyBorder="1" applyAlignment="1">
      <alignment horizontal="center"/>
    </xf>
    <xf numFmtId="0" fontId="129" fillId="10" borderId="23" xfId="0" applyFont="1" applyFill="1" applyBorder="1" applyAlignment="1">
      <alignment horizontal="center"/>
    </xf>
    <xf numFmtId="0" fontId="129" fillId="10" borderId="4" xfId="0" applyFont="1" applyFill="1" applyBorder="1" applyAlignment="1">
      <alignment horizontal="center"/>
    </xf>
    <xf numFmtId="0" fontId="129" fillId="10" borderId="11" xfId="0" applyFont="1" applyFill="1" applyBorder="1" applyAlignment="1">
      <alignment horizontal="center"/>
    </xf>
    <xf numFmtId="0" fontId="129" fillId="10" borderId="0" xfId="0" applyFont="1" applyFill="1" applyBorder="1" applyAlignment="1">
      <alignment horizontal="center"/>
    </xf>
    <xf numFmtId="0" fontId="14" fillId="6" borderId="0" xfId="0" applyFont="1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14" fillId="6" borderId="11" xfId="0" applyFont="1" applyFill="1" applyBorder="1" applyAlignment="1">
      <alignment horizontal="center" vertical="center" textRotation="90"/>
    </xf>
    <xf numFmtId="0" fontId="14" fillId="0" borderId="0" xfId="0" applyFont="1" applyAlignment="1">
      <alignment horizontal="center"/>
    </xf>
    <xf numFmtId="171" fontId="14" fillId="0" borderId="0" xfId="0" applyNumberFormat="1" applyFont="1" applyAlignment="1">
      <alignment horizontal="center"/>
    </xf>
    <xf numFmtId="0" fontId="14" fillId="0" borderId="2" xfId="0" applyFont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0" fontId="17" fillId="0" borderId="62" xfId="11" applyFont="1" applyBorder="1" applyAlignment="1">
      <alignment horizontal="center"/>
    </xf>
    <xf numFmtId="0" fontId="17" fillId="2" borderId="51" xfId="11" applyFont="1" applyFill="1" applyBorder="1" applyAlignment="1">
      <alignment horizontal="center"/>
    </xf>
    <xf numFmtId="171" fontId="3" fillId="0" borderId="0" xfId="11" applyNumberFormat="1" applyFont="1" applyAlignment="1">
      <alignment horizontal="center"/>
    </xf>
    <xf numFmtId="0" fontId="13" fillId="7" borderId="3" xfId="11" applyFont="1" applyFill="1" applyBorder="1"/>
    <xf numFmtId="0" fontId="13" fillId="7" borderId="23" xfId="11" applyFont="1" applyFill="1" applyBorder="1"/>
    <xf numFmtId="0" fontId="13" fillId="7" borderId="4" xfId="11" applyFont="1" applyFill="1" applyBorder="1"/>
    <xf numFmtId="14" fontId="13" fillId="7" borderId="3" xfId="11" applyNumberFormat="1" applyFont="1" applyFill="1" applyBorder="1"/>
    <xf numFmtId="14" fontId="13" fillId="7" borderId="23" xfId="11" applyNumberFormat="1" applyFont="1" applyFill="1" applyBorder="1"/>
    <xf numFmtId="14" fontId="13" fillId="7" borderId="4" xfId="11" applyNumberFormat="1" applyFont="1" applyFill="1" applyBorder="1"/>
    <xf numFmtId="0" fontId="13" fillId="7" borderId="3" xfId="11" applyFont="1" applyFill="1" applyBorder="1" applyProtection="1">
      <protection locked="0"/>
    </xf>
    <xf numFmtId="0" fontId="13" fillId="7" borderId="23" xfId="11" applyFont="1" applyFill="1" applyBorder="1" applyProtection="1">
      <protection locked="0"/>
    </xf>
    <xf numFmtId="0" fontId="13" fillId="7" borderId="4" xfId="11" applyFont="1" applyFill="1" applyBorder="1" applyProtection="1">
      <protection locked="0"/>
    </xf>
    <xf numFmtId="0" fontId="36" fillId="0" borderId="14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3" borderId="3" xfId="12" applyFont="1" applyFill="1" applyBorder="1" applyAlignment="1">
      <alignment horizontal="center"/>
    </xf>
    <xf numFmtId="0" fontId="19" fillId="3" borderId="23" xfId="12" applyFont="1" applyFill="1" applyBorder="1" applyAlignment="1">
      <alignment horizontal="center"/>
    </xf>
    <xf numFmtId="0" fontId="19" fillId="3" borderId="4" xfId="12" applyFont="1" applyFill="1" applyBorder="1" applyAlignment="1">
      <alignment horizontal="center"/>
    </xf>
    <xf numFmtId="0" fontId="54" fillId="0" borderId="3" xfId="11" applyFont="1" applyBorder="1" applyAlignment="1">
      <alignment horizontal="center"/>
    </xf>
    <xf numFmtId="0" fontId="54" fillId="0" borderId="23" xfId="11" applyFont="1" applyBorder="1" applyAlignment="1">
      <alignment horizontal="center"/>
    </xf>
    <xf numFmtId="0" fontId="54" fillId="0" borderId="4" xfId="11" applyFont="1" applyBorder="1" applyAlignment="1">
      <alignment horizontal="center"/>
    </xf>
    <xf numFmtId="0" fontId="6" fillId="0" borderId="0" xfId="7" applyAlignment="1" applyProtection="1">
      <alignment horizontal="center"/>
    </xf>
    <xf numFmtId="166" fontId="27" fillId="9" borderId="6" xfId="0" applyNumberFormat="1" applyFont="1" applyFill="1" applyBorder="1" applyAlignment="1">
      <alignment horizontal="center" wrapText="1"/>
    </xf>
    <xf numFmtId="166" fontId="27" fillId="9" borderId="7" xfId="0" applyNumberFormat="1" applyFont="1" applyFill="1" applyBorder="1" applyAlignment="1">
      <alignment horizontal="center" wrapText="1"/>
    </xf>
    <xf numFmtId="0" fontId="27" fillId="9" borderId="2" xfId="0" applyFont="1" applyFill="1" applyBorder="1" applyAlignment="1">
      <alignment horizontal="center"/>
    </xf>
    <xf numFmtId="0" fontId="27" fillId="2" borderId="3" xfId="0" applyFont="1" applyFill="1" applyBorder="1" applyAlignment="1">
      <alignment horizontal="center"/>
    </xf>
    <xf numFmtId="0" fontId="27" fillId="2" borderId="4" xfId="0" applyFont="1" applyFill="1" applyBorder="1" applyAlignment="1">
      <alignment horizontal="center"/>
    </xf>
    <xf numFmtId="0" fontId="27" fillId="9" borderId="6" xfId="0" applyFont="1" applyFill="1" applyBorder="1" applyAlignment="1">
      <alignment horizontal="center" wrapText="1"/>
    </xf>
    <xf numFmtId="0" fontId="27" fillId="9" borderId="7" xfId="0" applyFont="1" applyFill="1" applyBorder="1" applyAlignment="1">
      <alignment horizontal="center" wrapText="1"/>
    </xf>
    <xf numFmtId="3" fontId="27" fillId="9" borderId="6" xfId="0" applyNumberFormat="1" applyFont="1" applyFill="1" applyBorder="1" applyAlignment="1">
      <alignment horizontal="center" wrapText="1"/>
    </xf>
    <xf numFmtId="3" fontId="27" fillId="9" borderId="7" xfId="0" applyNumberFormat="1" applyFont="1" applyFill="1" applyBorder="1" applyAlignment="1">
      <alignment horizontal="center" wrapText="1"/>
    </xf>
    <xf numFmtId="164" fontId="27" fillId="9" borderId="6" xfId="0" applyNumberFormat="1" applyFont="1" applyFill="1" applyBorder="1" applyAlignment="1">
      <alignment horizontal="center" wrapText="1"/>
    </xf>
    <xf numFmtId="164" fontId="27" fillId="9" borderId="7" xfId="0" applyNumberFormat="1" applyFont="1" applyFill="1" applyBorder="1" applyAlignment="1">
      <alignment horizont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/>
    <xf numFmtId="164" fontId="27" fillId="9" borderId="13" xfId="0" applyNumberFormat="1" applyFont="1" applyFill="1" applyBorder="1" applyAlignment="1">
      <alignment horizontal="center" wrapText="1"/>
    </xf>
    <xf numFmtId="164" fontId="27" fillId="9" borderId="15" xfId="0" applyNumberFormat="1" applyFont="1" applyFill="1" applyBorder="1" applyAlignment="1">
      <alignment horizontal="center" wrapText="1"/>
    </xf>
    <xf numFmtId="0" fontId="27" fillId="9" borderId="11" xfId="0" applyFont="1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2" fillId="0" borderId="11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71" fillId="0" borderId="23" xfId="0" applyFont="1" applyBorder="1" applyAlignment="1">
      <alignment horizontal="center"/>
    </xf>
    <xf numFmtId="0" fontId="71" fillId="0" borderId="9" xfId="0" applyFont="1" applyBorder="1" applyAlignment="1">
      <alignment horizontal="center"/>
    </xf>
    <xf numFmtId="0" fontId="22" fillId="0" borderId="3" xfId="0" applyFont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11" fillId="7" borderId="2" xfId="0" applyFont="1" applyFill="1" applyBorder="1" applyAlignment="1">
      <alignment horizontal="center"/>
    </xf>
    <xf numFmtId="0" fontId="112" fillId="7" borderId="2" xfId="0" applyFont="1" applyFill="1" applyBorder="1" applyAlignment="1">
      <alignment horizontal="center"/>
    </xf>
    <xf numFmtId="0" fontId="112" fillId="0" borderId="0" xfId="0" applyFont="1" applyAlignment="1">
      <alignment horizontal="left"/>
    </xf>
    <xf numFmtId="0" fontId="14" fillId="7" borderId="3" xfId="0" applyFont="1" applyFill="1" applyBorder="1" applyAlignment="1" applyProtection="1">
      <alignment horizontal="center"/>
      <protection locked="0"/>
    </xf>
    <xf numFmtId="0" fontId="14" fillId="7" borderId="23" xfId="0" applyFont="1" applyFill="1" applyBorder="1" applyAlignment="1" applyProtection="1">
      <alignment horizontal="center"/>
      <protection locked="0"/>
    </xf>
    <xf numFmtId="0" fontId="14" fillId="7" borderId="4" xfId="0" applyFont="1" applyFill="1" applyBorder="1" applyAlignment="1" applyProtection="1">
      <alignment horizontal="center"/>
      <protection locked="0"/>
    </xf>
    <xf numFmtId="0" fontId="22" fillId="0" borderId="10" xfId="10" applyFont="1" applyBorder="1" applyAlignment="1">
      <alignment horizontal="center" vertical="center"/>
    </xf>
    <xf numFmtId="0" fontId="6" fillId="0" borderId="15" xfId="10" applyBorder="1" applyAlignment="1">
      <alignment horizontal="center" vertical="center"/>
    </xf>
    <xf numFmtId="0" fontId="6" fillId="0" borderId="0" xfId="10" applyAlignment="1">
      <alignment horizontal="center"/>
    </xf>
    <xf numFmtId="0" fontId="22" fillId="0" borderId="0" xfId="10" applyFont="1" applyAlignment="1">
      <alignment horizontal="center" vertical="center"/>
    </xf>
    <xf numFmtId="0" fontId="6" fillId="0" borderId="0" xfId="10" applyAlignment="1">
      <alignment vertical="center"/>
    </xf>
    <xf numFmtId="0" fontId="6" fillId="0" borderId="14" xfId="10" applyBorder="1" applyAlignment="1">
      <alignment vertical="center"/>
    </xf>
    <xf numFmtId="0" fontId="22" fillId="0" borderId="9" xfId="10" applyFont="1" applyBorder="1" applyAlignment="1">
      <alignment horizontal="center" vertical="center"/>
    </xf>
    <xf numFmtId="0" fontId="22" fillId="0" borderId="12" xfId="10" applyFont="1" applyBorder="1" applyAlignment="1">
      <alignment horizontal="center" vertical="center"/>
    </xf>
    <xf numFmtId="0" fontId="22" fillId="0" borderId="15" xfId="10" applyFont="1" applyBorder="1" applyAlignment="1">
      <alignment horizontal="center" vertical="center"/>
    </xf>
    <xf numFmtId="0" fontId="6" fillId="0" borderId="3" xfId="10" applyBorder="1" applyAlignment="1">
      <alignment horizontal="center"/>
    </xf>
    <xf numFmtId="0" fontId="6" fillId="0" borderId="23" xfId="10" applyBorder="1" applyAlignment="1">
      <alignment horizontal="center"/>
    </xf>
    <xf numFmtId="0" fontId="6" fillId="0" borderId="5" xfId="10" applyBorder="1" applyAlignment="1">
      <alignment horizontal="center"/>
    </xf>
    <xf numFmtId="0" fontId="6" fillId="2" borderId="0" xfId="10" applyFill="1" applyAlignment="1">
      <alignment horizontal="center"/>
    </xf>
    <xf numFmtId="0" fontId="22" fillId="0" borderId="0" xfId="10" applyFont="1" applyAlignment="1">
      <alignment horizontal="center"/>
    </xf>
    <xf numFmtId="0" fontId="12" fillId="0" borderId="0" xfId="10" applyFont="1" applyBorder="1" applyAlignment="1">
      <alignment horizontal="center" vertical="center"/>
    </xf>
    <xf numFmtId="0" fontId="12" fillId="0" borderId="14" xfId="10" applyFont="1" applyBorder="1" applyAlignment="1">
      <alignment horizontal="center" vertical="center"/>
    </xf>
    <xf numFmtId="0" fontId="12" fillId="0" borderId="0" xfId="10" applyFont="1" applyAlignment="1">
      <alignment horizontal="center" vertical="center"/>
    </xf>
    <xf numFmtId="0" fontId="6" fillId="0" borderId="14" xfId="10" applyBorder="1" applyAlignment="1">
      <alignment horizontal="center"/>
    </xf>
    <xf numFmtId="0" fontId="12" fillId="0" borderId="0" xfId="10" applyFont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Border="1"/>
    <xf numFmtId="0" fontId="14" fillId="7" borderId="3" xfId="0" applyFont="1" applyFill="1" applyBorder="1" applyProtection="1">
      <protection locked="0"/>
    </xf>
    <xf numFmtId="0" fontId="14" fillId="7" borderId="23" xfId="0" applyFont="1" applyFill="1" applyBorder="1" applyProtection="1">
      <protection locked="0"/>
    </xf>
    <xf numFmtId="0" fontId="14" fillId="7" borderId="4" xfId="0" applyFont="1" applyFill="1" applyBorder="1" applyProtection="1">
      <protection locked="0"/>
    </xf>
    <xf numFmtId="0" fontId="27" fillId="0" borderId="14" xfId="0" applyFont="1" applyBorder="1" applyAlignment="1">
      <alignment horizontal="center"/>
    </xf>
    <xf numFmtId="171" fontId="14" fillId="0" borderId="0" xfId="0" applyNumberFormat="1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2" fillId="2" borderId="0" xfId="0" applyFont="1" applyFill="1" applyAlignment="1">
      <alignment horizontal="right"/>
    </xf>
    <xf numFmtId="0" fontId="97" fillId="2" borderId="0" xfId="0" applyFont="1" applyFill="1" applyAlignment="1">
      <alignment horizontal="right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  <xf numFmtId="0" fontId="114" fillId="4" borderId="23" xfId="0" applyFont="1" applyFill="1" applyBorder="1" applyAlignment="1">
      <alignment horizontal="center"/>
    </xf>
    <xf numFmtId="0" fontId="114" fillId="4" borderId="9" xfId="0" applyFont="1" applyFill="1" applyBorder="1" applyAlignment="1">
      <alignment horizontal="center"/>
    </xf>
    <xf numFmtId="0" fontId="14" fillId="0" borderId="84" xfId="0" applyFont="1" applyBorder="1" applyAlignment="1">
      <alignment horizontal="right"/>
    </xf>
    <xf numFmtId="0" fontId="14" fillId="0" borderId="85" xfId="0" applyFont="1" applyBorder="1" applyAlignment="1">
      <alignment horizontal="right"/>
    </xf>
    <xf numFmtId="0" fontId="14" fillId="0" borderId="3" xfId="0" applyFont="1" applyBorder="1" applyAlignment="1">
      <alignment horizontal="right"/>
    </xf>
    <xf numFmtId="0" fontId="14" fillId="0" borderId="86" xfId="0" applyFont="1" applyBorder="1" applyAlignment="1">
      <alignment horizontal="right"/>
    </xf>
    <xf numFmtId="0" fontId="22" fillId="0" borderId="88" xfId="0" applyFont="1" applyBorder="1" applyAlignment="1">
      <alignment horizontal="right"/>
    </xf>
    <xf numFmtId="0" fontId="22" fillId="0" borderId="89" xfId="0" applyFont="1" applyBorder="1" applyAlignment="1">
      <alignment horizontal="right"/>
    </xf>
    <xf numFmtId="0" fontId="56" fillId="0" borderId="90" xfId="0" applyFont="1" applyBorder="1" applyAlignment="1">
      <alignment horizontal="right"/>
    </xf>
    <xf numFmtId="0" fontId="56" fillId="0" borderId="4" xfId="0" applyFont="1" applyBorder="1" applyAlignment="1">
      <alignment horizontal="right"/>
    </xf>
    <xf numFmtId="0" fontId="22" fillId="0" borderId="90" xfId="0" applyFont="1" applyBorder="1" applyAlignment="1">
      <alignment horizontal="right"/>
    </xf>
    <xf numFmtId="0" fontId="22" fillId="0" borderId="4" xfId="0" applyFont="1" applyBorder="1" applyAlignment="1">
      <alignment horizontal="right"/>
    </xf>
    <xf numFmtId="10" fontId="14" fillId="0" borderId="3" xfId="16" applyNumberFormat="1" applyFont="1" applyBorder="1" applyAlignment="1">
      <alignment horizontal="right"/>
    </xf>
    <xf numFmtId="10" fontId="14" fillId="0" borderId="86" xfId="16" applyNumberFormat="1" applyFont="1" applyBorder="1" applyAlignment="1">
      <alignment horizontal="right"/>
    </xf>
    <xf numFmtId="2" fontId="14" fillId="0" borderId="3" xfId="0" applyNumberFormat="1" applyFont="1" applyBorder="1" applyAlignment="1">
      <alignment horizontal="right"/>
    </xf>
    <xf numFmtId="2" fontId="14" fillId="0" borderId="86" xfId="0" applyNumberFormat="1" applyFont="1" applyBorder="1" applyAlignment="1">
      <alignment horizontal="right"/>
    </xf>
    <xf numFmtId="2" fontId="14" fillId="0" borderId="79" xfId="0" applyNumberFormat="1" applyFont="1" applyBorder="1" applyAlignment="1">
      <alignment horizontal="right"/>
    </xf>
    <xf numFmtId="2" fontId="14" fillId="0" borderId="87" xfId="0" applyNumberFormat="1" applyFont="1" applyBorder="1" applyAlignment="1">
      <alignment horizontal="right"/>
    </xf>
    <xf numFmtId="0" fontId="70" fillId="0" borderId="90" xfId="0" applyFont="1" applyBorder="1" applyAlignment="1">
      <alignment horizontal="right"/>
    </xf>
    <xf numFmtId="0" fontId="70" fillId="0" borderId="4" xfId="0" applyFont="1" applyBorder="1" applyAlignment="1">
      <alignment horizontal="right"/>
    </xf>
    <xf numFmtId="0" fontId="14" fillId="0" borderId="82" xfId="0" applyFont="1" applyBorder="1" applyAlignment="1">
      <alignment horizontal="center"/>
    </xf>
    <xf numFmtId="0" fontId="22" fillId="0" borderId="83" xfId="0" applyFont="1" applyBorder="1" applyAlignment="1">
      <alignment horizontal="right"/>
    </xf>
    <xf numFmtId="0" fontId="22" fillId="0" borderId="65" xfId="0" applyFont="1" applyBorder="1" applyAlignment="1">
      <alignment horizontal="right"/>
    </xf>
    <xf numFmtId="0" fontId="0" fillId="7" borderId="2" xfId="0" applyFill="1" applyBorder="1"/>
    <xf numFmtId="0" fontId="6" fillId="7" borderId="3" xfId="14" applyFont="1" applyFill="1" applyBorder="1" applyProtection="1">
      <protection locked="0"/>
    </xf>
    <xf numFmtId="0" fontId="6" fillId="7" borderId="23" xfId="14" applyFont="1" applyFill="1" applyBorder="1" applyProtection="1">
      <protection locked="0"/>
    </xf>
    <xf numFmtId="0" fontId="6" fillId="7" borderId="4" xfId="14" applyFont="1" applyFill="1" applyBorder="1" applyProtection="1">
      <protection locked="0"/>
    </xf>
    <xf numFmtId="0" fontId="39" fillId="0" borderId="0" xfId="17" applyFont="1" applyAlignment="1">
      <alignment horizontal="center"/>
    </xf>
    <xf numFmtId="0" fontId="6" fillId="0" borderId="0" xfId="17" applyAlignment="1">
      <alignment horizontal="center"/>
    </xf>
    <xf numFmtId="0" fontId="12" fillId="0" borderId="0" xfId="17" applyFont="1" applyAlignment="1">
      <alignment horizontal="center"/>
    </xf>
    <xf numFmtId="0" fontId="12" fillId="0" borderId="38" xfId="17" applyFont="1" applyBorder="1" applyAlignment="1">
      <alignment horizontal="center"/>
    </xf>
    <xf numFmtId="0" fontId="12" fillId="0" borderId="39" xfId="17" applyFont="1" applyBorder="1" applyAlignment="1">
      <alignment horizontal="center"/>
    </xf>
    <xf numFmtId="0" fontId="12" fillId="0" borderId="69" xfId="17" applyFont="1" applyBorder="1" applyAlignment="1">
      <alignment horizontal="center"/>
    </xf>
    <xf numFmtId="0" fontId="95" fillId="2" borderId="38" xfId="17" applyFont="1" applyFill="1" applyBorder="1" applyAlignment="1">
      <alignment horizontal="center"/>
    </xf>
    <xf numFmtId="0" fontId="95" fillId="2" borderId="39" xfId="17" applyFont="1" applyFill="1" applyBorder="1" applyAlignment="1">
      <alignment horizontal="center"/>
    </xf>
    <xf numFmtId="0" fontId="95" fillId="2" borderId="69" xfId="17" applyFont="1" applyFill="1" applyBorder="1" applyAlignment="1">
      <alignment horizontal="center"/>
    </xf>
    <xf numFmtId="0" fontId="21" fillId="4" borderId="3" xfId="17" applyFont="1" applyFill="1" applyBorder="1" applyAlignment="1">
      <alignment horizontal="center"/>
    </xf>
    <xf numFmtId="0" fontId="21" fillId="4" borderId="4" xfId="17" applyFont="1" applyFill="1" applyBorder="1" applyAlignment="1">
      <alignment horizontal="center"/>
    </xf>
    <xf numFmtId="0" fontId="21" fillId="4" borderId="38" xfId="17" applyFont="1" applyFill="1" applyBorder="1" applyAlignment="1">
      <alignment horizontal="center"/>
    </xf>
    <xf numFmtId="0" fontId="21" fillId="4" borderId="39" xfId="17" applyFont="1" applyFill="1" applyBorder="1" applyAlignment="1">
      <alignment horizontal="center"/>
    </xf>
    <xf numFmtId="0" fontId="21" fillId="4" borderId="69" xfId="17" applyFont="1" applyFill="1" applyBorder="1" applyAlignment="1">
      <alignment horizontal="center"/>
    </xf>
    <xf numFmtId="0" fontId="12" fillId="0" borderId="91" xfId="17" applyFont="1" applyBorder="1" applyAlignment="1">
      <alignment horizontal="center"/>
    </xf>
    <xf numFmtId="0" fontId="12" fillId="0" borderId="92" xfId="17" applyFont="1" applyBorder="1" applyAlignment="1">
      <alignment horizontal="center"/>
    </xf>
    <xf numFmtId="0" fontId="12" fillId="0" borderId="93" xfId="17" applyFont="1" applyBorder="1" applyAlignment="1">
      <alignment horizontal="center"/>
    </xf>
    <xf numFmtId="0" fontId="20" fillId="4" borderId="38" xfId="17" applyFont="1" applyFill="1" applyBorder="1" applyAlignment="1">
      <alignment horizontal="right"/>
    </xf>
    <xf numFmtId="0" fontId="20" fillId="4" borderId="39" xfId="17" applyFont="1" applyFill="1" applyBorder="1" applyAlignment="1">
      <alignment horizontal="right"/>
    </xf>
    <xf numFmtId="0" fontId="12" fillId="2" borderId="94" xfId="17" applyFont="1" applyFill="1" applyBorder="1" applyAlignment="1">
      <alignment horizontal="center"/>
    </xf>
    <xf numFmtId="0" fontId="12" fillId="2" borderId="95" xfId="17" applyFont="1" applyFill="1" applyBorder="1" applyAlignment="1">
      <alignment horizontal="center"/>
    </xf>
    <xf numFmtId="0" fontId="12" fillId="2" borderId="96" xfId="17" applyFont="1" applyFill="1" applyBorder="1" applyAlignment="1">
      <alignment horizontal="center"/>
    </xf>
    <xf numFmtId="0" fontId="6" fillId="0" borderId="0" xfId="17" applyFont="1" applyAlignment="1">
      <alignment horizontal="center"/>
    </xf>
    <xf numFmtId="0" fontId="6" fillId="5" borderId="3" xfId="17" applyFill="1" applyBorder="1" applyProtection="1">
      <protection locked="0"/>
    </xf>
    <xf numFmtId="0" fontId="6" fillId="5" borderId="23" xfId="17" applyFill="1" applyBorder="1" applyProtection="1">
      <protection locked="0"/>
    </xf>
    <xf numFmtId="0" fontId="6" fillId="5" borderId="4" xfId="17" applyFill="1" applyBorder="1" applyProtection="1">
      <protection locked="0"/>
    </xf>
    <xf numFmtId="0" fontId="58" fillId="12" borderId="5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171" fontId="9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/>
    </xf>
    <xf numFmtId="0" fontId="87" fillId="0" borderId="8" xfId="0" applyFont="1" applyBorder="1" applyAlignment="1">
      <alignment horizontal="center" wrapText="1"/>
    </xf>
    <xf numFmtId="0" fontId="87" fillId="0" borderId="10" xfId="0" applyFont="1" applyBorder="1" applyAlignment="1">
      <alignment horizontal="center" wrapText="1"/>
    </xf>
    <xf numFmtId="0" fontId="0" fillId="0" borderId="3" xfId="0" applyBorder="1" applyAlignment="1">
      <alignment horizontal="right" vertical="center" wrapText="1"/>
    </xf>
    <xf numFmtId="0" fontId="0" fillId="0" borderId="4" xfId="0" applyBorder="1" applyAlignment="1">
      <alignment horizontal="right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 wrapText="1"/>
    </xf>
    <xf numFmtId="0" fontId="27" fillId="0" borderId="33" xfId="0" applyFont="1" applyBorder="1" applyAlignment="1">
      <alignment horizontal="center" vertical="center" wrapText="1"/>
    </xf>
    <xf numFmtId="0" fontId="27" fillId="0" borderId="7" xfId="0" applyFont="1" applyBorder="1" applyAlignment="1">
      <alignment horizontal="center" vertical="center" wrapText="1"/>
    </xf>
    <xf numFmtId="0" fontId="27" fillId="0" borderId="78" xfId="0" applyFont="1" applyBorder="1" applyAlignment="1">
      <alignment horizontal="center" vertical="center"/>
    </xf>
    <xf numFmtId="0" fontId="27" fillId="0" borderId="97" xfId="0" applyFont="1" applyBorder="1" applyAlignment="1">
      <alignment horizontal="center" vertical="center"/>
    </xf>
    <xf numFmtId="9" fontId="126" fillId="7" borderId="2" xfId="0" applyNumberFormat="1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7" fillId="0" borderId="6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center" wrapText="1"/>
    </xf>
    <xf numFmtId="2" fontId="27" fillId="0" borderId="6" xfId="0" applyNumberFormat="1" applyFont="1" applyBorder="1" applyAlignment="1">
      <alignment horizontal="center" vertical="center"/>
    </xf>
    <xf numFmtId="2" fontId="27" fillId="0" borderId="7" xfId="0" applyNumberFormat="1" applyFont="1" applyBorder="1" applyAlignment="1">
      <alignment horizontal="center" vertical="center"/>
    </xf>
    <xf numFmtId="0" fontId="126" fillId="7" borderId="6" xfId="0" applyNumberFormat="1" applyFont="1" applyFill="1" applyBorder="1" applyAlignment="1">
      <alignment horizontal="center" vertical="center" wrapText="1"/>
    </xf>
    <xf numFmtId="0" fontId="126" fillId="7" borderId="7" xfId="0" applyNumberFormat="1" applyFont="1" applyFill="1" applyBorder="1" applyAlignment="1">
      <alignment horizontal="center" vertical="center" wrapText="1"/>
    </xf>
    <xf numFmtId="10" fontId="27" fillId="0" borderId="6" xfId="0" applyNumberFormat="1" applyFont="1" applyBorder="1" applyAlignment="1">
      <alignment horizontal="center" vertical="center"/>
    </xf>
    <xf numFmtId="10" fontId="27" fillId="0" borderId="7" xfId="0" applyNumberFormat="1" applyFont="1" applyBorder="1" applyAlignment="1">
      <alignment horizontal="center" vertical="center"/>
    </xf>
    <xf numFmtId="9" fontId="126" fillId="7" borderId="6" xfId="0" applyNumberFormat="1" applyFont="1" applyFill="1" applyBorder="1" applyAlignment="1">
      <alignment horizontal="center" vertical="center"/>
    </xf>
    <xf numFmtId="9" fontId="126" fillId="7" borderId="7" xfId="0" applyNumberFormat="1" applyFont="1" applyFill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7" fillId="0" borderId="2" xfId="0" applyFont="1" applyBorder="1" applyAlignment="1">
      <alignment horizontal="right" vertical="center" wrapText="1"/>
    </xf>
    <xf numFmtId="2" fontId="27" fillId="0" borderId="2" xfId="0" applyNumberFormat="1" applyFont="1" applyBorder="1" applyAlignment="1">
      <alignment horizontal="center" vertical="center"/>
    </xf>
    <xf numFmtId="0" fontId="126" fillId="7" borderId="2" xfId="0" applyNumberFormat="1" applyFont="1" applyFill="1" applyBorder="1" applyAlignment="1">
      <alignment horizontal="center" vertical="center" wrapText="1"/>
    </xf>
    <xf numFmtId="10" fontId="27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 textRotation="90" wrapText="1"/>
    </xf>
    <xf numFmtId="0" fontId="20" fillId="3" borderId="0" xfId="9" applyNumberFormat="1" applyFont="1" applyFill="1" applyAlignment="1">
      <alignment horizontal="left"/>
    </xf>
    <xf numFmtId="0" fontId="20" fillId="3" borderId="0" xfId="9" applyFont="1" applyFill="1" applyAlignment="1">
      <alignment horizontal="left"/>
    </xf>
    <xf numFmtId="0" fontId="6" fillId="0" borderId="0" xfId="9" applyAlignment="1">
      <alignment horizontal="center"/>
    </xf>
    <xf numFmtId="0" fontId="6" fillId="0" borderId="0" xfId="9" applyAlignment="1">
      <alignment horizontal="left" vertical="top" wrapText="1"/>
    </xf>
    <xf numFmtId="0" fontId="22" fillId="0" borderId="0" xfId="9" applyFont="1" applyAlignment="1">
      <alignment horizontal="center"/>
    </xf>
    <xf numFmtId="0" fontId="6" fillId="0" borderId="3" xfId="9" applyBorder="1" applyAlignment="1">
      <alignment horizontal="center"/>
    </xf>
    <xf numFmtId="0" fontId="6" fillId="0" borderId="23" xfId="9" applyBorder="1" applyAlignment="1">
      <alignment horizontal="center"/>
    </xf>
    <xf numFmtId="0" fontId="6" fillId="0" borderId="4" xfId="9" applyBorder="1" applyAlignment="1">
      <alignment horizontal="center"/>
    </xf>
    <xf numFmtId="0" fontId="27" fillId="0" borderId="14" xfId="0" applyFont="1" applyBorder="1" applyAlignment="1"/>
    <xf numFmtId="0" fontId="0" fillId="0" borderId="2" xfId="0" applyBorder="1" applyAlignment="1">
      <alignment horizontal="center" vertical="center" textRotation="90"/>
    </xf>
    <xf numFmtId="0" fontId="27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71" fontId="0" fillId="0" borderId="0" xfId="0" applyNumberFormat="1" applyAlignment="1">
      <alignment horizontal="center"/>
    </xf>
    <xf numFmtId="0" fontId="0" fillId="0" borderId="2" xfId="0" applyFill="1" applyBorder="1" applyAlignment="1">
      <alignment horizontal="right"/>
    </xf>
    <xf numFmtId="0" fontId="86" fillId="0" borderId="2" xfId="0" applyFont="1" applyFill="1" applyBorder="1" applyAlignment="1">
      <alignment horizontal="right"/>
    </xf>
    <xf numFmtId="14" fontId="0" fillId="7" borderId="3" xfId="0" applyNumberFormat="1" applyFill="1" applyBorder="1" applyAlignment="1">
      <alignment horizontal="left"/>
    </xf>
    <xf numFmtId="14" fontId="0" fillId="7" borderId="23" xfId="0" applyNumberFormat="1" applyFill="1" applyBorder="1" applyAlignment="1">
      <alignment horizontal="left"/>
    </xf>
    <xf numFmtId="14" fontId="0" fillId="7" borderId="4" xfId="0" applyNumberFormat="1" applyFill="1" applyBorder="1" applyAlignment="1">
      <alignment horizontal="left"/>
    </xf>
    <xf numFmtId="3" fontId="56" fillId="9" borderId="6" xfId="0" applyNumberFormat="1" applyFont="1" applyFill="1" applyBorder="1" applyAlignment="1">
      <alignment horizontal="center" wrapText="1"/>
    </xf>
    <xf numFmtId="3" fontId="56" fillId="9" borderId="7" xfId="0" applyNumberFormat="1" applyFont="1" applyFill="1" applyBorder="1" applyAlignment="1">
      <alignment horizontal="center" wrapText="1"/>
    </xf>
  </cellXfs>
  <cellStyles count="18">
    <cellStyle name="Comma" xfId="1" builtinId="3"/>
    <cellStyle name="General" xfId="2"/>
    <cellStyle name="Hyperlink" xfId="3" builtinId="8"/>
    <cellStyle name="Information" xfId="4"/>
    <cellStyle name="LabelLeft" xfId="5"/>
    <cellStyle name="N" xfId="6"/>
    <cellStyle name="Normal" xfId="0" builtinId="0"/>
    <cellStyle name="Normal 2" xfId="17"/>
    <cellStyle name="Normal_Categorical_Data_Hypothesis_Tests" xfId="7"/>
    <cellStyle name="Normal_Control" xfId="8"/>
    <cellStyle name="Normal_Full Factorial DOE" xfId="9"/>
    <cellStyle name="Normal_Full_Factorial_DOE" xfId="10"/>
    <cellStyle name="Normal_Isoplot" xfId="11"/>
    <cellStyle name="Normal_Isoplot w-w" xfId="12"/>
    <cellStyle name="Normal_Sheet1" xfId="13"/>
    <cellStyle name="Normal_Tolerancing" xfId="14"/>
    <cellStyle name="Normal_Truncated Dist_1" xfId="15"/>
    <cellStyle name="Percent" xfId="16" builtinId="5"/>
  </cellStyles>
  <dxfs count="73"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 patternType="solid">
          <bgColor indexed="31"/>
        </patternFill>
      </fill>
    </dxf>
    <dxf>
      <font>
        <condense val="0"/>
        <extend val="0"/>
        <color indexed="8"/>
      </font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8"/>
      </font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ont>
        <condense val="0"/>
        <extend val="0"/>
        <color indexed="8"/>
      </font>
      <fill>
        <patternFill>
          <bgColor indexed="42"/>
        </patternFill>
      </fill>
    </dxf>
    <dxf>
      <fill>
        <patternFill>
          <bgColor indexed="8"/>
        </patternFill>
      </fill>
    </dxf>
    <dxf>
      <fill>
        <patternFill>
          <bgColor indexed="8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 val="0"/>
        <condense val="0"/>
        <extend val="0"/>
        <color indexed="8"/>
      </font>
    </dxf>
    <dxf>
      <font>
        <condense val="0"/>
        <extend val="0"/>
        <color indexed="11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1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2464109979383712E-2"/>
          <c:y val="7.978723404255382E-2"/>
          <c:w val="0.85990743842202133"/>
          <c:h val="0.8457446808510638"/>
        </c:manualLayout>
      </c:layout>
      <c:bubbleChart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invertIfNegative val="1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1"/>
            <c:spPr>
              <a:solidFill>
                <a:srgbClr val="00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1"/>
            <c:spPr>
              <a:solidFill>
                <a:srgbClr val="00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1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xVal>
            <c:numRef>
              <c:f>Kappa!$H$55:$H$58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</c:numCache>
            </c:numRef>
          </c:xVal>
          <c:yVal>
            <c:numRef>
              <c:f>Kappa!$I$55:$I$58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</c:numCache>
            </c:numRef>
          </c:yVal>
          <c:bubbleSize>
            <c:numRef>
              <c:f>Kappa!$J$55:$J$58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bubbleSize>
        </c:ser>
        <c:bubbleScale val="100"/>
        <c:axId val="204366976"/>
        <c:axId val="204368512"/>
      </c:bubbleChart>
      <c:valAx>
        <c:axId val="204366976"/>
        <c:scaling>
          <c:orientation val="minMax"/>
          <c:max val="3"/>
        </c:scaling>
        <c:axPos val="b"/>
        <c:numFmt formatCode="General" sourceLinked="1"/>
        <c:tickLblPos val="none"/>
        <c:spPr>
          <a:ln w="3175">
            <a:solidFill>
              <a:srgbClr val="000000"/>
            </a:solidFill>
            <a:prstDash val="solid"/>
          </a:ln>
        </c:spPr>
        <c:crossAx val="204368512"/>
        <c:crosses val="autoZero"/>
        <c:crossBetween val="midCat"/>
        <c:majorUnit val="1"/>
      </c:valAx>
      <c:valAx>
        <c:axId val="204368512"/>
        <c:scaling>
          <c:orientation val="minMax"/>
          <c:max val="3"/>
        </c:scaling>
        <c:axPos val="l"/>
        <c:numFmt formatCode="General" sourceLinked="1"/>
        <c:tickLblPos val="none"/>
        <c:spPr>
          <a:ln w="3175">
            <a:solidFill>
              <a:srgbClr val="000000"/>
            </a:solidFill>
            <a:prstDash val="solid"/>
          </a:ln>
        </c:spPr>
        <c:crossAx val="204366976"/>
        <c:crosses val="autoZero"/>
        <c:crossBetween val="midCat"/>
        <c:majorUnit val="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Measurement Discrimination Plot</a:t>
            </a:r>
          </a:p>
        </c:rich>
      </c:tx>
      <c:layout>
        <c:manualLayout>
          <c:xMode val="edge"/>
          <c:yMode val="edge"/>
          <c:x val="0.24582338902148076"/>
          <c:y val="3.050115421848238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513126491646848"/>
          <c:y val="0.15250577109241276"/>
          <c:w val="0.69928400954653935"/>
          <c:h val="0.70588385477059545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'Discrimination Plot'!$B$12:$B$31</c:f>
              <c:numCache>
                <c:formatCode>General</c:formatCode>
                <c:ptCount val="20"/>
              </c:numCache>
            </c:numRef>
          </c:xVal>
          <c:yVal>
            <c:numRef>
              <c:f>'Discrimination Plot'!$C$12:$C$31</c:f>
              <c:numCache>
                <c:formatCode>General</c:formatCode>
                <c:ptCount val="2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'Discrimination Plot'!$F$43:$F$50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'Discrimination Plot'!$H$43:$H$50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ser>
          <c:idx val="2"/>
          <c:order val="2"/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'Discrimination Plot'!$E$34:$E$38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'Discrimination Plot'!$F$34:$F$38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</c:ser>
        <c:axId val="230756736"/>
        <c:axId val="230759040"/>
      </c:scatterChart>
      <c:valAx>
        <c:axId val="230756736"/>
        <c:scaling>
          <c:orientation val="minMax"/>
        </c:scaling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strRef>
              <c:f>'Discrimination Plot'!$F$5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49880668257756805"/>
              <c:y val="0.91721328042721706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759040"/>
        <c:crosses val="autoZero"/>
        <c:crossBetween val="midCat"/>
      </c:valAx>
      <c:valAx>
        <c:axId val="230759040"/>
        <c:scaling>
          <c:orientation val="minMax"/>
        </c:scaling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strRef>
              <c:f>'Discrimination Plot'!$F$6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3.8186157517899805E-2"/>
              <c:y val="0.4858398136229711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0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7567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Measurement Range Chart</a:t>
            </a:r>
          </a:p>
        </c:rich>
      </c:tx>
      <c:layout>
        <c:manualLayout>
          <c:xMode val="edge"/>
          <c:yMode val="edge"/>
          <c:x val="0.37109375"/>
          <c:y val="4.838735082404483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5.6640625E-2"/>
          <c:y val="0.26344224337535382"/>
          <c:w val="0.916015625"/>
          <c:h val="0.56989546526096935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'Discrimination Plot'!$A$12:$A$31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'Discrimination Plot'!$G$12:$G$31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'Discrimination Plot'!$A$12:$A$31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'Discrimination Plot'!$H$12:$H$31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val>
            <c:numRef>
              <c:f>'Discrimination Plot'!$I$12:$I$31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53089792"/>
        <c:axId val="53090944"/>
      </c:lineChart>
      <c:catAx>
        <c:axId val="5308979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0944"/>
        <c:crosses val="autoZero"/>
        <c:auto val="1"/>
        <c:lblAlgn val="ctr"/>
        <c:lblOffset val="100"/>
        <c:tickLblSkip val="1"/>
        <c:tickMarkSkip val="1"/>
      </c:catAx>
      <c:valAx>
        <c:axId val="5309094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897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Operator Reproducibility </a:t>
            </a:r>
          </a:p>
        </c:rich>
      </c:tx>
      <c:layout>
        <c:manualLayout>
          <c:xMode val="edge"/>
          <c:yMode val="edge"/>
          <c:x val="0.34871882191211567"/>
          <c:y val="4.522624162374771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384653907887391"/>
          <c:y val="0.23115634607693294"/>
          <c:w val="0.77436091336366564"/>
          <c:h val="0.61306683089969105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'GR&amp;R Reproducibility'!$H$203:$H$206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'GR&amp;R Reproducibility'!$I$203:$I$206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axId val="53267456"/>
        <c:axId val="53269632"/>
      </c:lineChart>
      <c:lineChart>
        <c:grouping val="standard"/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val>
            <c:numRef>
              <c:f>'GR&amp;R Reproducibility'!$J$203:$J$206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val>
            <c:numRef>
              <c:f>'GR&amp;R Reproducibility'!$K$203:$K$206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marker val="1"/>
        <c:axId val="53271552"/>
        <c:axId val="53273344"/>
      </c:lineChart>
      <c:catAx>
        <c:axId val="532674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Operator</a:t>
                </a:r>
              </a:p>
            </c:rich>
          </c:tx>
          <c:layout>
            <c:manualLayout>
              <c:xMode val="edge"/>
              <c:yMode val="edge"/>
              <c:x val="0.48205248911380727"/>
              <c:y val="0.87437400472578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3269632"/>
        <c:crosses val="autoZero"/>
        <c:lblAlgn val="ctr"/>
        <c:lblOffset val="100"/>
        <c:tickLblSkip val="1"/>
        <c:tickMarkSkip val="1"/>
      </c:catAx>
      <c:valAx>
        <c:axId val="532696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Product Average</a:t>
                </a:r>
              </a:p>
            </c:rich>
          </c:tx>
          <c:layout>
            <c:manualLayout>
              <c:xMode val="edge"/>
              <c:yMode val="edge"/>
              <c:x val="3.5897525785070765E-2"/>
              <c:y val="0.336684243199013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3267456"/>
        <c:crosses val="autoZero"/>
        <c:crossBetween val="between"/>
      </c:valAx>
      <c:catAx>
        <c:axId val="53271552"/>
        <c:scaling>
          <c:orientation val="minMax"/>
        </c:scaling>
        <c:delete val="1"/>
        <c:axPos val="b"/>
        <c:tickLblPos val="none"/>
        <c:crossAx val="53273344"/>
        <c:crosses val="autoZero"/>
        <c:lblAlgn val="ctr"/>
        <c:lblOffset val="100"/>
      </c:catAx>
      <c:valAx>
        <c:axId val="53273344"/>
        <c:scaling>
          <c:orientation val="minMax"/>
        </c:scaling>
        <c:delete val="1"/>
        <c:axPos val="r"/>
        <c:numFmt formatCode="General" sourceLinked="1"/>
        <c:tickLblPos val="none"/>
        <c:crossAx val="53271552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78" r="0.75000000000000278" t="1" header="0.5" footer="0.5"/>
    <c:pageSetup orientation="landscape" horizontalDpi="-4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Measurement Variation Stability</a:t>
            </a:r>
          </a:p>
        </c:rich>
      </c:tx>
      <c:layout>
        <c:manualLayout>
          <c:xMode val="edge"/>
          <c:yMode val="edge"/>
          <c:x val="0.30512896917310289"/>
          <c:y val="3.896120367121429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6923269539436984E-2"/>
          <c:y val="0.23376722202728548"/>
          <c:w val="0.84872007391845783"/>
          <c:h val="0.54545685139699751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'GR&amp;R Reproducibility'!$B$203:$B$206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'GR&amp;R Reproducibility'!$C$203:$C$206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val>
            <c:numRef>
              <c:f>'GR&amp;R Reproducibility'!$D$203:$D$206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marker val="1"/>
        <c:axId val="53294208"/>
        <c:axId val="53296128"/>
      </c:lineChart>
      <c:catAx>
        <c:axId val="53294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Operator</a:t>
                </a:r>
              </a:p>
            </c:rich>
          </c:tx>
          <c:layout>
            <c:manualLayout>
              <c:xMode val="edge"/>
              <c:yMode val="edge"/>
              <c:x val="0.44102674535944075"/>
              <c:y val="0.891778661807789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3296128"/>
        <c:crosses val="autoZero"/>
        <c:lblAlgn val="ctr"/>
        <c:lblOffset val="100"/>
        <c:tickLblSkip val="1"/>
        <c:tickMarkSkip val="1"/>
      </c:catAx>
      <c:valAx>
        <c:axId val="53296128"/>
        <c:scaling>
          <c:orientation val="minMax"/>
        </c:scaling>
        <c:axPos val="l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329420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78" r="0.750000000000002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Operator 1</a:t>
            </a:r>
          </a:p>
        </c:rich>
      </c:tx>
      <c:layout>
        <c:manualLayout>
          <c:xMode val="edge"/>
          <c:yMode val="edge"/>
          <c:x val="0.37500169542867368"/>
          <c:y val="4.273522108382227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518602243391219"/>
          <c:y val="0.2393172380694043"/>
          <c:w val="0.64815107851869858"/>
          <c:h val="0.58974605095674248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Reproducibility'!$B$13:$B$42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Reproducibility'!$C$13:$C$42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3320704"/>
        <c:axId val="53478528"/>
      </c:scatterChart>
      <c:valAx>
        <c:axId val="53320704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Trial A</a:t>
                </a:r>
              </a:p>
            </c:rich>
          </c:tx>
          <c:layout>
            <c:manualLayout>
              <c:xMode val="edge"/>
              <c:yMode val="edge"/>
              <c:x val="0.43055750215884786"/>
              <c:y val="0.8931661206518790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78528"/>
        <c:crosses val="autoZero"/>
        <c:crossBetween val="midCat"/>
      </c:valAx>
      <c:valAx>
        <c:axId val="53478528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Trial B</a:t>
                </a:r>
              </a:p>
            </c:rich>
          </c:tx>
          <c:layout>
            <c:manualLayout>
              <c:xMode val="edge"/>
              <c:yMode val="edge"/>
              <c:x val="2.3148252804239024E-2"/>
              <c:y val="0.4615403877052785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2070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Operator 2</a:t>
            </a:r>
          </a:p>
        </c:rich>
      </c:tx>
      <c:layout>
        <c:manualLayout>
          <c:xMode val="edge"/>
          <c:yMode val="edge"/>
          <c:x val="0.37264150943396235"/>
          <c:y val="4.184100418410039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754716981132235"/>
          <c:y val="0.24267782426778237"/>
          <c:w val="0.62735849056603865"/>
          <c:h val="0.57740585774058972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Reproducibility'!$D$13:$D$42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Reproducibility'!$E$13:$E$42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3507584"/>
        <c:axId val="53509504"/>
      </c:scatterChart>
      <c:valAx>
        <c:axId val="53507584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Trial A</a:t>
                </a:r>
              </a:p>
            </c:rich>
          </c:tx>
          <c:layout>
            <c:manualLayout>
              <c:xMode val="edge"/>
              <c:yMode val="edge"/>
              <c:x val="0.43867924528301888"/>
              <c:y val="0.8953974895397489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09504"/>
        <c:crosses val="autoZero"/>
        <c:crossBetween val="midCat"/>
      </c:valAx>
      <c:valAx>
        <c:axId val="53509504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Trial B</a:t>
                </a:r>
              </a:p>
            </c:rich>
          </c:tx>
          <c:layout>
            <c:manualLayout>
              <c:xMode val="edge"/>
              <c:yMode val="edge"/>
              <c:x val="2.3584905660377402E-2"/>
              <c:y val="0.460251046025102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0758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Operator 3</a:t>
            </a:r>
          </a:p>
        </c:rich>
      </c:tx>
      <c:layout>
        <c:manualLayout>
          <c:xMode val="edge"/>
          <c:yMode val="edge"/>
          <c:x val="0.37264150943396235"/>
          <c:y val="4.219426668919227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867924528301888"/>
          <c:y val="0.18987420010136624"/>
          <c:w val="0.61320754716981163"/>
          <c:h val="0.56540317363517922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Reproducibility'!$F$13:$F$42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Reproducibility'!$G$13:$G$42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3817344"/>
        <c:axId val="53819264"/>
      </c:scatterChart>
      <c:valAx>
        <c:axId val="53817344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Trial A</a:t>
                </a:r>
              </a:p>
            </c:rich>
          </c:tx>
          <c:layout>
            <c:manualLayout>
              <c:xMode val="edge"/>
              <c:yMode val="edge"/>
              <c:x val="0.41509433962264353"/>
              <c:y val="0.835446480446006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19264"/>
        <c:crosses val="autoZero"/>
        <c:crossBetween val="midCat"/>
      </c:valAx>
      <c:valAx>
        <c:axId val="53819264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Trial B</a:t>
                </a:r>
              </a:p>
            </c:rich>
          </c:tx>
          <c:layout>
            <c:manualLayout>
              <c:xMode val="edge"/>
              <c:yMode val="edge"/>
              <c:x val="2.3584905660377402E-2"/>
              <c:y val="0.4008455335473263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173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Operator 4</a:t>
            </a:r>
          </a:p>
        </c:rich>
      </c:tx>
      <c:layout>
        <c:manualLayout>
          <c:xMode val="edge"/>
          <c:yMode val="edge"/>
          <c:x val="0.37440844936789713"/>
          <c:y val="4.255327990625001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990525933348298"/>
          <c:y val="0.18297910359687544"/>
          <c:w val="0.60663647492519857"/>
          <c:h val="0.5914905906968726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Reproducibility'!$H$13:$H$42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Reproducibility'!$I$13:$I$42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3831936"/>
        <c:axId val="53838208"/>
      </c:scatterChart>
      <c:valAx>
        <c:axId val="53831936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Trial A</a:t>
                </a:r>
              </a:p>
            </c:rich>
          </c:tx>
          <c:layout>
            <c:manualLayout>
              <c:xMode val="edge"/>
              <c:yMode val="edge"/>
              <c:x val="0.42180192397142685"/>
              <c:y val="0.855320926115621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38208"/>
        <c:crosses val="autoZero"/>
        <c:crossBetween val="midCat"/>
      </c:valAx>
      <c:valAx>
        <c:axId val="53838208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Trial B</a:t>
                </a:r>
              </a:p>
            </c:rich>
          </c:tx>
          <c:layout>
            <c:manualLayout>
              <c:xMode val="edge"/>
              <c:yMode val="edge"/>
              <c:x val="2.3696737301765448E-2"/>
              <c:y val="0.4042561591093731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3193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All Operators</a:t>
            </a:r>
          </a:p>
        </c:rich>
      </c:tx>
      <c:layout>
        <c:manualLayout>
          <c:xMode val="edge"/>
          <c:yMode val="edge"/>
          <c:x val="0.39080569438559404"/>
          <c:y val="3.155343545376449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91999180583308"/>
          <c:y val="0.14563124055583629"/>
          <c:w val="0.75287567594871763"/>
          <c:h val="0.61165121033451653"/>
        </c:manualLayout>
      </c:layout>
      <c:scatterChart>
        <c:scatterStyle val="lineMarker"/>
        <c:ser>
          <c:idx val="0"/>
          <c:order val="0"/>
          <c:tx>
            <c:strRef>
              <c:f>'GR&amp;R Reproducibility'!$B$11</c:f>
              <c:strCache>
                <c:ptCount val="1"/>
                <c:pt idx="0">
                  <c:v>Operator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Reproducibility'!$B$13:$B$42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Reproducibility'!$C$13:$C$42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tx>
            <c:strRef>
              <c:f>'GR&amp;R Reproducibility'!$D$11</c:f>
              <c:strCache>
                <c:ptCount val="1"/>
                <c:pt idx="0">
                  <c:v>Operator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FFFF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Reproducibility'!$D$13:$D$42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Reproducibility'!$E$13:$E$42</c:f>
              <c:numCache>
                <c:formatCode>General</c:formatCode>
                <c:ptCount val="30"/>
              </c:numCache>
            </c:numRef>
          </c:yVal>
        </c:ser>
        <c:ser>
          <c:idx val="2"/>
          <c:order val="2"/>
          <c:tx>
            <c:strRef>
              <c:f>'GR&amp;R Reproducibility'!$F$11</c:f>
              <c:strCache>
                <c:ptCount val="1"/>
                <c:pt idx="0">
                  <c:v>Operator 3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Reproducibility'!$F$13:$F$42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Reproducibility'!$G$13:$G$42</c:f>
              <c:numCache>
                <c:formatCode>General</c:formatCode>
                <c:ptCount val="30"/>
              </c:numCache>
            </c:numRef>
          </c:yVal>
        </c:ser>
        <c:ser>
          <c:idx val="3"/>
          <c:order val="3"/>
          <c:tx>
            <c:strRef>
              <c:f>'GR&amp;R Reproducibility'!$H$11</c:f>
              <c:strCache>
                <c:ptCount val="1"/>
                <c:pt idx="0">
                  <c:v>Operator 4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Reproducibility'!$H$13:$H$42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Reproducibility'!$I$13:$I$42</c:f>
              <c:numCache>
                <c:formatCode>General</c:formatCode>
                <c:ptCount val="30"/>
              </c:numCache>
            </c:numRef>
          </c:yVal>
        </c:ser>
        <c:ser>
          <c:idx val="4"/>
          <c:order val="4"/>
          <c:tx>
            <c:v>1:1 Line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3869568"/>
        <c:axId val="53949568"/>
      </c:scatterChart>
      <c:valAx>
        <c:axId val="53869568"/>
        <c:scaling>
          <c:orientation val="minMax"/>
        </c:scaling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Measurement A</a:t>
                </a:r>
              </a:p>
            </c:rich>
          </c:tx>
          <c:layout>
            <c:manualLayout>
              <c:xMode val="edge"/>
              <c:yMode val="edge"/>
              <c:x val="0.42241497849031023"/>
              <c:y val="0.8033990103996967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49568"/>
        <c:crosses val="autoZero"/>
        <c:crossBetween val="midCat"/>
      </c:valAx>
      <c:valAx>
        <c:axId val="53949568"/>
        <c:scaling>
          <c:orientation val="minMax"/>
        </c:scaling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Measurement B</a:t>
                </a:r>
              </a:p>
            </c:rich>
          </c:tx>
          <c:layout>
            <c:manualLayout>
              <c:xMode val="edge"/>
              <c:yMode val="edge"/>
              <c:x val="4.3103569233704966E-2"/>
              <c:y val="0.356796539361796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695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057569643413378"/>
          <c:y val="0.89077775473319365"/>
          <c:w val="0.5718406851671527"/>
          <c:h val="7.038843293532097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Operator 1:2</a:t>
            </a:r>
          </a:p>
        </c:rich>
      </c:tx>
      <c:layout>
        <c:manualLayout>
          <c:xMode val="edge"/>
          <c:yMode val="edge"/>
          <c:x val="0.32402234636871685"/>
          <c:y val="4.433497536945812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2905027932960867"/>
          <c:y val="0.24137931034482771"/>
          <c:w val="0.5977653631284916"/>
          <c:h val="0.53201970443350022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Reproducibility'!$B$13:$B$42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Reproducibility'!$D$13:$D$42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3962624"/>
        <c:axId val="53968896"/>
      </c:scatterChart>
      <c:valAx>
        <c:axId val="53962624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Reproducibility'!$B$11</c:f>
              <c:strCache>
                <c:ptCount val="1"/>
                <c:pt idx="0">
                  <c:v>Operator 1</c:v>
                </c:pt>
              </c:strCache>
            </c:strRef>
          </c:tx>
          <c:layout>
            <c:manualLayout>
              <c:xMode val="edge"/>
              <c:yMode val="edge"/>
              <c:x val="0.40782122905028084"/>
              <c:y val="0.8669950738916284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8896"/>
        <c:crosses val="autoZero"/>
        <c:crossBetween val="midCat"/>
      </c:valAx>
      <c:valAx>
        <c:axId val="53968896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Reproducibility'!$D$11</c:f>
              <c:strCache>
                <c:ptCount val="1"/>
                <c:pt idx="0">
                  <c:v>Operator 2</c:v>
                </c:pt>
              </c:strCache>
            </c:strRef>
          </c:tx>
          <c:layout>
            <c:manualLayout>
              <c:xMode val="edge"/>
              <c:yMode val="edge"/>
              <c:x val="3.3519553072625698E-2"/>
              <c:y val="0.3990147783251258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6262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Operator 1:3</a:t>
            </a:r>
          </a:p>
        </c:rich>
      </c:tx>
      <c:layout>
        <c:manualLayout>
          <c:xMode val="edge"/>
          <c:yMode val="edge"/>
          <c:x val="0.32222397039914796"/>
          <c:y val="4.390254359409198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5000135634416421"/>
          <c:y val="0.22439077836980367"/>
          <c:w val="0.58333649813638044"/>
          <c:h val="0.52683052312910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Reproducibility'!$B$13:$B$42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Reproducibility'!$F$13:$F$42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3993856"/>
        <c:axId val="53995776"/>
      </c:scatterChart>
      <c:valAx>
        <c:axId val="53993856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Reproducibility'!$B$11</c:f>
              <c:strCache>
                <c:ptCount val="1"/>
                <c:pt idx="0">
                  <c:v>Operator 1</c:v>
                </c:pt>
              </c:strCache>
            </c:strRef>
          </c:tx>
          <c:layout>
            <c:manualLayout>
              <c:xMode val="edge"/>
              <c:yMode val="edge"/>
              <c:x val="0.42222451293681218"/>
              <c:y val="0.84390444908643569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95776"/>
        <c:crosses val="autoZero"/>
        <c:crossBetween val="midCat"/>
      </c:valAx>
      <c:valAx>
        <c:axId val="53995776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Reproducibility'!$F$11</c:f>
              <c:strCache>
                <c:ptCount val="1"/>
                <c:pt idx="0">
                  <c:v>Operator 3</c:v>
                </c:pt>
              </c:strCache>
            </c:strRef>
          </c:tx>
          <c:layout>
            <c:manualLayout>
              <c:xMode val="edge"/>
              <c:yMode val="edge"/>
              <c:x val="5.5555856965369646E-2"/>
              <c:y val="0.38048871114880067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9385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Operator 1:4</a:t>
            </a:r>
          </a:p>
        </c:rich>
      </c:tx>
      <c:layout>
        <c:manualLayout>
          <c:xMode val="edge"/>
          <c:yMode val="edge"/>
          <c:x val="0.32222397039914796"/>
          <c:y val="4.433497536945812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5000135634416421"/>
          <c:y val="0.25615763546798026"/>
          <c:w val="0.57778091243985086"/>
          <c:h val="0.50246305418719217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Reproducibility'!$B$13:$B$42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Reproducibility'!$H$13:$H$42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4213248"/>
        <c:axId val="54219520"/>
      </c:scatterChart>
      <c:valAx>
        <c:axId val="54213248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Reproducibility'!$B$11</c:f>
              <c:strCache>
                <c:ptCount val="1"/>
                <c:pt idx="0">
                  <c:v>Operator 1</c:v>
                </c:pt>
              </c:strCache>
            </c:strRef>
          </c:tx>
          <c:layout>
            <c:manualLayout>
              <c:xMode val="edge"/>
              <c:yMode val="edge"/>
              <c:x val="0.42222451293681218"/>
              <c:y val="0.85221674876847286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19520"/>
        <c:crosses val="autoZero"/>
        <c:crossBetween val="midCat"/>
      </c:valAx>
      <c:valAx>
        <c:axId val="54219520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Reproducibility'!$H$11</c:f>
              <c:strCache>
                <c:ptCount val="1"/>
                <c:pt idx="0">
                  <c:v>Operator 4</c:v>
                </c:pt>
              </c:strCache>
            </c:strRef>
          </c:tx>
          <c:layout>
            <c:manualLayout>
              <c:xMode val="edge"/>
              <c:yMode val="edge"/>
              <c:x val="5.5555856965369646E-2"/>
              <c:y val="0.3990147783251258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132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Operator 2:3</a:t>
            </a:r>
          </a:p>
        </c:rich>
      </c:tx>
      <c:layout>
        <c:manualLayout>
          <c:xMode val="edge"/>
          <c:yMode val="edge"/>
          <c:x val="0.32402234636871685"/>
          <c:y val="4.347846598763015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3463687150837989"/>
          <c:y val="0.24637797392990418"/>
          <c:w val="0.59217877094972049"/>
          <c:h val="0.51207971052098034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Reproducibility'!$D$13:$D$42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Reproducibility'!$F$13:$F$42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4236288"/>
        <c:axId val="54238208"/>
      </c:scatterChart>
      <c:valAx>
        <c:axId val="54236288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Reproducibility'!$D$11</c:f>
              <c:strCache>
                <c:ptCount val="1"/>
                <c:pt idx="0">
                  <c:v>Operator 2</c:v>
                </c:pt>
              </c:strCache>
            </c:strRef>
          </c:tx>
          <c:layout>
            <c:manualLayout>
              <c:xMode val="edge"/>
              <c:yMode val="edge"/>
              <c:x val="0.40782122905028084"/>
              <c:y val="0.85024555709143701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38208"/>
        <c:crosses val="autoZero"/>
        <c:crossBetween val="midCat"/>
      </c:valAx>
      <c:valAx>
        <c:axId val="54238208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Reproducibility'!$F$11</c:f>
              <c:strCache>
                <c:ptCount val="1"/>
                <c:pt idx="0">
                  <c:v>Operator 3</c:v>
                </c:pt>
              </c:strCache>
            </c:strRef>
          </c:tx>
          <c:layout>
            <c:manualLayout>
              <c:xMode val="edge"/>
              <c:yMode val="edge"/>
              <c:x val="3.9106145251396648E-2"/>
              <c:y val="0.3961371345539636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362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Operator 2:4</a:t>
            </a:r>
          </a:p>
        </c:rich>
      </c:tx>
      <c:layout>
        <c:manualLayout>
          <c:xMode val="edge"/>
          <c:yMode val="edge"/>
          <c:x val="0.32402234636871685"/>
          <c:y val="4.591848174047791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5139664804469281"/>
          <c:y val="0.25000062280926838"/>
          <c:w val="0.56424581005586938"/>
          <c:h val="0.50510329914525365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Reproducibility'!$D$13:$D$42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Reproducibility'!$H$13:$H$42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4263168"/>
        <c:axId val="54531584"/>
      </c:scatterChart>
      <c:valAx>
        <c:axId val="54263168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Reproducibility'!$D$11</c:f>
              <c:strCache>
                <c:ptCount val="1"/>
                <c:pt idx="0">
                  <c:v>Operator 2</c:v>
                </c:pt>
              </c:strCache>
            </c:strRef>
          </c:tx>
          <c:layout>
            <c:manualLayout>
              <c:xMode val="edge"/>
              <c:yMode val="edge"/>
              <c:x val="0.40782122905028084"/>
              <c:y val="0.85204293896220051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31584"/>
        <c:crosses val="autoZero"/>
        <c:crossBetween val="midCat"/>
      </c:valAx>
      <c:valAx>
        <c:axId val="54531584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Reproducibility'!$H$11</c:f>
              <c:strCache>
                <c:ptCount val="1"/>
                <c:pt idx="0">
                  <c:v>Operator 4</c:v>
                </c:pt>
              </c:strCache>
            </c:strRef>
          </c:tx>
          <c:layout>
            <c:manualLayout>
              <c:xMode val="edge"/>
              <c:yMode val="edge"/>
              <c:x val="5.5865921787709494E-2"/>
              <c:y val="0.3877560680307035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26316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Operator 3:4</a:t>
            </a:r>
          </a:p>
        </c:rich>
      </c:tx>
      <c:layout>
        <c:manualLayout>
          <c:xMode val="edge"/>
          <c:yMode val="edge"/>
          <c:x val="0.32022559752896251"/>
          <c:y val="4.591848174047791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9213563283343774"/>
          <c:y val="0.27551089044286914"/>
          <c:w val="0.49438337864120446"/>
          <c:h val="0.4693889244582197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Reproducibility'!$F$13:$F$42</c:f>
              <c:numCache>
                <c:formatCode>General</c:formatCode>
                <c:ptCount val="30"/>
              </c:numCache>
            </c:numRef>
          </c:xVal>
          <c:yVal>
            <c:numRef>
              <c:f>'GR&amp;R Reproducibility'!$H$13:$H$42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Reproducibility'!$B$187:$B$194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Reproducibility'!$D$187:$D$194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4556544"/>
        <c:axId val="54558720"/>
      </c:scatterChart>
      <c:valAx>
        <c:axId val="54556544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Reproducibility'!$F$11</c:f>
              <c:strCache>
                <c:ptCount val="1"/>
                <c:pt idx="0">
                  <c:v>Operator 3</c:v>
                </c:pt>
              </c:strCache>
            </c:strRef>
          </c:tx>
          <c:layout>
            <c:manualLayout>
              <c:xMode val="edge"/>
              <c:yMode val="edge"/>
              <c:x val="0.41573147749373873"/>
              <c:y val="0.8418388319087616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58720"/>
        <c:crosses val="autoZero"/>
        <c:crossBetween val="midCat"/>
      </c:valAx>
      <c:valAx>
        <c:axId val="54558720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Reproducibility'!$H$11</c:f>
              <c:strCache>
                <c:ptCount val="1"/>
                <c:pt idx="0">
                  <c:v>Operator 4</c:v>
                </c:pt>
              </c:strCache>
            </c:strRef>
          </c:tx>
          <c:layout>
            <c:manualLayout>
              <c:xMode val="edge"/>
              <c:yMode val="edge"/>
              <c:x val="9.5505879964778537E-2"/>
              <c:y val="0.3979601750841455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6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556544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Measurement Variation Stability</a:t>
            </a:r>
          </a:p>
        </c:rich>
      </c:tx>
      <c:layout>
        <c:manualLayout>
          <c:xMode val="edge"/>
          <c:yMode val="edge"/>
          <c:x val="0.31463414634146342"/>
          <c:y val="4.639175257731955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365853658536693"/>
          <c:y val="0.31443298969072364"/>
          <c:w val="0.77073170731707741"/>
          <c:h val="0.46907216494845605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'GR&amp;R Equipment Bias'!$A$136:$A$137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'GR&amp;R Equipment Bias'!$B$136:$B$137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'GR&amp;R Equipment Bias'!$A$136:$A$137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'GR&amp;R Equipment Bias'!$C$136:$C$137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'GR&amp;R Equipment Bias'!$A$136:$A$137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'GR&amp;R Equipment Bias'!$D$136:$D$137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54605696"/>
        <c:axId val="54607232"/>
      </c:lineChart>
      <c:catAx>
        <c:axId val="54605696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4607232"/>
        <c:crosses val="autoZero"/>
        <c:lblAlgn val="ctr"/>
        <c:lblOffset val="100"/>
        <c:tickLblSkip val="1"/>
        <c:tickMarkSkip val="1"/>
      </c:catAx>
      <c:valAx>
        <c:axId val="546072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Average Range</a:t>
                </a:r>
              </a:p>
            </c:rich>
          </c:tx>
          <c:layout>
            <c:manualLayout>
              <c:xMode val="edge"/>
              <c:yMode val="edge"/>
              <c:x val="5.3658536585365846E-2"/>
              <c:y val="0.360824742268044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460569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Bias Plot</a:t>
            </a:r>
          </a:p>
        </c:rich>
      </c:tx>
      <c:layout>
        <c:manualLayout>
          <c:xMode val="edge"/>
          <c:yMode val="edge"/>
          <c:x val="0.44239631336405777"/>
          <c:y val="3.299496474828078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511520737327191"/>
          <c:y val="0.20304593691249864"/>
          <c:w val="0.69585253456221197"/>
          <c:h val="0.60659973652609112"/>
        </c:manualLayout>
      </c:layout>
      <c:scatterChart>
        <c:scatterStyle val="lineMarker"/>
        <c:ser>
          <c:idx val="0"/>
          <c:order val="0"/>
          <c:tx>
            <c:strRef>
              <c:f>'GR&amp;R Equipment Bias'!$B$11</c:f>
              <c:strCache>
                <c:ptCount val="1"/>
                <c:pt idx="0">
                  <c:v>Equipment 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Equipment Bias'!$B$13:$B$42</c:f>
              <c:numCache>
                <c:formatCode>General</c:formatCode>
                <c:ptCount val="30"/>
              </c:numCache>
            </c:numRef>
          </c:xVal>
          <c:yVal>
            <c:numRef>
              <c:f>'GR&amp;R Equipment Bias'!$D$13:$D$42</c:f>
              <c:numCache>
                <c:formatCode>General</c:formatCode>
                <c:ptCount val="30"/>
              </c:numCache>
            </c:numRef>
          </c:yVal>
        </c:ser>
        <c:ser>
          <c:idx val="4"/>
          <c:order val="1"/>
          <c:tx>
            <c:v>1:1 Line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Equipment Bias'!$B$124:$B$131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Equipment Bias'!$D$124:$D$131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4628352"/>
        <c:axId val="54630272"/>
      </c:scatterChart>
      <c:valAx>
        <c:axId val="54628352"/>
        <c:scaling>
          <c:orientation val="minMax"/>
        </c:scaling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Equipment Bias'!$D$5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1843317972350156"/>
              <c:y val="0.85786908345530322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30272"/>
        <c:crosses val="autoZero"/>
        <c:crossBetween val="midCat"/>
      </c:valAx>
      <c:valAx>
        <c:axId val="54630272"/>
        <c:scaling>
          <c:orientation val="minMax"/>
        </c:scaling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'GR&amp;R Equipment Bias'!$G$5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11520737327189001"/>
              <c:y val="0.48223410016718077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2835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Both Measurement Systems</a:t>
            </a:r>
          </a:p>
        </c:rich>
      </c:tx>
      <c:layout>
        <c:manualLayout>
          <c:xMode val="edge"/>
          <c:yMode val="edge"/>
          <c:x val="0.30334190231362618"/>
          <c:y val="3.374233128834359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565552699228787"/>
          <c:y val="0.13190184049079834"/>
          <c:w val="0.62467866323908139"/>
          <c:h val="0.64723926380368402"/>
        </c:manualLayout>
      </c:layout>
      <c:scatterChart>
        <c:scatterStyle val="lineMarker"/>
        <c:ser>
          <c:idx val="0"/>
          <c:order val="0"/>
          <c:tx>
            <c:strRef>
              <c:f>'GR&amp;R Equipment Bias'!$B$11</c:f>
              <c:strCache>
                <c:ptCount val="1"/>
                <c:pt idx="0">
                  <c:v>Equipment 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Equipment Bias'!$B$13:$B$42</c:f>
              <c:numCache>
                <c:formatCode>General</c:formatCode>
                <c:ptCount val="30"/>
              </c:numCache>
            </c:numRef>
          </c:xVal>
          <c:yVal>
            <c:numRef>
              <c:f>'GR&amp;R Equipment Bias'!$C$13:$C$42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tx>
            <c:strRef>
              <c:f>'GR&amp;R Equipment Bias'!$D$11</c:f>
              <c:strCache>
                <c:ptCount val="1"/>
                <c:pt idx="0">
                  <c:v>Equipment 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FFFF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'GR&amp;R Equipment Bias'!$D$13:$D$42</c:f>
              <c:numCache>
                <c:formatCode>General</c:formatCode>
                <c:ptCount val="30"/>
              </c:numCache>
            </c:numRef>
          </c:xVal>
          <c:yVal>
            <c:numRef>
              <c:f>'GR&amp;R Equipment Bias'!$E$13:$E$42</c:f>
              <c:numCache>
                <c:formatCode>General</c:formatCode>
                <c:ptCount val="30"/>
              </c:numCache>
            </c:numRef>
          </c:yVal>
        </c:ser>
        <c:ser>
          <c:idx val="4"/>
          <c:order val="2"/>
          <c:tx>
            <c:v>1:1 Line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'GR&amp;R Equipment Bias'!$B$124:$B$131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'GR&amp;R Equipment Bias'!$D$124:$D$131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</c:ser>
        <c:axId val="54680576"/>
        <c:axId val="54682752"/>
      </c:scatterChart>
      <c:valAx>
        <c:axId val="54680576"/>
        <c:scaling>
          <c:orientation val="minMax"/>
        </c:scaling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1st Measurement</a:t>
                </a:r>
              </a:p>
            </c:rich>
          </c:tx>
          <c:layout>
            <c:manualLayout>
              <c:xMode val="edge"/>
              <c:yMode val="edge"/>
              <c:x val="0.41131105398457735"/>
              <c:y val="0.837423312883435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82752"/>
        <c:crosses val="autoZero"/>
        <c:crossBetween val="midCat"/>
      </c:valAx>
      <c:valAx>
        <c:axId val="54682752"/>
        <c:scaling>
          <c:orientation val="minMax"/>
        </c:scaling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2nd Measurement</a:t>
                </a:r>
              </a:p>
            </c:rich>
          </c:tx>
          <c:layout>
            <c:manualLayout>
              <c:xMode val="edge"/>
              <c:yMode val="edge"/>
              <c:x val="0.10025706940874037"/>
              <c:y val="0.3220858895705551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680576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136246786632525"/>
          <c:y val="0.89877300613496935"/>
          <c:w val="0.55012853470437062"/>
          <c:h val="4.9079754601227002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Measurement System 1 Repeatability</a:t>
            </a:r>
          </a:p>
        </c:rich>
      </c:tx>
      <c:layout>
        <c:manualLayout>
          <c:xMode val="edge"/>
          <c:yMode val="edge"/>
          <c:x val="0.3082099596231494"/>
          <c:y val="3.571434799516600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4212651413189699E-2"/>
          <c:y val="0.18214317477534694"/>
          <c:w val="0.77927321668910621"/>
          <c:h val="0.56785813312314293"/>
        </c:manualLayout>
      </c:layout>
      <c:scatterChart>
        <c:scatterStyle val="lineMarker"/>
        <c:ser>
          <c:idx val="0"/>
          <c:order val="0"/>
          <c:tx>
            <c:strRef>
              <c:f>'Method Comparison'!$I$11</c:f>
              <c:strCache>
                <c:ptCount val="1"/>
                <c:pt idx="0">
                  <c:v>Difference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'Method Comparison'!$H$12:$H$41</c:f>
            </c:numRef>
          </c:xVal>
          <c:yVal>
            <c:numRef>
              <c:f>'Method Comparison'!$I$12:$I$41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1"/>
          <c:order val="1"/>
          <c:tx>
            <c:strRef>
              <c:f>'Method Comparison'!$J$11</c:f>
              <c:strCache>
                <c:ptCount val="1"/>
                <c:pt idx="0">
                  <c:v>Center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'Method Comparison'!$H$12:$H$41</c:f>
            </c:numRef>
          </c:xVal>
          <c:yVal>
            <c:numRef>
              <c:f>'Method Comparison'!$J$12:$J$41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2"/>
          <c:order val="2"/>
          <c:tx>
            <c:strRef>
              <c:f>'Method Comparison'!$K$11</c:f>
              <c:strCache>
                <c:ptCount val="1"/>
                <c:pt idx="0">
                  <c:v>UCL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'Method Comparison'!$H$12:$H$41</c:f>
            </c:numRef>
          </c:xVal>
          <c:yVal>
            <c:numRef>
              <c:f>'Method Comparison'!$K$12:$K$41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3"/>
          <c:order val="3"/>
          <c:tx>
            <c:strRef>
              <c:f>'Method Comparison'!$L$11</c:f>
              <c:strCache>
                <c:ptCount val="1"/>
                <c:pt idx="0">
                  <c:v>LCL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'Method Comparison'!$H$12:$H$41</c:f>
            </c:numRef>
          </c:xVal>
          <c:yVal>
            <c:numRef>
              <c:f>'Method Comparison'!$L$12:$L$41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axId val="54849536"/>
        <c:axId val="54851456"/>
      </c:scatterChart>
      <c:valAx>
        <c:axId val="54849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 Value of Reps</a:t>
                </a:r>
              </a:p>
            </c:rich>
          </c:tx>
          <c:layout>
            <c:manualLayout>
              <c:xMode val="edge"/>
              <c:yMode val="edge"/>
              <c:x val="0.39838492597577801"/>
              <c:y val="0.878572960681083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851456"/>
        <c:crossesAt val="-5000"/>
        <c:crossBetween val="midCat"/>
      </c:valAx>
      <c:valAx>
        <c:axId val="548514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Difference (Rep A - Rep B)</a:t>
                </a:r>
              </a:p>
            </c:rich>
          </c:tx>
          <c:layout>
            <c:manualLayout>
              <c:xMode val="edge"/>
              <c:yMode val="edge"/>
              <c:x val="8.0753701211305519E-3"/>
              <c:y val="0.1642860007777644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8495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944818304172278"/>
          <c:y val="0.33214343635504534"/>
          <c:w val="0.12516823687752449"/>
          <c:h val="0.3035719579589125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Measurement System 1 vs. Measurement System 2
Method Comparison</a:t>
            </a:r>
          </a:p>
        </c:rich>
      </c:tx>
      <c:layout>
        <c:manualLayout>
          <c:xMode val="edge"/>
          <c:yMode val="edge"/>
          <c:x val="0.23790353807483094"/>
          <c:y val="3.533575001337169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618293507294696"/>
          <c:y val="0.21554807508156804"/>
          <c:w val="0.76747412565383444"/>
          <c:h val="0.53710340020324954"/>
        </c:manualLayout>
      </c:layout>
      <c:scatterChart>
        <c:scatterStyle val="lineMarker"/>
        <c:ser>
          <c:idx val="0"/>
          <c:order val="0"/>
          <c:tx>
            <c:strRef>
              <c:f>'Method Comparison'!$U$11</c:f>
              <c:strCache>
                <c:ptCount val="1"/>
                <c:pt idx="0">
                  <c:v>Difference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'Method Comparison'!$T$12:$T$41</c:f>
            </c:numRef>
          </c:xVal>
          <c:yVal>
            <c:numRef>
              <c:f>'Method Comparison'!$U$12:$U$41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1"/>
          <c:order val="1"/>
          <c:tx>
            <c:strRef>
              <c:f>'Method Comparison'!$V$11</c:f>
              <c:strCache>
                <c:ptCount val="1"/>
                <c:pt idx="0">
                  <c:v>Center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'Method Comparison'!$T$12:$T$41</c:f>
            </c:numRef>
          </c:xVal>
          <c:yVal>
            <c:numRef>
              <c:f>'Method Comparison'!$V$12:$V$41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2"/>
          <c:order val="2"/>
          <c:tx>
            <c:strRef>
              <c:f>'Method Comparison'!$W$11</c:f>
              <c:strCache>
                <c:ptCount val="1"/>
                <c:pt idx="0">
                  <c:v>UCL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'Method Comparison'!$T$12:$T$41</c:f>
            </c:numRef>
          </c:xVal>
          <c:yVal>
            <c:numRef>
              <c:f>'Method Comparison'!$W$12:$W$41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3"/>
          <c:order val="3"/>
          <c:tx>
            <c:strRef>
              <c:f>'Method Comparison'!$X$11</c:f>
              <c:strCache>
                <c:ptCount val="1"/>
                <c:pt idx="0">
                  <c:v>LCL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'Method Comparison'!$T$12:$T$41</c:f>
            </c:numRef>
          </c:xVal>
          <c:yVal>
            <c:numRef>
              <c:f>'Method Comparison'!$X$12:$X$41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axId val="54886784"/>
        <c:axId val="54888704"/>
      </c:scatterChart>
      <c:valAx>
        <c:axId val="54886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 Value Between Systems</a:t>
                </a:r>
              </a:p>
            </c:rich>
          </c:tx>
          <c:layout>
            <c:manualLayout>
              <c:xMode val="edge"/>
              <c:yMode val="edge"/>
              <c:x val="0.36021552657657929"/>
              <c:y val="0.8798601753329545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888704"/>
        <c:crossesAt val="-5000"/>
        <c:crossBetween val="midCat"/>
      </c:valAx>
      <c:valAx>
        <c:axId val="5488870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Difference (System 2 - System 1)</a:t>
                </a:r>
              </a:p>
            </c:rich>
          </c:tx>
          <c:layout>
            <c:manualLayout>
              <c:xMode val="edge"/>
              <c:yMode val="edge"/>
              <c:x val="6.7204389286675313E-3"/>
              <c:y val="0.233215950088253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8867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96247973695862"/>
          <c:y val="0.34275677512970754"/>
          <c:w val="0.12500016407321587"/>
          <c:h val="0.3003538751136622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Measurement System 2 Repeatability</a:t>
            </a:r>
          </a:p>
        </c:rich>
      </c:tx>
      <c:layout>
        <c:manualLayout>
          <c:xMode val="edge"/>
          <c:yMode val="edge"/>
          <c:x val="0.3082099596231494"/>
          <c:y val="3.859662348075480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4212651413189699E-2"/>
          <c:y val="0.17894798159259268"/>
          <c:w val="0.77927321668910621"/>
          <c:h val="0.57544056825852663"/>
        </c:manualLayout>
      </c:layout>
      <c:scatterChart>
        <c:scatterStyle val="lineMarker"/>
        <c:ser>
          <c:idx val="0"/>
          <c:order val="0"/>
          <c:tx>
            <c:strRef>
              <c:f>'Method Comparison'!$O$11</c:f>
              <c:strCache>
                <c:ptCount val="1"/>
                <c:pt idx="0">
                  <c:v>Difference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'Method Comparison'!$N$12:$N$41</c:f>
            </c:numRef>
          </c:xVal>
          <c:yVal>
            <c:numRef>
              <c:f>'Method Comparison'!$O$12:$O$41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1"/>
          <c:order val="1"/>
          <c:tx>
            <c:strRef>
              <c:f>'Method Comparison'!$P$11</c:f>
              <c:strCache>
                <c:ptCount val="1"/>
                <c:pt idx="0">
                  <c:v>Center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'Method Comparison'!$N$12:$N$41</c:f>
            </c:numRef>
          </c:xVal>
          <c:yVal>
            <c:numRef>
              <c:f>'Method Comparison'!$P$12:$P$41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2"/>
          <c:order val="2"/>
          <c:tx>
            <c:strRef>
              <c:f>'Method Comparison'!$Q$11</c:f>
              <c:strCache>
                <c:ptCount val="1"/>
                <c:pt idx="0">
                  <c:v>UCL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'Method Comparison'!$N$12:$N$41</c:f>
            </c:numRef>
          </c:xVal>
          <c:yVal>
            <c:numRef>
              <c:f>'Method Comparison'!$Q$12:$Q$41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ser>
          <c:idx val="3"/>
          <c:order val="3"/>
          <c:tx>
            <c:strRef>
              <c:f>'Method Comparison'!$R$11</c:f>
              <c:strCache>
                <c:ptCount val="1"/>
                <c:pt idx="0">
                  <c:v>LCL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'Method Comparison'!$N$12:$N$41</c:f>
            </c:numRef>
          </c:xVal>
          <c:yVal>
            <c:numRef>
              <c:f>'Method Comparison'!$R$12:$R$41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</c:ser>
        <c:axId val="54903552"/>
        <c:axId val="54905472"/>
      </c:scatterChart>
      <c:valAx>
        <c:axId val="549035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 Value of Reps</a:t>
                </a:r>
              </a:p>
            </c:rich>
          </c:tx>
          <c:layout>
            <c:manualLayout>
              <c:xMode val="edge"/>
              <c:yMode val="edge"/>
              <c:x val="0.39838492597577801"/>
              <c:y val="0.8807047721517686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905472"/>
        <c:crossesAt val="-5000"/>
        <c:crossBetween val="midCat"/>
      </c:valAx>
      <c:valAx>
        <c:axId val="549054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Difference (Rep A - Rep B)</a:t>
                </a:r>
              </a:p>
            </c:rich>
          </c:tx>
          <c:layout>
            <c:manualLayout>
              <c:xMode val="edge"/>
              <c:yMode val="edge"/>
              <c:x val="8.0753701211305519E-3"/>
              <c:y val="0.1719304136869997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903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944818304172278"/>
          <c:y val="0.33684325946840582"/>
          <c:w val="0.12516823687752449"/>
          <c:h val="0.2982466359876533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'Method Comparison'!$B$10</c:f>
          <c:strCache>
            <c:ptCount val="1"/>
            <c:pt idx="0">
              <c:v>Measurement System 1</c:v>
            </c:pt>
          </c:strCache>
        </c:strRef>
      </c:tx>
      <c:layout>
        <c:manualLayout>
          <c:xMode val="edge"/>
          <c:yMode val="edge"/>
          <c:x val="0.29395643827861995"/>
          <c:y val="3.384620469682195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813189245456899"/>
          <c:y val="0.15384638498555506"/>
          <c:w val="0.76923180110292688"/>
          <c:h val="0.65538560003846502"/>
        </c:manualLayout>
      </c:layout>
      <c:scatterChart>
        <c:scatterStyle val="lineMarker"/>
        <c:ser>
          <c:idx val="0"/>
          <c:order val="0"/>
          <c:tx>
            <c:strRef>
              <c:f>'Method Comparison'!$B$10</c:f>
              <c:strCache>
                <c:ptCount val="1"/>
                <c:pt idx="0">
                  <c:v>Measurement System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'Method Comparison'!$B$12:$B$41</c:f>
              <c:numCache>
                <c:formatCode>General</c:formatCode>
                <c:ptCount val="30"/>
              </c:numCache>
            </c:numRef>
          </c:xVal>
          <c:yVal>
            <c:numRef>
              <c:f>'Method Comparison'!$C$12:$C$41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tx>
            <c:v>45 degree line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'Method Comparison'!$K$44:$K$45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'Method Comparison'!$K$44:$K$45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axId val="54975872"/>
        <c:axId val="54998528"/>
      </c:scatterChart>
      <c:valAx>
        <c:axId val="54975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Measurement A</a:t>
                </a:r>
              </a:p>
            </c:rich>
          </c:tx>
          <c:layout>
            <c:manualLayout>
              <c:xMode val="edge"/>
              <c:yMode val="edge"/>
              <c:x val="0.439561029201674"/>
              <c:y val="0.89230903291621533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998528"/>
        <c:crosses val="autoZero"/>
        <c:crossBetween val="midCat"/>
      </c:valAx>
      <c:valAx>
        <c:axId val="549985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Measurement B</a:t>
                </a:r>
              </a:p>
            </c:rich>
          </c:tx>
          <c:layout>
            <c:manualLayout>
              <c:xMode val="edge"/>
              <c:yMode val="edge"/>
              <c:x val="1.3736282162552266E-2"/>
              <c:y val="0.33538511926851117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9758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'Method Comparison'!$E$10</c:f>
          <c:strCache>
            <c:ptCount val="1"/>
            <c:pt idx="0">
              <c:v>Measurement System 2</c:v>
            </c:pt>
          </c:strCache>
        </c:strRef>
      </c:tx>
      <c:layout>
        <c:manualLayout>
          <c:xMode val="edge"/>
          <c:yMode val="edge"/>
          <c:x val="0.29395643827861995"/>
          <c:y val="3.395071961419637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813189245456899"/>
          <c:y val="0.15432145279180257"/>
          <c:w val="0.76923180110292688"/>
          <c:h val="0.6543229598372361"/>
        </c:manualLayout>
      </c:layout>
      <c:scatterChart>
        <c:scatterStyle val="lineMarker"/>
        <c:ser>
          <c:idx val="0"/>
          <c:order val="0"/>
          <c:tx>
            <c:strRef>
              <c:f>'Method Comparison'!$E$10</c:f>
              <c:strCache>
                <c:ptCount val="1"/>
                <c:pt idx="0">
                  <c:v>Measurement System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'Method Comparison'!$E$12:$E$41</c:f>
              <c:numCache>
                <c:formatCode>General</c:formatCode>
                <c:ptCount val="30"/>
              </c:numCache>
            </c:numRef>
          </c:xVal>
          <c:yVal>
            <c:numRef>
              <c:f>'Method Comparison'!$F$12:$F$41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tx>
            <c:v>45 degree line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'Method Comparison'!$K$44:$K$45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'Method Comparison'!$K$44:$K$45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axId val="55023488"/>
        <c:axId val="55033856"/>
      </c:scatterChart>
      <c:valAx>
        <c:axId val="55023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Measurement A</a:t>
                </a:r>
              </a:p>
            </c:rich>
          </c:tx>
          <c:layout>
            <c:manualLayout>
              <c:xMode val="edge"/>
              <c:yMode val="edge"/>
              <c:x val="0.439561029201674"/>
              <c:y val="0.89197799713661352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033856"/>
        <c:crosses val="autoZero"/>
        <c:crossBetween val="midCat"/>
      </c:valAx>
      <c:valAx>
        <c:axId val="550338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Measurement B</a:t>
                </a:r>
              </a:p>
            </c:rich>
          </c:tx>
          <c:layout>
            <c:manualLayout>
              <c:xMode val="edge"/>
              <c:yMode val="edge"/>
              <c:x val="1.3736282162552266E-2"/>
              <c:y val="0.33642076708613039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02348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Measurement Systems Comparison</a:t>
            </a:r>
          </a:p>
        </c:rich>
      </c:tx>
      <c:layout>
        <c:manualLayout>
          <c:xMode val="edge"/>
          <c:yMode val="edge"/>
          <c:x val="0.18956069384322247"/>
          <c:y val="3.405572755417979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13189245456899"/>
          <c:y val="0.15479876160990724"/>
          <c:w val="0.76923180110292688"/>
          <c:h val="0.65325077399381148"/>
        </c:manualLayout>
      </c:layout>
      <c:scatterChart>
        <c:scatterStyle val="lineMarker"/>
        <c:ser>
          <c:idx val="0"/>
          <c:order val="0"/>
          <c:tx>
            <c:v>Method Comparison</c:v>
          </c:tx>
          <c:spPr>
            <a:ln w="28575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'Method Comparison'!$B$12:$B$41</c:f>
              <c:numCache>
                <c:formatCode>General</c:formatCode>
                <c:ptCount val="30"/>
              </c:numCache>
            </c:numRef>
          </c:xVal>
          <c:yVal>
            <c:numRef>
              <c:f>'Method Comparison'!$E$12:$E$41</c:f>
              <c:numCache>
                <c:formatCode>General</c:formatCode>
                <c:ptCount val="30"/>
              </c:numCache>
            </c:numRef>
          </c:yVal>
        </c:ser>
        <c:ser>
          <c:idx val="1"/>
          <c:order val="1"/>
          <c:tx>
            <c:v>45 degree line</c:v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'Method Comparison'!$K$44:$K$45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'Method Comparison'!$K$44:$K$45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axId val="55513472"/>
        <c:axId val="55515392"/>
      </c:scatterChart>
      <c:valAx>
        <c:axId val="55513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System 1</a:t>
                </a:r>
              </a:p>
            </c:rich>
          </c:tx>
          <c:layout>
            <c:manualLayout>
              <c:xMode val="edge"/>
              <c:yMode val="edge"/>
              <c:x val="0.49175890141937262"/>
              <c:y val="0.8916408668730656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515392"/>
        <c:crosses val="autoZero"/>
        <c:crossBetween val="midCat"/>
      </c:valAx>
      <c:valAx>
        <c:axId val="555153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System 2</a:t>
                </a:r>
              </a:p>
            </c:rich>
          </c:tx>
          <c:layout>
            <c:manualLayout>
              <c:xMode val="edge"/>
              <c:yMode val="edge"/>
              <c:x val="1.3736282162552266E-2"/>
              <c:y val="0.3931888544891658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513472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Comparison Plot of Different Factors</a:t>
            </a:r>
          </a:p>
        </c:rich>
      </c:tx>
      <c:layout>
        <c:manualLayout>
          <c:xMode val="edge"/>
          <c:yMode val="edge"/>
          <c:x val="0.23809585321555987"/>
          <c:y val="3.802281368821299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021200244916401"/>
          <c:y val="0.22053231939163498"/>
          <c:w val="0.82275344833376862"/>
          <c:h val="0.68060836501901145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'Chi Square'!$A$7:$A$15</c:f>
              <c:numCache>
                <c:formatCode>General</c:formatCode>
                <c:ptCount val="9"/>
              </c:numCache>
            </c:numRef>
          </c:cat>
          <c:val>
            <c:numRef>
              <c:f>'Chi Square'!$E$7:$E$15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5548160"/>
        <c:axId val="55549952"/>
      </c:barChart>
      <c:catAx>
        <c:axId val="5554816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5549952"/>
        <c:crosses val="autoZero"/>
        <c:auto val="1"/>
        <c:lblAlgn val="ctr"/>
        <c:lblOffset val="100"/>
        <c:tickLblSkip val="1"/>
        <c:tickMarkSkip val="1"/>
      </c:catAx>
      <c:valAx>
        <c:axId val="55549952"/>
        <c:scaling>
          <c:orientation val="minMax"/>
        </c:scaling>
        <c:axPos val="l"/>
        <c:title>
          <c:tx>
            <c:strRef>
              <c:f>'Chi Square'!$B$4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4.2328151682766213E-2"/>
              <c:y val="0.52091254752851712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554816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Comparison Plot</a:t>
            </a:r>
          </a:p>
        </c:rich>
      </c:tx>
      <c:layout>
        <c:manualLayout>
          <c:xMode val="edge"/>
          <c:yMode val="edge"/>
          <c:x val="0.37563498328812123"/>
          <c:y val="3.846153846153846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45179332045294"/>
          <c:y val="0.22692307692307687"/>
          <c:w val="0.82995026712983477"/>
          <c:h val="0.56923076923076621"/>
        </c:manualLayout>
      </c:layout>
      <c:barChart>
        <c:barDir val="col"/>
        <c:grouping val="clustered"/>
        <c:ser>
          <c:idx val="0"/>
          <c:order val="0"/>
          <c:tx>
            <c:strRef>
              <c:f>'2 Sample Small dpu'!$B$8</c:f>
              <c:strCache>
                <c:ptCount val="1"/>
              </c:strCache>
            </c:strRef>
          </c:tx>
          <c:spPr>
            <a:solidFill>
              <a:srgbClr val="424242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'2 Sample Small dpu'!$B$7:$B$8</c:f>
              <c:numCache>
                <c:formatCode>General</c:formatCode>
                <c:ptCount val="2"/>
              </c:numCache>
            </c:numRef>
          </c:cat>
          <c:val>
            <c:numRef>
              <c:f>'2 Sample Small dpu'!$E$7:$E$8</c:f>
              <c:numCache>
                <c:formatCode>0.000000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axId val="55762944"/>
        <c:axId val="55764864"/>
      </c:barChart>
      <c:catAx>
        <c:axId val="55762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Factors</a:t>
                </a:r>
              </a:p>
            </c:rich>
          </c:tx>
          <c:layout>
            <c:manualLayout>
              <c:xMode val="edge"/>
              <c:yMode val="edge"/>
              <c:x val="0.48984832280139939"/>
              <c:y val="0.850000000000000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5764864"/>
        <c:crosses val="autoZero"/>
        <c:auto val="1"/>
        <c:lblAlgn val="ctr"/>
        <c:lblOffset val="100"/>
        <c:tickLblSkip val="1"/>
        <c:tickMarkSkip val="1"/>
      </c:catAx>
      <c:valAx>
        <c:axId val="55764864"/>
        <c:scaling>
          <c:orientation val="minMax"/>
        </c:scaling>
        <c:axPos val="l"/>
        <c:title>
          <c:tx>
            <c:strRef>
              <c:f>'2 Sample Small dpu'!$C$4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4.0609187382499357E-2"/>
              <c:y val="0.4692307692307707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50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5762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Exact Binomial Confidence Intervals</a:t>
            </a:r>
          </a:p>
        </c:rich>
      </c:tx>
      <c:layout>
        <c:manualLayout>
          <c:xMode val="edge"/>
          <c:yMode val="edge"/>
          <c:x val="0.28438948995363483"/>
          <c:y val="3.225814919919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74652241112836"/>
          <c:y val="0.18817253699527731"/>
          <c:w val="0.86089644513137564"/>
          <c:h val="0.73656107338151666"/>
        </c:manualLayout>
      </c:layout>
      <c:lineChart>
        <c:grouping val="standard"/>
        <c:ser>
          <c:idx val="0"/>
          <c:order val="0"/>
          <c:tx>
            <c:v>p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'EXACT Binomial Limits'!$B$9:$C$37</c:f>
            </c:multiLvlStrRef>
          </c:cat>
          <c:val>
            <c:numRef>
              <c:f>'EXACT Binomial Limits'!$F$9:$F$37</c:f>
              <c:numCache>
                <c:formatCode>0.0000000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1"/>
          <c:order val="1"/>
          <c:tx>
            <c:strRef>
              <c:f>'EXACT Binomial Limits'!$J$8</c:f>
              <c:strCache>
                <c:ptCount val="1"/>
                <c:pt idx="0">
                  <c:v>UCL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'EXACT Binomial Limits'!$J$9:$J$37</c:f>
              <c:numCache>
                <c:formatCode>0.00000000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2"/>
          <c:order val="2"/>
          <c:tx>
            <c:strRef>
              <c:f>'EXACT Binomial Limits'!$K$8</c:f>
              <c:strCache>
                <c:ptCount val="1"/>
                <c:pt idx="0">
                  <c:v>LCL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'EXACT Binomial Limits'!$K$9:$K$37</c:f>
              <c:numCache>
                <c:formatCode>0.00000000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axId val="55984128"/>
        <c:axId val="55985664"/>
      </c:lineChart>
      <c:catAx>
        <c:axId val="5598412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85664"/>
        <c:crosses val="autoZero"/>
        <c:auto val="1"/>
        <c:lblAlgn val="ctr"/>
        <c:lblOffset val="100"/>
        <c:tickLblSkip val="1"/>
        <c:tickMarkSkip val="1"/>
      </c:catAx>
      <c:valAx>
        <c:axId val="55985664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Percentage</a:t>
                </a:r>
              </a:p>
            </c:rich>
          </c:tx>
          <c:layout>
            <c:manualLayout>
              <c:xMode val="edge"/>
              <c:yMode val="edge"/>
              <c:x val="2.472952086553323E-2"/>
              <c:y val="0.45430226788859956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8412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Proportion </a:t>
            </a:r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850" b="1" i="0" strike="noStrike">
                <a:solidFill>
                  <a:srgbClr val="000000"/>
                </a:solidFill>
                <a:latin typeface="Arial"/>
                <a:cs typeface="Arial"/>
              </a:rPr>
              <a:t>95% Confidence Interval</a:t>
            </a:r>
          </a:p>
        </c:rich>
      </c:tx>
      <c:layout>
        <c:manualLayout>
          <c:xMode val="edge"/>
          <c:yMode val="edge"/>
          <c:x val="0.39308236457468426"/>
          <c:y val="3.250003967290000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57863566638977"/>
          <c:y val="0.21750026550325391"/>
          <c:w val="0.85220256639790659"/>
          <c:h val="0.65000079345800499"/>
        </c:manualLayout>
      </c:layout>
      <c:lineChart>
        <c:grouping val="standard"/>
        <c:ser>
          <c:idx val="3"/>
          <c:order val="0"/>
          <c:tx>
            <c:strRef>
              <c:f>'Binomial Normal Approximation'!$F$2</c:f>
              <c:strCache>
                <c:ptCount val="1"/>
                <c:pt idx="0">
                  <c:v>p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plus>
              <c:numRef>
                <c:f>'Binomial Normal Approximation'!$G$4:$G$10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plus>
            <c:minus>
              <c:numRef>
                <c:f>'Binomial Normal Approximation'!$G$4:$G$10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cat>
            <c:multiLvlStrRef>
              <c:f>'Binomial Normal Approximation'!$B$4:$C$10</c:f>
            </c:multiLvlStrRef>
          </c:cat>
          <c:val>
            <c:numRef>
              <c:f>'Binomial Normal Approximation'!$F$4:$F$10</c:f>
              <c:numCache>
                <c:formatCode>0.000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56067968"/>
        <c:axId val="56074240"/>
      </c:lineChart>
      <c:catAx>
        <c:axId val="56067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Category</a:t>
                </a:r>
              </a:p>
            </c:rich>
          </c:tx>
          <c:layout>
            <c:manualLayout>
              <c:xMode val="edge"/>
              <c:yMode val="edge"/>
              <c:x val="0.50000076773899327"/>
              <c:y val="0.902501101685914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074240"/>
        <c:crosses val="autoZero"/>
        <c:auto val="1"/>
        <c:lblAlgn val="ctr"/>
        <c:lblOffset val="100"/>
        <c:tickLblSkip val="1"/>
        <c:tickMarkSkip val="1"/>
      </c:catAx>
      <c:valAx>
        <c:axId val="56074240"/>
        <c:scaling>
          <c:orientation val="minMax"/>
          <c:min val="0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Proportion of Failures</a:t>
                </a:r>
              </a:p>
            </c:rich>
          </c:tx>
          <c:layout>
            <c:manualLayout>
              <c:xMode val="edge"/>
              <c:yMode val="edge"/>
              <c:x val="2.5157271332779542E-2"/>
              <c:y val="0.34500042114309232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0679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'Poisson Exact'!$B$1</c:f>
          <c:strCache>
            <c:ptCount val="1"/>
            <c:pt idx="0">
              <c:v>Title </c:v>
            </c:pt>
          </c:strCache>
        </c:strRef>
      </c:tx>
      <c:layout>
        <c:manualLayout>
          <c:xMode val="edge"/>
          <c:yMode val="edge"/>
          <c:x val="0.46925640494855658"/>
          <c:y val="3.367875647668400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297754060720793"/>
          <c:y val="0.18134715025906806"/>
          <c:w val="0.85437028211323462"/>
          <c:h val="0.68393782383419865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'Poisson Exact'!$A$4:$B$11</c:f>
            </c:multiLvlStrRef>
          </c:cat>
          <c:val>
            <c:numRef>
              <c:f>'Poisson Exact'!$E$4:$E$11</c:f>
              <c:numCache>
                <c:formatCode>0.00000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'Poisson Exact'!$A$4:$B$11</c:f>
            </c:multiLvlStrRef>
          </c:cat>
          <c:val>
            <c:numRef>
              <c:f>'Poisson Exact'!$F$4:$F$11</c:f>
              <c:numCache>
                <c:formatCode>0.00000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'Poisson Exact'!$A$4:$B$11</c:f>
            </c:multiLvlStrRef>
          </c:cat>
          <c:val>
            <c:numRef>
              <c:f>'Poisson Exact'!$G$4:$G$11</c:f>
              <c:numCache>
                <c:formatCode>0.00000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axId val="56235904"/>
        <c:axId val="56246272"/>
      </c:lineChart>
      <c:catAx>
        <c:axId val="56235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Categories</a:t>
                </a:r>
              </a:p>
            </c:rich>
          </c:tx>
          <c:layout>
            <c:manualLayout>
              <c:xMode val="edge"/>
              <c:yMode val="edge"/>
              <c:x val="0.49191016242883323"/>
              <c:y val="0.90155440414507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46272"/>
        <c:crosses val="autoZero"/>
        <c:auto val="1"/>
        <c:lblAlgn val="ctr"/>
        <c:lblOffset val="100"/>
        <c:tickLblSkip val="1"/>
        <c:tickMarkSkip val="1"/>
      </c:catAx>
      <c:valAx>
        <c:axId val="56246272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 Counts of Defects</a:t>
                </a:r>
              </a:p>
            </c:rich>
          </c:tx>
          <c:layout>
            <c:manualLayout>
              <c:xMode val="edge"/>
              <c:yMode val="edge"/>
              <c:x val="2.589000854888588E-2"/>
              <c:y val="0.30310880829015713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3590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Sigma Level vs PPM</a:t>
            </a:r>
          </a:p>
        </c:rich>
      </c:tx>
      <c:layout>
        <c:manualLayout>
          <c:xMode val="edge"/>
          <c:yMode val="edge"/>
          <c:x val="0.39122137404580393"/>
          <c:y val="3.560836019850040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9465648854961831"/>
          <c:y val="0.18100916434237799"/>
          <c:w val="0.7690839694656485"/>
          <c:h val="0.63501575687325673"/>
        </c:manualLayout>
      </c:layout>
      <c:scatterChart>
        <c:scatterStyle val="lineMarker"/>
        <c:ser>
          <c:idx val="0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6"/>
            <c:marker>
              <c:symbol val="star"/>
              <c:size val="8"/>
              <c:spPr>
                <a:noFill/>
                <a:ln>
                  <a:solidFill>
                    <a:srgbClr val="FF0000"/>
                  </a:solidFill>
                  <a:prstDash val="solid"/>
                </a:ln>
              </c:spPr>
            </c:marker>
            <c:spPr>
              <a:ln w="28575">
                <a:noFill/>
              </a:ln>
            </c:spPr>
          </c:dPt>
          <c:xVal>
            <c:numRef>
              <c:f>'Zsigma to PPM'!$A$11:$A$17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_(* #,##0.0_);_(* \(#,##0.0\);_(* &quot;-&quot;??_);_(@_)">
                  <c:v>5</c:v>
                </c:pt>
              </c:numCache>
            </c:numRef>
          </c:xVal>
          <c:yVal>
            <c:numRef>
              <c:f>'Zsigma to PPM'!$B$11:$B$17</c:f>
              <c:numCache>
                <c:formatCode>_(* #,##0_);_(* \(#,##0\);_(* "-"??_);_(@_)</c:formatCode>
                <c:ptCount val="7"/>
                <c:pt idx="0">
                  <c:v>691462.46127401316</c:v>
                </c:pt>
                <c:pt idx="1">
                  <c:v>308537.5387259869</c:v>
                </c:pt>
                <c:pt idx="2">
                  <c:v>66807.201268858087</c:v>
                </c:pt>
                <c:pt idx="3">
                  <c:v>6209.6653257759372</c:v>
                </c:pt>
                <c:pt idx="4">
                  <c:v>232.62907903420782</c:v>
                </c:pt>
                <c:pt idx="5" formatCode="_(* #,##0.0_);_(* \(#,##0.0\);_(* &quot;-&quot;??_);_(@_)">
                  <c:v>3.3976731337315158</c:v>
                </c:pt>
                <c:pt idx="6" formatCode="_(* #,##0.0_);_(* \(#,##0.0\);_(* &quot;-&quot;??_);_(@_)">
                  <c:v>232.62907903420782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'Zsigma to PPM'!$A$11:$A$17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 formatCode="_(* #,##0.0_);_(* \(#,##0.0\);_(* &quot;-&quot;??_);_(@_)">
                  <c:v>5</c:v>
                </c:pt>
              </c:numCache>
            </c:numRef>
          </c:xVal>
          <c:yVal>
            <c:numRef>
              <c:f>'Zsigma to PPM'!$C$11:$C$17</c:f>
              <c:numCache>
                <c:formatCode>General</c:formatCode>
                <c:ptCount val="7"/>
              </c:numCache>
            </c:numRef>
          </c:yVal>
        </c:ser>
        <c:axId val="56341632"/>
        <c:axId val="56343936"/>
      </c:scatterChart>
      <c:valAx>
        <c:axId val="563416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Sigma Level</a:t>
                </a:r>
              </a:p>
            </c:rich>
          </c:tx>
          <c:layout>
            <c:manualLayout>
              <c:xMode val="edge"/>
              <c:yMode val="edge"/>
              <c:x val="0.52099236641221358"/>
              <c:y val="0.896143731662259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343936"/>
        <c:crosses val="autoZero"/>
        <c:crossBetween val="midCat"/>
      </c:valAx>
      <c:valAx>
        <c:axId val="56343936"/>
        <c:scaling>
          <c:logBase val="10"/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ppm</a:t>
                </a:r>
              </a:p>
            </c:rich>
          </c:tx>
          <c:layout>
            <c:manualLayout>
              <c:xMode val="edge"/>
              <c:yMode val="edge"/>
              <c:x val="2.8625954198473282E-2"/>
              <c:y val="0.46290868258050538"/>
            </c:manualLayout>
          </c:layout>
          <c:spPr>
            <a:noFill/>
            <a:ln w="25400">
              <a:noFill/>
            </a:ln>
          </c:spPr>
        </c:title>
        <c:numFmt formatCode="_(* #,##0_);_(* \(#,##0\);_(* &quot;-&quot;??_);_(@_)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341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Ppk to ppm Using the Normal Distribution </a:t>
            </a:r>
          </a:p>
        </c:rich>
      </c:tx>
      <c:layout>
        <c:manualLayout>
          <c:xMode val="edge"/>
          <c:yMode val="edge"/>
          <c:x val="0.21621621621621701"/>
          <c:y val="3.806234804543558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1867321867321868"/>
          <c:y val="0.20415259406188169"/>
          <c:w val="0.71253071253071265"/>
          <c:h val="0.48096967075596064"/>
        </c:manualLayout>
      </c:layout>
      <c:scatterChart>
        <c:scatterStyle val="lineMarker"/>
        <c:ser>
          <c:idx val="0"/>
          <c:order val="0"/>
          <c:tx>
            <c:v>Ppk to ppm Curve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'ppm-Ppk'!$A$2:$A$21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 formatCode="0.0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 formatCode="0.0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'ppm-Ppk'!$D$2:$D$21</c:f>
              <c:numCache>
                <c:formatCode>#,##0</c:formatCode>
                <c:ptCount val="20"/>
                <c:pt idx="0">
                  <c:v>382088.57781104732</c:v>
                </c:pt>
                <c:pt idx="1">
                  <c:v>274253.11775007355</c:v>
                </c:pt>
                <c:pt idx="2">
                  <c:v>184060.12534675954</c:v>
                </c:pt>
                <c:pt idx="3">
                  <c:v>115069.67022170822</c:v>
                </c:pt>
                <c:pt idx="4">
                  <c:v>66807.201268858087</c:v>
                </c:pt>
                <c:pt idx="5">
                  <c:v>35930.319112925878</c:v>
                </c:pt>
                <c:pt idx="6">
                  <c:v>17864.420562816562</c:v>
                </c:pt>
                <c:pt idx="7">
                  <c:v>8197.5359245960444</c:v>
                </c:pt>
                <c:pt idx="8">
                  <c:v>3466.9738030406183</c:v>
                </c:pt>
                <c:pt idx="9">
                  <c:v>1349.8980316301036</c:v>
                </c:pt>
                <c:pt idx="10">
                  <c:v>483.42414238400357</c:v>
                </c:pt>
                <c:pt idx="11">
                  <c:v>159.10859015888514</c:v>
                </c:pt>
                <c:pt idx="12">
                  <c:v>48.096344017700687</c:v>
                </c:pt>
                <c:pt idx="13">
                  <c:v>13.345749027338094</c:v>
                </c:pt>
                <c:pt idx="14" formatCode="#,##0.0">
                  <c:v>3.3976731337315158</c:v>
                </c:pt>
                <c:pt idx="15" formatCode="#,##0.0">
                  <c:v>0.79332804148180003</c:v>
                </c:pt>
                <c:pt idx="16" formatCode="#,##0.00">
                  <c:v>0.1698267406702314</c:v>
                </c:pt>
                <c:pt idx="17" formatCode="#,##0.000">
                  <c:v>3.3320448511453549E-2</c:v>
                </c:pt>
                <c:pt idx="18" formatCode="#,##0.000">
                  <c:v>5.9903714211273495E-3</c:v>
                </c:pt>
                <c:pt idx="19" formatCode="#,##0.000">
                  <c:v>9.8658770042447941E-4</c:v>
                </c:pt>
              </c:numCache>
            </c:numRef>
          </c:yVal>
        </c:ser>
        <c:ser>
          <c:idx val="1"/>
          <c:order val="1"/>
          <c:tx>
            <c:v>ppm given Ppk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'ppm-Ppk'!$I$2</c:f>
              <c:numCache>
                <c:formatCode>General</c:formatCode>
                <c:ptCount val="1"/>
              </c:numCache>
            </c:numRef>
          </c:xVal>
          <c:yVal>
            <c:numRef>
              <c:f>'ppm-Ppk'!$J$2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</c:ser>
        <c:ser>
          <c:idx val="2"/>
          <c:order val="2"/>
          <c:tx>
            <c:v>Ppk given ppm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'ppm-Ppk'!$J$3</c:f>
            </c:numRef>
          </c:xVal>
          <c:yVal>
            <c:numRef>
              <c:f>'ppm-Ppk'!$I$3</c:f>
              <c:numCache>
                <c:formatCode>General</c:formatCode>
                <c:ptCount val="1"/>
              </c:numCache>
            </c:numRef>
          </c:yVal>
        </c:ser>
        <c:axId val="56382976"/>
        <c:axId val="56397824"/>
      </c:scatterChart>
      <c:valAx>
        <c:axId val="56382976"/>
        <c:scaling>
          <c:orientation val="minMax"/>
          <c:max val="2"/>
        </c:scaling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Ppk Score</a:t>
                </a:r>
              </a:p>
            </c:rich>
          </c:tx>
          <c:layout>
            <c:manualLayout>
              <c:xMode val="edge"/>
              <c:yMode val="edge"/>
              <c:x val="0.50614250614250611"/>
              <c:y val="0.7958490954954771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397824"/>
        <c:crosses val="autoZero"/>
        <c:crossBetween val="midCat"/>
        <c:majorUnit val="0.25"/>
      </c:valAx>
      <c:valAx>
        <c:axId val="563978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ppm (defects per million units)</a:t>
                </a:r>
              </a:p>
            </c:rich>
          </c:tx>
          <c:layout>
            <c:manualLayout>
              <c:xMode val="edge"/>
              <c:yMode val="edge"/>
              <c:x val="1.2285012285012289E-2"/>
              <c:y val="0.21453323443791097"/>
            </c:manualLayout>
          </c:layout>
          <c:spPr>
            <a:noFill/>
            <a:ln w="25400">
              <a:noFill/>
            </a:ln>
          </c:spPr>
        </c:title>
        <c:numFmt formatCode="#,##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3829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79606879606881E-2"/>
          <c:y val="0.89965549925574995"/>
          <c:w val="0.83046683046683045"/>
          <c:h val="7.612469609087116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Probability of DETECTION</a:t>
            </a:r>
          </a:p>
        </c:rich>
      </c:tx>
      <c:layout>
        <c:manualLayout>
          <c:xMode val="edge"/>
          <c:yMode val="edge"/>
          <c:x val="0.36757624398074001"/>
          <c:y val="3.243247523289067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754414125200697"/>
          <c:y val="0.17027049497267621"/>
          <c:w val="0.797752808988764"/>
          <c:h val="0.64324409211900424"/>
        </c:manualLayout>
      </c:layout>
      <c:scatterChart>
        <c:scatterStyle val="lineMarker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Plan Generator'!$Q$7:$Q$96</c:f>
              <c:numCache>
                <c:formatCode>General</c:formatCode>
                <c:ptCount val="90"/>
                <c:pt idx="0">
                  <c:v>0.1</c:v>
                </c:pt>
                <c:pt idx="1">
                  <c:v>7.4999999999999997E-2</c:v>
                </c:pt>
                <c:pt idx="2">
                  <c:v>0.05</c:v>
                </c:pt>
                <c:pt idx="3">
                  <c:v>0.04</c:v>
                </c:pt>
                <c:pt idx="4">
                  <c:v>3.5000000000000003E-2</c:v>
                </c:pt>
                <c:pt idx="5">
                  <c:v>0.03</c:v>
                </c:pt>
                <c:pt idx="6">
                  <c:v>2.5000000000000001E-2</c:v>
                </c:pt>
                <c:pt idx="7">
                  <c:v>0.02</c:v>
                </c:pt>
                <c:pt idx="8">
                  <c:v>1.9E-2</c:v>
                </c:pt>
                <c:pt idx="9">
                  <c:v>1.7999999999999999E-2</c:v>
                </c:pt>
                <c:pt idx="10">
                  <c:v>1.7000000000000001E-2</c:v>
                </c:pt>
                <c:pt idx="11">
                  <c:v>1.6E-2</c:v>
                </c:pt>
                <c:pt idx="12">
                  <c:v>1.4999999999999999E-2</c:v>
                </c:pt>
                <c:pt idx="13">
                  <c:v>1.4E-2</c:v>
                </c:pt>
                <c:pt idx="14">
                  <c:v>1.2999999999999999E-2</c:v>
                </c:pt>
                <c:pt idx="15">
                  <c:v>1.2E-2</c:v>
                </c:pt>
                <c:pt idx="16">
                  <c:v>1.0999999999999999E-2</c:v>
                </c:pt>
                <c:pt idx="17">
                  <c:v>0.01</c:v>
                </c:pt>
                <c:pt idx="18">
                  <c:v>8.9999999999999993E-3</c:v>
                </c:pt>
                <c:pt idx="19">
                  <c:v>8.0000000000000002E-3</c:v>
                </c:pt>
                <c:pt idx="20">
                  <c:v>7.0000000000000001E-3</c:v>
                </c:pt>
                <c:pt idx="21">
                  <c:v>6.0000000000000001E-3</c:v>
                </c:pt>
                <c:pt idx="22">
                  <c:v>5.0000000000000001E-3</c:v>
                </c:pt>
                <c:pt idx="23">
                  <c:v>4.8999999999999998E-3</c:v>
                </c:pt>
                <c:pt idx="24">
                  <c:v>4.7999999999999996E-3</c:v>
                </c:pt>
                <c:pt idx="25">
                  <c:v>4.7000000000000002E-3</c:v>
                </c:pt>
                <c:pt idx="26">
                  <c:v>4.5999999999999999E-3</c:v>
                </c:pt>
                <c:pt idx="27">
                  <c:v>4.4999999999999997E-3</c:v>
                </c:pt>
                <c:pt idx="28">
                  <c:v>4.4000000000000003E-3</c:v>
                </c:pt>
                <c:pt idx="29">
                  <c:v>4.3E-3</c:v>
                </c:pt>
                <c:pt idx="30">
                  <c:v>4.1999999999999997E-3</c:v>
                </c:pt>
                <c:pt idx="31">
                  <c:v>4.1000000000000003E-3</c:v>
                </c:pt>
                <c:pt idx="32">
                  <c:v>4.0000000000000001E-3</c:v>
                </c:pt>
                <c:pt idx="33">
                  <c:v>3.8999999999999998E-3</c:v>
                </c:pt>
                <c:pt idx="34">
                  <c:v>3.8E-3</c:v>
                </c:pt>
                <c:pt idx="35">
                  <c:v>3.7000000000000002E-3</c:v>
                </c:pt>
                <c:pt idx="36">
                  <c:v>3.5999999999999999E-3</c:v>
                </c:pt>
                <c:pt idx="37">
                  <c:v>3.5000000000000001E-3</c:v>
                </c:pt>
                <c:pt idx="38">
                  <c:v>3.3999999999999998E-3</c:v>
                </c:pt>
                <c:pt idx="39">
                  <c:v>3.3E-3</c:v>
                </c:pt>
                <c:pt idx="40">
                  <c:v>3.2000000000000002E-3</c:v>
                </c:pt>
                <c:pt idx="41">
                  <c:v>3.0999999999999899E-3</c:v>
                </c:pt>
                <c:pt idx="42">
                  <c:v>2.9999999999999901E-3</c:v>
                </c:pt>
                <c:pt idx="43">
                  <c:v>2.8999999999999898E-3</c:v>
                </c:pt>
                <c:pt idx="44">
                  <c:v>2.79999999999999E-3</c:v>
                </c:pt>
                <c:pt idx="45">
                  <c:v>2.6999999999999902E-3</c:v>
                </c:pt>
                <c:pt idx="46">
                  <c:v>2.5999999999999899E-3</c:v>
                </c:pt>
                <c:pt idx="47">
                  <c:v>2.4999999999999901E-3</c:v>
                </c:pt>
                <c:pt idx="48">
                  <c:v>2.3999999999999898E-3</c:v>
                </c:pt>
                <c:pt idx="49">
                  <c:v>2.29999999999999E-3</c:v>
                </c:pt>
                <c:pt idx="50">
                  <c:v>2.1999999999999902E-3</c:v>
                </c:pt>
                <c:pt idx="51">
                  <c:v>2.0999999999999899E-3</c:v>
                </c:pt>
                <c:pt idx="52">
                  <c:v>1.9999999999999901E-3</c:v>
                </c:pt>
                <c:pt idx="53">
                  <c:v>1.89999999999999E-3</c:v>
                </c:pt>
                <c:pt idx="54">
                  <c:v>1.79999999999999E-3</c:v>
                </c:pt>
                <c:pt idx="55">
                  <c:v>1.6999999999999899E-3</c:v>
                </c:pt>
                <c:pt idx="56">
                  <c:v>1.5999999999999901E-3</c:v>
                </c:pt>
                <c:pt idx="57">
                  <c:v>1.4999999999999901E-3</c:v>
                </c:pt>
                <c:pt idx="58">
                  <c:v>1.39999999999999E-3</c:v>
                </c:pt>
                <c:pt idx="59">
                  <c:v>1.29999999999999E-3</c:v>
                </c:pt>
                <c:pt idx="60">
                  <c:v>1.1999999999999899E-3</c:v>
                </c:pt>
                <c:pt idx="61">
                  <c:v>1.0999999999999901E-3</c:v>
                </c:pt>
                <c:pt idx="62">
                  <c:v>9.9999999999999005E-4</c:v>
                </c:pt>
                <c:pt idx="63">
                  <c:v>8.9999999999999E-4</c:v>
                </c:pt>
                <c:pt idx="64">
                  <c:v>7.9999999999998996E-4</c:v>
                </c:pt>
                <c:pt idx="65">
                  <c:v>6.9999999999999099E-4</c:v>
                </c:pt>
                <c:pt idx="66">
                  <c:v>5.9999999999998997E-4</c:v>
                </c:pt>
                <c:pt idx="67">
                  <c:v>4.9999999999999004E-4</c:v>
                </c:pt>
                <c:pt idx="68">
                  <c:v>3.9999999999999102E-4</c:v>
                </c:pt>
                <c:pt idx="69">
                  <c:v>2.9999999999999E-4</c:v>
                </c:pt>
                <c:pt idx="70">
                  <c:v>1.9999999999999001E-4</c:v>
                </c:pt>
                <c:pt idx="71">
                  <c:v>1E-4</c:v>
                </c:pt>
                <c:pt idx="72">
                  <c:v>9.0000000000000006E-5</c:v>
                </c:pt>
                <c:pt idx="73">
                  <c:v>8.0000000000000007E-5</c:v>
                </c:pt>
                <c:pt idx="74">
                  <c:v>6.9999999999999994E-5</c:v>
                </c:pt>
                <c:pt idx="75">
                  <c:v>6.0000000000000002E-5</c:v>
                </c:pt>
                <c:pt idx="76">
                  <c:v>5.0000000000000002E-5</c:v>
                </c:pt>
                <c:pt idx="77">
                  <c:v>4.0000000000000003E-5</c:v>
                </c:pt>
                <c:pt idx="78">
                  <c:v>3.0000000000000001E-5</c:v>
                </c:pt>
                <c:pt idx="79">
                  <c:v>2.0000000000000002E-5</c:v>
                </c:pt>
                <c:pt idx="80">
                  <c:v>1.0000000000000001E-5</c:v>
                </c:pt>
                <c:pt idx="81">
                  <c:v>9.0000000000000002E-6</c:v>
                </c:pt>
                <c:pt idx="82">
                  <c:v>7.9999999999999996E-6</c:v>
                </c:pt>
                <c:pt idx="83">
                  <c:v>6.9999999999999999E-6</c:v>
                </c:pt>
                <c:pt idx="84">
                  <c:v>6.0000000000000002E-6</c:v>
                </c:pt>
                <c:pt idx="85">
                  <c:v>5.0000000000000004E-6</c:v>
                </c:pt>
                <c:pt idx="86">
                  <c:v>3.9999999999999998E-6</c:v>
                </c:pt>
                <c:pt idx="87">
                  <c:v>3.0000000000000001E-6</c:v>
                </c:pt>
                <c:pt idx="88">
                  <c:v>1.9999999999999999E-6</c:v>
                </c:pt>
                <c:pt idx="89">
                  <c:v>9.9999999999999E-7</c:v>
                </c:pt>
              </c:numCache>
            </c:numRef>
          </c:xVal>
          <c:yVal>
            <c:numRef>
              <c:f>'Sample Plan Generator'!$S$7:$S$96</c:f>
              <c:numCache>
                <c:formatCode>0.00%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yVal>
        </c:ser>
        <c:axId val="56493184"/>
        <c:axId val="56495104"/>
      </c:scatterChart>
      <c:valAx>
        <c:axId val="56493184"/>
        <c:scaling>
          <c:logBase val="10"/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 (fraction defective)</a:t>
                </a:r>
              </a:p>
            </c:rich>
          </c:tx>
          <c:layout>
            <c:manualLayout>
              <c:xMode val="edge"/>
              <c:yMode val="edge"/>
              <c:x val="0.39807383627608489"/>
              <c:y val="0.897298481443308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495104"/>
        <c:crosses val="autoZero"/>
        <c:crossBetween val="midCat"/>
      </c:valAx>
      <c:valAx>
        <c:axId val="56495104"/>
        <c:scaling>
          <c:orientation val="minMax"/>
          <c:max val="1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Probability of Detecting</a:t>
                </a:r>
              </a:p>
            </c:rich>
          </c:tx>
          <c:layout>
            <c:manualLayout>
              <c:xMode val="edge"/>
              <c:yMode val="edge"/>
              <c:x val="2.5682182985553935E-2"/>
              <c:y val="0.28648686455720396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4931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-2" verticalDpi="0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Distribution of Probable Number of Defective Units
Poisson Probability</a:t>
            </a:r>
          </a:p>
        </c:rich>
      </c:tx>
      <c:layout>
        <c:manualLayout>
          <c:xMode val="edge"/>
          <c:yMode val="edge"/>
          <c:x val="0.13281275332022346"/>
          <c:y val="4.705882352941181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1875041723330924"/>
          <c:y val="0.25882352941176484"/>
          <c:w val="0.72656388581063025"/>
          <c:h val="0.4588235294117648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'p Sample Size'!$B$7:$B$21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'p Sample Size'!$C$7:$C$21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gapWidth val="50"/>
        <c:axId val="56528256"/>
        <c:axId val="56612352"/>
      </c:barChart>
      <c:catAx>
        <c:axId val="56528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# Defective Units in the Sample</a:t>
                </a:r>
              </a:p>
            </c:rich>
          </c:tx>
          <c:layout>
            <c:manualLayout>
              <c:xMode val="edge"/>
              <c:yMode val="edge"/>
              <c:x val="0.35546942800412751"/>
              <c:y val="0.82941176470588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612352"/>
        <c:crosses val="autoZero"/>
        <c:lblAlgn val="ctr"/>
        <c:lblOffset val="100"/>
        <c:tickLblSkip val="1"/>
        <c:tickMarkSkip val="1"/>
      </c:catAx>
      <c:valAx>
        <c:axId val="566123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Probability of Occurence</a:t>
                </a:r>
              </a:p>
            </c:rich>
          </c:tx>
          <c:layout>
            <c:manualLayout>
              <c:xMode val="edge"/>
              <c:yMode val="edge"/>
              <c:x val="5.8593861758922124E-2"/>
              <c:y val="0.21764705882352944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52825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Distribution of Probable Number of Defective Units
Binomial Probability</a:t>
            </a:r>
          </a:p>
        </c:rich>
      </c:tx>
      <c:layout>
        <c:manualLayout>
          <c:xMode val="edge"/>
          <c:yMode val="edge"/>
          <c:x val="0.13618677042801483"/>
          <c:y val="4.678389290874544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1789883268482596"/>
          <c:y val="0.25146342438450531"/>
          <c:w val="0.72762645914396884"/>
          <c:h val="0.48538288892823367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'p Sample Size'!$B$7:$B$21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'p Sample Size'!$D$7:$D$21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gapWidth val="50"/>
        <c:axId val="56833152"/>
        <c:axId val="56835072"/>
      </c:barChart>
      <c:catAx>
        <c:axId val="568331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# Defective Units in the Sample</a:t>
                </a:r>
              </a:p>
            </c:rich>
          </c:tx>
          <c:layout>
            <c:manualLayout>
              <c:xMode val="edge"/>
              <c:yMode val="edge"/>
              <c:x val="0.35408560311284443"/>
              <c:y val="0.847958058971005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835072"/>
        <c:crosses val="autoZero"/>
        <c:lblAlgn val="ctr"/>
        <c:lblOffset val="100"/>
        <c:tickLblSkip val="1"/>
        <c:tickMarkSkip val="1"/>
      </c:catAx>
      <c:valAx>
        <c:axId val="568350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Probability of Occurence</a:t>
                </a:r>
              </a:p>
            </c:rich>
          </c:tx>
          <c:layout>
            <c:manualLayout>
              <c:xMode val="edge"/>
              <c:yMode val="edge"/>
              <c:x val="5.8365758754863807E-2"/>
              <c:y val="0.2222234913165394"/>
            </c:manualLayout>
          </c:layout>
          <c:spPr>
            <a:noFill/>
            <a:ln w="25400">
              <a:noFill/>
            </a:ln>
          </c:spPr>
        </c:title>
        <c:numFmt formatCode="0%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83315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Distribution of Defects Per Unit</a:t>
            </a:r>
          </a:p>
        </c:rich>
      </c:tx>
      <c:layout>
        <c:manualLayout>
          <c:xMode val="edge"/>
          <c:yMode val="edge"/>
          <c:x val="0.20312538743093081"/>
          <c:y val="4.705882352941181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625029802379309"/>
          <c:y val="0.20588235294117646"/>
          <c:w val="0.78906400502015117"/>
          <c:h val="0.60000000000000064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'dpu n FTY'!$B$7:$B$16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cat>
          <c:val>
            <c:numRef>
              <c:f>'dpu n FTY'!$C$7:$C$16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gapWidth val="50"/>
        <c:axId val="56986624"/>
        <c:axId val="57001088"/>
      </c:barChart>
      <c:catAx>
        <c:axId val="56986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# Defects on a Unit</a:t>
                </a:r>
              </a:p>
            </c:rich>
          </c:tx>
          <c:layout>
            <c:manualLayout>
              <c:xMode val="edge"/>
              <c:yMode val="edge"/>
              <c:x val="0.40625077486186151"/>
              <c:y val="0.8882352941176465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7001088"/>
        <c:crosses val="autoZero"/>
        <c:lblAlgn val="ctr"/>
        <c:lblOffset val="100"/>
        <c:tickLblSkip val="1"/>
        <c:tickMarkSkip val="1"/>
      </c:catAx>
      <c:valAx>
        <c:axId val="570010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Probability of Occurence</a:t>
                </a:r>
              </a:p>
            </c:rich>
          </c:tx>
          <c:layout>
            <c:manualLayout>
              <c:xMode val="edge"/>
              <c:yMode val="edge"/>
              <c:x val="1.9531287252974042E-2"/>
              <c:y val="0.23529411764705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6986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Ppk and Sample Sizes for Attributes Data; np=0</a:t>
            </a:r>
          </a:p>
        </c:rich>
      </c:tx>
      <c:layout>
        <c:manualLayout>
          <c:xMode val="edge"/>
          <c:yMode val="edge"/>
          <c:x val="0.14511892047189495"/>
          <c:y val="3.891050583657587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886565291274958"/>
          <c:y val="0.21400778210116853"/>
          <c:w val="0.74406428314680273"/>
          <c:h val="0.57198443579766456"/>
        </c:manualLayout>
      </c:layout>
      <c:scatterChart>
        <c:scatterStyle val="lineMarker"/>
        <c:ser>
          <c:idx val="1"/>
          <c:order val="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'Attributes n'!$A$6:$A$28</c:f>
              <c:numCache>
                <c:formatCode>General</c:formatCode>
                <c:ptCount val="23"/>
                <c:pt idx="0">
                  <c:v>500</c:v>
                </c:pt>
                <c:pt idx="1">
                  <c:v>750</c:v>
                </c:pt>
                <c:pt idx="2">
                  <c:v>1000</c:v>
                </c:pt>
                <c:pt idx="3">
                  <c:v>2500</c:v>
                </c:pt>
                <c:pt idx="4">
                  <c:v>5000</c:v>
                </c:pt>
                <c:pt idx="5">
                  <c:v>7500</c:v>
                </c:pt>
                <c:pt idx="6">
                  <c:v>10000</c:v>
                </c:pt>
                <c:pt idx="7">
                  <c:v>12500</c:v>
                </c:pt>
                <c:pt idx="8">
                  <c:v>15000</c:v>
                </c:pt>
                <c:pt idx="9">
                  <c:v>17500</c:v>
                </c:pt>
                <c:pt idx="10">
                  <c:v>20000</c:v>
                </c:pt>
                <c:pt idx="11">
                  <c:v>22500</c:v>
                </c:pt>
                <c:pt idx="12">
                  <c:v>25000</c:v>
                </c:pt>
                <c:pt idx="13">
                  <c:v>27500</c:v>
                </c:pt>
                <c:pt idx="14">
                  <c:v>30000</c:v>
                </c:pt>
                <c:pt idx="15">
                  <c:v>32500</c:v>
                </c:pt>
                <c:pt idx="16">
                  <c:v>35000</c:v>
                </c:pt>
                <c:pt idx="17">
                  <c:v>37500</c:v>
                </c:pt>
                <c:pt idx="18">
                  <c:v>40000</c:v>
                </c:pt>
                <c:pt idx="19">
                  <c:v>42500</c:v>
                </c:pt>
                <c:pt idx="20">
                  <c:v>45000</c:v>
                </c:pt>
                <c:pt idx="21">
                  <c:v>47500</c:v>
                </c:pt>
                <c:pt idx="22">
                  <c:v>47500</c:v>
                </c:pt>
              </c:numCache>
            </c:numRef>
          </c:xVal>
          <c:yVal>
            <c:numRef>
              <c:f>'Attributes n'!$C$6:$C$28</c:f>
              <c:numCache>
                <c:formatCode>0.000</c:formatCode>
                <c:ptCount val="23"/>
                <c:pt idx="0">
                  <c:v>0.95980692734235828</c:v>
                </c:pt>
                <c:pt idx="1">
                  <c:v>1.0015229921712983</c:v>
                </c:pt>
                <c:pt idx="2">
                  <c:v>1.0302752163140028</c:v>
                </c:pt>
                <c:pt idx="3">
                  <c:v>1.1176720395812854</c:v>
                </c:pt>
                <c:pt idx="4">
                  <c:v>1.1800631131884234</c:v>
                </c:pt>
                <c:pt idx="5">
                  <c:v>1.2152556266901025</c:v>
                </c:pt>
                <c:pt idx="6">
                  <c:v>1.2396890015147763</c:v>
                </c:pt>
                <c:pt idx="7">
                  <c:v>1.2583506068012396</c:v>
                </c:pt>
                <c:pt idx="8">
                  <c:v>1.2734172322708339</c:v>
                </c:pt>
                <c:pt idx="9">
                  <c:v>1.2860327923579298</c:v>
                </c:pt>
                <c:pt idx="10">
                  <c:v>1.2968720495473367</c:v>
                </c:pt>
                <c:pt idx="11">
                  <c:v>1.3063659856970797</c:v>
                </c:pt>
                <c:pt idx="12">
                  <c:v>1.3148064186352526</c:v>
                </c:pt>
                <c:pt idx="13">
                  <c:v>1.3223999783750369</c:v>
                </c:pt>
                <c:pt idx="14">
                  <c:v>1.3292982520518992</c:v>
                </c:pt>
                <c:pt idx="15">
                  <c:v>1.3356156933383012</c:v>
                </c:pt>
                <c:pt idx="16">
                  <c:v>1.3414408047857045</c:v>
                </c:pt>
                <c:pt idx="17">
                  <c:v>1.3468434112290406</c:v>
                </c:pt>
                <c:pt idx="18">
                  <c:v>1.3518795555723362</c:v>
                </c:pt>
                <c:pt idx="19">
                  <c:v>1.3565948915394965</c:v>
                </c:pt>
                <c:pt idx="20">
                  <c:v>1.3610270946762963</c:v>
                </c:pt>
                <c:pt idx="21">
                  <c:v>1.3652076134121678</c:v>
                </c:pt>
                <c:pt idx="22">
                  <c:v>1.3652076134121678</c:v>
                </c:pt>
              </c:numCache>
            </c:numRef>
          </c:yVal>
          <c:smooth val="1"/>
        </c:ser>
        <c:ser>
          <c:idx val="0"/>
          <c:order val="1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'Attributes n'!$A$29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'Attributes n'!$C$29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</c:ser>
        <c:axId val="57872384"/>
        <c:axId val="57874688"/>
      </c:scatterChart>
      <c:valAx>
        <c:axId val="578723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Sequential Pieces With NO Defects</a:t>
                </a:r>
              </a:p>
            </c:rich>
          </c:tx>
          <c:layout>
            <c:manualLayout>
              <c:xMode val="edge"/>
              <c:yMode val="edge"/>
              <c:x val="0.20844354031417595"/>
              <c:y val="0.859922178988326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874688"/>
        <c:crosses val="autoZero"/>
        <c:crossBetween val="midCat"/>
        <c:majorUnit val="2120951.0195999998"/>
      </c:valAx>
      <c:valAx>
        <c:axId val="57874688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Ppk</a:t>
                </a:r>
              </a:p>
            </c:rich>
          </c:tx>
          <c:layout>
            <c:manualLayout>
              <c:xMode val="edge"/>
              <c:yMode val="edge"/>
              <c:x val="4.2216413228187533E-2"/>
              <c:y val="0.4513618677042825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8723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0370942812983043E-2"/>
          <c:y val="6.8119981639536628E-2"/>
          <c:w val="0.72642967542504155"/>
          <c:h val="0.64305262667722174"/>
        </c:manualLayout>
      </c:layout>
      <c:lineChart>
        <c:grouping val="standard"/>
        <c:ser>
          <c:idx val="1"/>
          <c:order val="0"/>
          <c:tx>
            <c:v>Low Unit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Parts'!$B$23:$B$36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2"/>
          <c:order val="1"/>
          <c:tx>
            <c:v>High Unit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Parts'!$C$23:$C$36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3"/>
          <c:order val="2"/>
          <c:tx>
            <c:strRef>
              <c:f>'Multiple Parts'!$D$22</c:f>
              <c:strCache>
                <c:ptCount val="1"/>
                <c:pt idx="0">
                  <c:v>Low3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Parts'!$D$23:$D$36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4"/>
          <c:order val="3"/>
          <c:tx>
            <c:strRef>
              <c:f>'Multiple Parts'!$E$22</c:f>
              <c:strCache>
                <c:ptCount val="1"/>
                <c:pt idx="0">
                  <c:v>Low4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Parts'!$E$23:$E$36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5"/>
          <c:order val="4"/>
          <c:tx>
            <c:strRef>
              <c:f>'Multiple Parts'!$F$22</c:f>
              <c:strCache>
                <c:ptCount val="1"/>
                <c:pt idx="0">
                  <c:v>Low5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Parts'!$F$23:$F$36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6"/>
          <c:order val="5"/>
          <c:tx>
            <c:strRef>
              <c:f>'Multiple Parts'!$G$22</c:f>
              <c:strCache>
                <c:ptCount val="1"/>
                <c:pt idx="0">
                  <c:v>Low6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Parts'!$G$23:$G$36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7"/>
          <c:order val="6"/>
          <c:tx>
            <c:v>High Unit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Parts'!$H$23:$H$36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8"/>
          <c:order val="7"/>
          <c:tx>
            <c:strRef>
              <c:f>'Multiple Parts'!$I$22</c:f>
              <c:strCache>
                <c:ptCount val="1"/>
                <c:pt idx="0">
                  <c:v>High2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Parts'!$I$23:$I$36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9"/>
          <c:order val="8"/>
          <c:tx>
            <c:strRef>
              <c:f>'Multiple Parts'!$J$22</c:f>
              <c:strCache>
                <c:ptCount val="1"/>
                <c:pt idx="0">
                  <c:v>High3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Parts'!$J$23:$J$36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10"/>
          <c:order val="9"/>
          <c:tx>
            <c:strRef>
              <c:f>'Multiple Parts'!$K$22</c:f>
              <c:strCache>
                <c:ptCount val="1"/>
                <c:pt idx="0">
                  <c:v>High4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Parts'!$K$23:$K$36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11"/>
          <c:order val="10"/>
          <c:tx>
            <c:strRef>
              <c:f>'Multiple Parts'!$L$22</c:f>
              <c:strCache>
                <c:ptCount val="1"/>
                <c:pt idx="0">
                  <c:v>High5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Parts'!$L$23:$L$36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12"/>
          <c:order val="11"/>
          <c:tx>
            <c:strRef>
              <c:f>'Multiple Parts'!$M$22</c:f>
              <c:strCache>
                <c:ptCount val="1"/>
                <c:pt idx="0">
                  <c:v>High6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Parts'!$M$23:$M$36</c:f>
              <c:numCache>
                <c:formatCode>General</c:formatCode>
                <c:ptCount val="14"/>
                <c:pt idx="1">
                  <c:v>0</c:v>
                </c:pt>
              </c:numCache>
            </c:numRef>
          </c:val>
        </c:ser>
        <c:ser>
          <c:idx val="13"/>
          <c:order val="12"/>
          <c:tx>
            <c:strRef>
              <c:f>'Multiple Parts'!$N$22</c:f>
              <c:strCache>
                <c:ptCount val="1"/>
                <c:pt idx="0">
                  <c:v>Median Lo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Parts'!$N$23:$N$36</c:f>
              <c:numCache>
                <c:formatCode>General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4"/>
          <c:order val="13"/>
          <c:tx>
            <c:strRef>
              <c:f>'Multiple Parts'!$O$22</c:f>
              <c:strCache>
                <c:ptCount val="1"/>
                <c:pt idx="0">
                  <c:v>Median Hi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Parts'!$O$23:$O$36</c:f>
              <c:numCache>
                <c:formatCode>General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5"/>
          <c:order val="14"/>
          <c:tx>
            <c:strRef>
              <c:f>'Multiple Parts'!$P$22</c:f>
              <c:strCache>
                <c:ptCount val="1"/>
                <c:pt idx="0">
                  <c:v>LCL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Parts'!$P$23:$P$36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6"/>
          <c:order val="15"/>
          <c:tx>
            <c:strRef>
              <c:f>'Multiple Parts'!$Q$22</c:f>
              <c:strCache>
                <c:ptCount val="1"/>
                <c:pt idx="0">
                  <c:v>UCL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Parts'!$Q$23:$Q$36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7"/>
          <c:order val="16"/>
          <c:tx>
            <c:strRef>
              <c:f>'Multiple Parts'!$R$22</c:f>
              <c:strCache>
                <c:ptCount val="1"/>
                <c:pt idx="0">
                  <c:v>LCL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Parts'!$R$23:$R$36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8"/>
          <c:order val="17"/>
          <c:tx>
            <c:strRef>
              <c:f>'Multiple Parts'!$S$22</c:f>
              <c:strCache>
                <c:ptCount val="1"/>
                <c:pt idx="0">
                  <c:v>UCL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'Multiple Parts'!$A$23:$A$36</c:f>
              <c:strCache>
                <c:ptCount val="13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Capping Run Name</c:v>
                </c:pt>
              </c:strCache>
            </c:strRef>
          </c:cat>
          <c:val>
            <c:numRef>
              <c:f>'Multiple Parts'!$S$23:$S$36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marker val="1"/>
        <c:axId val="59458304"/>
        <c:axId val="59459840"/>
      </c:lineChart>
      <c:catAx>
        <c:axId val="5945830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9459840"/>
        <c:crosses val="autoZero"/>
        <c:auto val="1"/>
        <c:lblAlgn val="ctr"/>
        <c:lblOffset val="100"/>
        <c:tickLblSkip val="1"/>
        <c:tickMarkSkip val="1"/>
      </c:catAx>
      <c:valAx>
        <c:axId val="59459840"/>
        <c:scaling>
          <c:orientation val="minMax"/>
        </c:scaling>
        <c:axPos val="l"/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945830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0.8238021638330757"/>
          <c:y val="0.17166235373163141"/>
          <c:w val="0.16383307573415765"/>
          <c:h val="0.4386926817586151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span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'2 Parts'!$A$1</c:f>
          <c:strCache>
            <c:ptCount val="1"/>
            <c:pt idx="0">
              <c:v>Assembly-Disassembly Analysis For </c:v>
            </c:pt>
          </c:strCache>
        </c:strRef>
      </c:tx>
      <c:layout>
        <c:manualLayout>
          <c:xMode val="edge"/>
          <c:yMode val="edge"/>
          <c:x val="0.31454573379415451"/>
          <c:y val="1.428571428571428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090926039529618"/>
          <c:y val="0.19428571428571417"/>
          <c:w val="0.75090975755483336"/>
          <c:h val="0.49714285714285977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 Parts'!$A$18:$A$32</c:f>
              <c:strCache>
                <c:ptCount val="14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Part Name</c:v>
                </c:pt>
                <c:pt idx="13">
                  <c:v>Capping Run Name</c:v>
                </c:pt>
              </c:strCache>
            </c:strRef>
          </c:cat>
          <c:val>
            <c:numRef>
              <c:f>'2 Parts'!$B$18:$B$32</c:f>
              <c:numCache>
                <c:formatCode>General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 Parts'!$A$18:$A$32</c:f>
              <c:strCache>
                <c:ptCount val="14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Part Name</c:v>
                </c:pt>
                <c:pt idx="13">
                  <c:v>Capping Run Name</c:v>
                </c:pt>
              </c:strCache>
            </c:strRef>
          </c:cat>
          <c:val>
            <c:numRef>
              <c:f>'2 Parts'!$C$18:$C$32</c:f>
              <c:numCache>
                <c:formatCode>General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strRef>
              <c:f>'2 Parts'!$A$18:$A$32</c:f>
              <c:strCache>
                <c:ptCount val="14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Part Name</c:v>
                </c:pt>
                <c:pt idx="13">
                  <c:v>Capping Run Name</c:v>
                </c:pt>
              </c:strCache>
            </c:strRef>
          </c:cat>
          <c:val>
            <c:numRef>
              <c:f>'2 Parts'!$D$18:$D$32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3"/>
          <c:order val="3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strRef>
              <c:f>'2 Parts'!$A$18:$A$32</c:f>
              <c:strCache>
                <c:ptCount val="14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Part Name</c:v>
                </c:pt>
                <c:pt idx="13">
                  <c:v>Capping Run Name</c:v>
                </c:pt>
              </c:strCache>
            </c:strRef>
          </c:cat>
          <c:val>
            <c:numRef>
              <c:f>'2 Parts'!$E$18:$E$32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4"/>
          <c:order val="4"/>
          <c:tx>
            <c:v>High Lower Control Limit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 Parts'!$A$18:$A$32</c:f>
              <c:strCache>
                <c:ptCount val="14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Part Name</c:v>
                </c:pt>
                <c:pt idx="13">
                  <c:v>Capping Run Name</c:v>
                </c:pt>
              </c:strCache>
            </c:strRef>
          </c:cat>
          <c:val>
            <c:numRef>
              <c:f>'2 Parts'!$F$18:$F$32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5"/>
          <c:order val="5"/>
          <c:tx>
            <c:v>High Upper Control Limit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 Parts'!$A$18:$A$32</c:f>
              <c:strCache>
                <c:ptCount val="14"/>
                <c:pt idx="1">
                  <c:v>Initial</c:v>
                </c:pt>
                <c:pt idx="2">
                  <c:v>1st Disassembly</c:v>
                </c:pt>
                <c:pt idx="3">
                  <c:v>2nd Disassembly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Part Name</c:v>
                </c:pt>
                <c:pt idx="12">
                  <c:v>Part Name</c:v>
                </c:pt>
                <c:pt idx="13">
                  <c:v>Capping Run Name</c:v>
                </c:pt>
              </c:strCache>
            </c:strRef>
          </c:cat>
          <c:val>
            <c:numRef>
              <c:f>'2 Parts'!$G$18:$G$32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marker val="1"/>
        <c:axId val="59795712"/>
        <c:axId val="59818368"/>
      </c:lineChart>
      <c:catAx>
        <c:axId val="597957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Part or SubAssembly Swapped</a:t>
                </a:r>
              </a:p>
            </c:rich>
          </c:tx>
          <c:layout>
            <c:manualLayout>
              <c:xMode val="edge"/>
              <c:yMode val="edge"/>
              <c:x val="0.43090947346366837"/>
              <c:y val="0.914285714285714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9818368"/>
        <c:crosses val="autoZero"/>
        <c:lblAlgn val="ctr"/>
        <c:lblOffset val="100"/>
        <c:tickLblSkip val="1"/>
        <c:tickMarkSkip val="1"/>
      </c:catAx>
      <c:valAx>
        <c:axId val="59818368"/>
        <c:scaling>
          <c:orientation val="minMax"/>
        </c:scaling>
        <c:axPos val="l"/>
        <c:majorGridlines>
          <c:spPr>
            <a:ln w="3175">
              <a:solidFill>
                <a:srgbClr val="FFFFFF"/>
              </a:solidFill>
              <a:prstDash val="sysDash"/>
            </a:ln>
          </c:spPr>
        </c:majorGridlines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97957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78" r="0.75000000000000278" t="1" header="0.5" footer="0.5"/>
    <c:pageSetup orientation="landscape" horizontalDpi="0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Assembly-Disassembly for Pass-Fail Data</a:t>
            </a:r>
          </a:p>
        </c:rich>
      </c:tx>
      <c:layout>
        <c:manualLayout>
          <c:xMode val="edge"/>
          <c:yMode val="edge"/>
          <c:x val="0.25087762280294634"/>
          <c:y val="3.27869727282189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5.7894836031449196E-2"/>
          <c:y val="0.1584703681863921"/>
          <c:w val="0.68421169855348973"/>
          <c:h val="0.5683075272891247"/>
        </c:manualLayout>
      </c:layout>
      <c:lineChart>
        <c:grouping val="standard"/>
        <c:ser>
          <c:idx val="0"/>
          <c:order val="0"/>
          <c:tx>
            <c:v>Passing Unit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'Pass-Fail, Count'!$A$44:$A$55</c:f>
              <c:strCache>
                <c:ptCount val="12"/>
                <c:pt idx="0">
                  <c:v>Initial</c:v>
                </c:pt>
                <c:pt idx="1">
                  <c:v>1st Disassembly</c:v>
                </c:pt>
                <c:pt idx="2">
                  <c:v>2nd Disassembly</c:v>
                </c:pt>
                <c:pt idx="3">
                  <c:v>Part Name</c:v>
                </c:pt>
                <c:pt idx="4">
                  <c:v>Part Name</c:v>
                </c:pt>
                <c:pt idx="5">
                  <c:v>Part Name</c:v>
                </c:pt>
                <c:pt idx="6">
                  <c:v>Part Name</c:v>
                </c:pt>
                <c:pt idx="7">
                  <c:v>Part Name</c:v>
                </c:pt>
                <c:pt idx="8">
                  <c:v>Part Name</c:v>
                </c:pt>
                <c:pt idx="9">
                  <c:v>Part Name</c:v>
                </c:pt>
                <c:pt idx="10">
                  <c:v>Part Name</c:v>
                </c:pt>
                <c:pt idx="11">
                  <c:v>Capping Run Name</c:v>
                </c:pt>
              </c:strCache>
            </c:strRef>
          </c:cat>
          <c:val>
            <c:numRef>
              <c:f>'Pass-Fail, Count'!$B$44:$B$55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'Pass-Fail, Count'!$C$43</c:f>
              <c:strCache>
                <c:ptCount val="1"/>
                <c:pt idx="0">
                  <c:v>Pass2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Count'!$C$44:$C$55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'Pass-Fail, Count'!$D$43</c:f>
              <c:strCache>
                <c:ptCount val="1"/>
                <c:pt idx="0">
                  <c:v>Pass3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Count'!$D$44:$D$55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Failing Unit</c:v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Count'!$E$44:$E$55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'Pass-Fail, Count'!$F$43</c:f>
              <c:strCache>
                <c:ptCount val="1"/>
                <c:pt idx="0">
                  <c:v>Pass5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Count'!$F$44:$F$55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'Pass-Fail, Count'!$G$43</c:f>
              <c:strCache>
                <c:ptCount val="1"/>
                <c:pt idx="0">
                  <c:v>Pass6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Count'!$G$44:$G$55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'Pass-Fail, Count'!$H$43</c:f>
              <c:strCache>
                <c:ptCount val="1"/>
                <c:pt idx="0">
                  <c:v>Pass7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Count'!$H$44:$H$55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7"/>
          <c:order val="7"/>
          <c:tx>
            <c:strRef>
              <c:f>'Pass-Fail, Count'!$I$43</c:f>
              <c:strCache>
                <c:ptCount val="1"/>
                <c:pt idx="0">
                  <c:v>Pass8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Count'!$I$44:$I$55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8"/>
          <c:order val="8"/>
          <c:tx>
            <c:strRef>
              <c:f>'Pass-Fail, Count'!$J$43</c:f>
              <c:strCache>
                <c:ptCount val="1"/>
                <c:pt idx="0">
                  <c:v>Pass9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Count'!$J$44:$J$55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9"/>
          <c:order val="9"/>
          <c:tx>
            <c:strRef>
              <c:f>'Pass-Fail, Count'!$K$43</c:f>
              <c:strCache>
                <c:ptCount val="1"/>
                <c:pt idx="0">
                  <c:v>Pass10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Count'!$K$44:$K$55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0"/>
          <c:order val="10"/>
          <c:tx>
            <c:v>Failing Unit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Count'!$L$44:$L$55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'Pass-Fail, Count'!$M$43</c:f>
              <c:strCache>
                <c:ptCount val="1"/>
                <c:pt idx="0">
                  <c:v>Fail2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Count'!$M$44:$M$55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'Pass-Fail, Count'!$N$43</c:f>
              <c:strCache>
                <c:ptCount val="1"/>
                <c:pt idx="0">
                  <c:v>Fail3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Count'!$N$44:$N$55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'Pass-Fail, Count'!$O$43</c:f>
              <c:strCache>
                <c:ptCount val="1"/>
                <c:pt idx="0">
                  <c:v>Fail4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Count'!$O$44:$O$55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'Pass-Fail, Count'!$P$43</c:f>
              <c:strCache>
                <c:ptCount val="1"/>
                <c:pt idx="0">
                  <c:v>Fail5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Count'!$P$44:$P$55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'Pass-Fail, Count'!$Q$43</c:f>
              <c:strCache>
                <c:ptCount val="1"/>
                <c:pt idx="0">
                  <c:v>Fail6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Count'!$Q$44:$Q$55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'Pass-Fail, Count'!$R$43</c:f>
              <c:strCache>
                <c:ptCount val="1"/>
                <c:pt idx="0">
                  <c:v>Fail7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Count'!$R$44:$R$55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'Pass-Fail, Count'!$S$43</c:f>
              <c:strCache>
                <c:ptCount val="1"/>
                <c:pt idx="0">
                  <c:v>Fail8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Count'!$S$44:$S$55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'Pass-Fail, Count'!$T$43</c:f>
              <c:strCache>
                <c:ptCount val="1"/>
                <c:pt idx="0">
                  <c:v>Fail9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Count'!$T$44:$T$55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'Pass-Fail, Count'!$U$43</c:f>
              <c:strCache>
                <c:ptCount val="1"/>
                <c:pt idx="0">
                  <c:v>Fail10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'Pass-Fail, Count'!$U$44:$U$55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832384"/>
        <c:axId val="60855040"/>
      </c:lineChart>
      <c:catAx>
        <c:axId val="6083238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0855040"/>
        <c:crosses val="autoZero"/>
        <c:auto val="1"/>
        <c:lblAlgn val="ctr"/>
        <c:lblOffset val="100"/>
        <c:tickLblSkip val="1"/>
        <c:tickMarkSkip val="1"/>
      </c:catAx>
      <c:valAx>
        <c:axId val="60855040"/>
        <c:scaling>
          <c:orientation val="minMax"/>
        </c:scaling>
        <c:axPos val="l"/>
        <c:numFmt formatCode="General" sourceLinked="1"/>
        <c:maj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608323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.76140481326208886"/>
          <c:y val="0.37705018637451776"/>
          <c:w val="0.22456178824319531"/>
          <c:h val="0.1338801386402264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Main Effects And Interactions Plots</a:t>
            </a:r>
          </a:p>
        </c:rich>
      </c:tx>
      <c:layout>
        <c:manualLayout>
          <c:xMode val="edge"/>
          <c:yMode val="edge"/>
          <c:x val="0.3156902724870338"/>
          <c:y val="4.219426668919227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8846962915513278E-2"/>
          <c:y val="0.14767993341217359"/>
          <c:w val="0.85066241089320471"/>
          <c:h val="0.60337801365545318"/>
        </c:manualLayout>
      </c:layout>
      <c:lineChart>
        <c:grouping val="standard"/>
        <c:ser>
          <c:idx val="0"/>
          <c:order val="0"/>
          <c:tx>
            <c:strRef>
              <c:f>'2^3 DOE'!$B$53</c:f>
              <c:strCache>
                <c:ptCount val="1"/>
                <c:pt idx="0">
                  <c:v>1 Factor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DOE'!$A$54:$A$82</c:f>
              <c:strCache>
                <c:ptCount val="29"/>
                <c:pt idx="0">
                  <c:v>A -</c:v>
                </c:pt>
                <c:pt idx="1">
                  <c:v>A+</c:v>
                </c:pt>
                <c:pt idx="3">
                  <c:v>B-</c:v>
                </c:pt>
                <c:pt idx="4">
                  <c:v>B+</c:v>
                </c:pt>
                <c:pt idx="6">
                  <c:v>AB-</c:v>
                </c:pt>
                <c:pt idx="7">
                  <c:v>AB+</c:v>
                </c:pt>
                <c:pt idx="9">
                  <c:v>A -</c:v>
                </c:pt>
                <c:pt idx="10">
                  <c:v>A +</c:v>
                </c:pt>
                <c:pt idx="12">
                  <c:v>C -</c:v>
                </c:pt>
                <c:pt idx="13">
                  <c:v>C +</c:v>
                </c:pt>
                <c:pt idx="15">
                  <c:v>AC -</c:v>
                </c:pt>
                <c:pt idx="16">
                  <c:v>AC +</c:v>
                </c:pt>
                <c:pt idx="18">
                  <c:v>A-</c:v>
                </c:pt>
                <c:pt idx="19">
                  <c:v>A+</c:v>
                </c:pt>
                <c:pt idx="21">
                  <c:v>BC -</c:v>
                </c:pt>
                <c:pt idx="22">
                  <c:v>BC +</c:v>
                </c:pt>
                <c:pt idx="24">
                  <c:v>B-</c:v>
                </c:pt>
                <c:pt idx="25">
                  <c:v>B+</c:v>
                </c:pt>
                <c:pt idx="27">
                  <c:v>ABC-</c:v>
                </c:pt>
                <c:pt idx="28">
                  <c:v>ABC+</c:v>
                </c:pt>
              </c:strCache>
            </c:strRef>
          </c:cat>
          <c:val>
            <c:numRef>
              <c:f>'2^3 DOE'!$B$54:$B$82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21">
                  <c:v>0</c:v>
                </c:pt>
                <c:pt idx="22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'2^3 DOE'!$C$53</c:f>
              <c:strCache>
                <c:ptCount val="1"/>
                <c:pt idx="0">
                  <c:v>- Low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DOE'!$A$54:$A$82</c:f>
              <c:strCache>
                <c:ptCount val="29"/>
                <c:pt idx="0">
                  <c:v>A -</c:v>
                </c:pt>
                <c:pt idx="1">
                  <c:v>A+</c:v>
                </c:pt>
                <c:pt idx="3">
                  <c:v>B-</c:v>
                </c:pt>
                <c:pt idx="4">
                  <c:v>B+</c:v>
                </c:pt>
                <c:pt idx="6">
                  <c:v>AB-</c:v>
                </c:pt>
                <c:pt idx="7">
                  <c:v>AB+</c:v>
                </c:pt>
                <c:pt idx="9">
                  <c:v>A -</c:v>
                </c:pt>
                <c:pt idx="10">
                  <c:v>A +</c:v>
                </c:pt>
                <c:pt idx="12">
                  <c:v>C -</c:v>
                </c:pt>
                <c:pt idx="13">
                  <c:v>C +</c:v>
                </c:pt>
                <c:pt idx="15">
                  <c:v>AC -</c:v>
                </c:pt>
                <c:pt idx="16">
                  <c:v>AC +</c:v>
                </c:pt>
                <c:pt idx="18">
                  <c:v>A-</c:v>
                </c:pt>
                <c:pt idx="19">
                  <c:v>A+</c:v>
                </c:pt>
                <c:pt idx="21">
                  <c:v>BC -</c:v>
                </c:pt>
                <c:pt idx="22">
                  <c:v>BC +</c:v>
                </c:pt>
                <c:pt idx="24">
                  <c:v>B-</c:v>
                </c:pt>
                <c:pt idx="25">
                  <c:v>B+</c:v>
                </c:pt>
                <c:pt idx="27">
                  <c:v>ABC-</c:v>
                </c:pt>
                <c:pt idx="28">
                  <c:v>ABC+</c:v>
                </c:pt>
              </c:strCache>
            </c:strRef>
          </c:cat>
          <c:val>
            <c:numRef>
              <c:f>'2^3 DOE'!$C$54:$C$82</c:f>
              <c:numCache>
                <c:formatCode>General</c:formatCode>
                <c:ptCount val="29"/>
                <c:pt idx="9">
                  <c:v>0</c:v>
                </c:pt>
                <c:pt idx="10">
                  <c:v>0</c:v>
                </c:pt>
                <c:pt idx="18">
                  <c:v>0</c:v>
                </c:pt>
                <c:pt idx="19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'2^3 DOE'!$D$53</c:f>
              <c:strCache>
                <c:ptCount val="1"/>
                <c:pt idx="0">
                  <c:v>+ High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DOE'!$A$54:$A$82</c:f>
              <c:strCache>
                <c:ptCount val="29"/>
                <c:pt idx="0">
                  <c:v>A -</c:v>
                </c:pt>
                <c:pt idx="1">
                  <c:v>A+</c:v>
                </c:pt>
                <c:pt idx="3">
                  <c:v>B-</c:v>
                </c:pt>
                <c:pt idx="4">
                  <c:v>B+</c:v>
                </c:pt>
                <c:pt idx="6">
                  <c:v>AB-</c:v>
                </c:pt>
                <c:pt idx="7">
                  <c:v>AB+</c:v>
                </c:pt>
                <c:pt idx="9">
                  <c:v>A -</c:v>
                </c:pt>
                <c:pt idx="10">
                  <c:v>A +</c:v>
                </c:pt>
                <c:pt idx="12">
                  <c:v>C -</c:v>
                </c:pt>
                <c:pt idx="13">
                  <c:v>C +</c:v>
                </c:pt>
                <c:pt idx="15">
                  <c:v>AC -</c:v>
                </c:pt>
                <c:pt idx="16">
                  <c:v>AC +</c:v>
                </c:pt>
                <c:pt idx="18">
                  <c:v>A-</c:v>
                </c:pt>
                <c:pt idx="19">
                  <c:v>A+</c:v>
                </c:pt>
                <c:pt idx="21">
                  <c:v>BC -</c:v>
                </c:pt>
                <c:pt idx="22">
                  <c:v>BC +</c:v>
                </c:pt>
                <c:pt idx="24">
                  <c:v>B-</c:v>
                </c:pt>
                <c:pt idx="25">
                  <c:v>B+</c:v>
                </c:pt>
                <c:pt idx="27">
                  <c:v>ABC-</c:v>
                </c:pt>
                <c:pt idx="28">
                  <c:v>ABC+</c:v>
                </c:pt>
              </c:strCache>
            </c:strRef>
          </c:cat>
          <c:val>
            <c:numRef>
              <c:f>'2^3 DOE'!$D$54:$D$82</c:f>
              <c:numCache>
                <c:formatCode>General</c:formatCode>
                <c:ptCount val="29"/>
                <c:pt idx="9">
                  <c:v>0</c:v>
                </c:pt>
                <c:pt idx="10">
                  <c:v>0</c:v>
                </c:pt>
                <c:pt idx="18">
                  <c:v>0</c:v>
                </c:pt>
                <c:pt idx="19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</c:ser>
        <c:marker val="1"/>
        <c:axId val="61439360"/>
        <c:axId val="61441920"/>
      </c:lineChart>
      <c:catAx>
        <c:axId val="614393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Factor / Level</a:t>
                </a:r>
              </a:p>
            </c:rich>
          </c:tx>
          <c:layout>
            <c:manualLayout>
              <c:xMode val="edge"/>
              <c:yMode val="edge"/>
              <c:x val="0.44612517549065983"/>
              <c:y val="0.8776407471352023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441920"/>
        <c:crosses val="autoZero"/>
        <c:lblAlgn val="ctr"/>
        <c:lblOffset val="100"/>
        <c:tickLblSkip val="1"/>
        <c:tickMarkSkip val="1"/>
      </c:catAx>
      <c:valAx>
        <c:axId val="614419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1.70132482178641E-2"/>
              <c:y val="0.3375541335135380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43936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3138054497406748"/>
          <c:y val="0.88186017380411807"/>
          <c:w val="0.34782640800966896"/>
          <c:h val="7.173025337162683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4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78" r="0.75000000000000278" t="1" header="0.5" footer="0.5"/>
    <c:pageSetup orientation="landscape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 -</a:t>
            </a:r>
          </a:p>
        </c:rich>
      </c:tx>
      <c:layout>
        <c:manualLayout>
          <c:xMode val="edge"/>
          <c:yMode val="edge"/>
          <c:x val="0.46122448979591985"/>
          <c:y val="4.761932442408642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285714285714393"/>
          <c:y val="0.18452488214333554"/>
          <c:w val="0.61632653061224452"/>
          <c:h val="0.59524155530107969"/>
        </c:manualLayout>
      </c:layout>
      <c:lineChart>
        <c:grouping val="standard"/>
        <c:ser>
          <c:idx val="0"/>
          <c:order val="0"/>
          <c:tx>
            <c:strRef>
              <c:f>'2^3 DOE'!$E$82</c:f>
              <c:strCache>
                <c:ptCount val="1"/>
                <c:pt idx="0">
                  <c:v>B 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DOE'!$D$83:$D$84</c:f>
              <c:strCache>
                <c:ptCount val="2"/>
                <c:pt idx="0">
                  <c:v>A -</c:v>
                </c:pt>
                <c:pt idx="1">
                  <c:v>A +</c:v>
                </c:pt>
              </c:strCache>
            </c:strRef>
          </c:cat>
          <c:val>
            <c:numRef>
              <c:f>'2^3 DOE'!$E$83:$E$84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'2^3 DOE'!$F$82</c:f>
              <c:strCache>
                <c:ptCount val="1"/>
                <c:pt idx="0">
                  <c:v>B 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DOE'!$D$83:$D$84</c:f>
              <c:strCache>
                <c:ptCount val="2"/>
                <c:pt idx="0">
                  <c:v>A -</c:v>
                </c:pt>
                <c:pt idx="1">
                  <c:v>A +</c:v>
                </c:pt>
              </c:strCache>
            </c:strRef>
          </c:cat>
          <c:val>
            <c:numRef>
              <c:f>'2^3 DOE'!$F$83:$F$84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1547648"/>
        <c:axId val="61549568"/>
      </c:lineChart>
      <c:catAx>
        <c:axId val="61547648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549568"/>
        <c:crosses val="autoZero"/>
        <c:lblAlgn val="ctr"/>
        <c:lblOffset val="100"/>
        <c:tickLblSkip val="1"/>
        <c:tickMarkSkip val="1"/>
      </c:catAx>
      <c:valAx>
        <c:axId val="61549568"/>
        <c:scaling>
          <c:orientation val="minMax"/>
        </c:scaling>
        <c:axPos val="l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5476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959183673469989"/>
          <c:y val="0.35714493318065005"/>
          <c:w val="0.19183673469387755"/>
          <c:h val="0.1607152199312922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78" r="0.75000000000000278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 +</a:t>
            </a:r>
          </a:p>
        </c:rich>
      </c:tx>
      <c:layout>
        <c:manualLayout>
          <c:xMode val="edge"/>
          <c:yMode val="edge"/>
          <c:x val="0.45816733067729076"/>
          <c:y val="4.705882352941181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342629482071786"/>
          <c:y val="0.15294117647058841"/>
          <c:w val="0.60956175298804782"/>
          <c:h val="0.62352941176470855"/>
        </c:manualLayout>
      </c:layout>
      <c:lineChart>
        <c:grouping val="standard"/>
        <c:ser>
          <c:idx val="0"/>
          <c:order val="0"/>
          <c:tx>
            <c:strRef>
              <c:f>'2^3 DOE'!$I$82</c:f>
              <c:strCache>
                <c:ptCount val="1"/>
                <c:pt idx="0">
                  <c:v>B 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DOE'!$H$83:$H$84</c:f>
              <c:strCache>
                <c:ptCount val="2"/>
                <c:pt idx="0">
                  <c:v>A -</c:v>
                </c:pt>
                <c:pt idx="1">
                  <c:v>A +</c:v>
                </c:pt>
              </c:strCache>
            </c:strRef>
          </c:cat>
          <c:val>
            <c:numRef>
              <c:f>'2^3 DOE'!$I$83:$I$84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'2^3 DOE'!$J$82</c:f>
              <c:strCache>
                <c:ptCount val="1"/>
                <c:pt idx="0">
                  <c:v>B 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DOE'!$H$83:$H$84</c:f>
              <c:strCache>
                <c:ptCount val="2"/>
                <c:pt idx="0">
                  <c:v>A -</c:v>
                </c:pt>
                <c:pt idx="1">
                  <c:v>A +</c:v>
                </c:pt>
              </c:strCache>
            </c:strRef>
          </c:cat>
          <c:val>
            <c:numRef>
              <c:f>'2^3 DOE'!$J$83:$J$84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1570048"/>
        <c:axId val="61592704"/>
      </c:lineChart>
      <c:catAx>
        <c:axId val="61570048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592704"/>
        <c:crosses val="autoZero"/>
        <c:lblAlgn val="ctr"/>
        <c:lblOffset val="100"/>
        <c:tickLblSkip val="1"/>
        <c:tickMarkSkip val="1"/>
      </c:catAx>
      <c:valAx>
        <c:axId val="61592704"/>
        <c:scaling>
          <c:orientation val="minMax"/>
        </c:scaling>
        <c:axPos val="l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5700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681274900398358"/>
          <c:y val="0.48235294117647293"/>
          <c:w val="0.18725099601593703"/>
          <c:h val="0.158823529411764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78" r="0.750000000000002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Run Order Trend Chart</a:t>
            </a:r>
          </a:p>
        </c:rich>
      </c:tx>
      <c:layout>
        <c:manualLayout>
          <c:xMode val="edge"/>
          <c:yMode val="edge"/>
          <c:x val="0.39619121315329831"/>
          <c:y val="3.921583645770709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809545776684872"/>
          <c:y val="0.2196086841631594"/>
          <c:w val="0.85523968608572565"/>
          <c:h val="0.53333537582481549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'2^3 DOE'!$Y$57:$Y$72</c:f>
              <c:strCache>
                <c:ptCount val="16"/>
                <c:pt idx="0">
                  <c:v>(1)</c:v>
                </c:pt>
                <c:pt idx="1">
                  <c:v>a</c:v>
                </c:pt>
                <c:pt idx="2">
                  <c:v>b</c:v>
                </c:pt>
                <c:pt idx="3">
                  <c:v>ab</c:v>
                </c:pt>
                <c:pt idx="4">
                  <c:v>c</c:v>
                </c:pt>
                <c:pt idx="5">
                  <c:v>ac</c:v>
                </c:pt>
                <c:pt idx="6">
                  <c:v>bc</c:v>
                </c:pt>
                <c:pt idx="7">
                  <c:v>abc</c:v>
                </c:pt>
                <c:pt idx="8">
                  <c:v>(1)</c:v>
                </c:pt>
                <c:pt idx="9">
                  <c:v>a</c:v>
                </c:pt>
                <c:pt idx="10">
                  <c:v>b</c:v>
                </c:pt>
                <c:pt idx="11">
                  <c:v>ab</c:v>
                </c:pt>
                <c:pt idx="12">
                  <c:v>c</c:v>
                </c:pt>
                <c:pt idx="13">
                  <c:v>ac</c:v>
                </c:pt>
                <c:pt idx="14">
                  <c:v>bc</c:v>
                </c:pt>
                <c:pt idx="15">
                  <c:v>abc</c:v>
                </c:pt>
              </c:strCache>
            </c:strRef>
          </c:cat>
          <c:val>
            <c:numRef>
              <c:f>'2^3 DOE'!$Z$57:$Z$72</c:f>
              <c:numCache>
                <c:formatCode>General</c:formatCode>
                <c:ptCount val="16"/>
              </c:numCache>
            </c:numRef>
          </c:val>
        </c:ser>
        <c:marker val="1"/>
        <c:axId val="61890944"/>
        <c:axId val="61893248"/>
      </c:lineChart>
      <c:catAx>
        <c:axId val="61890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Trials</a:t>
                </a:r>
              </a:p>
            </c:rich>
          </c:tx>
          <c:layout>
            <c:manualLayout>
              <c:xMode val="edge"/>
              <c:yMode val="edge"/>
              <c:x val="0.5161914363680048"/>
              <c:y val="0.858826818423790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893248"/>
        <c:crosses val="autoZero"/>
        <c:auto val="1"/>
        <c:lblAlgn val="ctr"/>
        <c:lblOffset val="100"/>
        <c:tickLblSkip val="1"/>
        <c:tickMarkSkip val="1"/>
      </c:catAx>
      <c:valAx>
        <c:axId val="6189324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 Y Response</a:t>
                </a:r>
              </a:p>
            </c:rich>
          </c:tx>
          <c:layout>
            <c:manualLayout>
              <c:xMode val="edge"/>
              <c:yMode val="edge"/>
              <c:x val="3.0476247165638452E-2"/>
              <c:y val="0.3294130262447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890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Factor A Contrast Plot</a:t>
            </a:r>
          </a:p>
        </c:rich>
      </c:tx>
      <c:layout>
        <c:manualLayout>
          <c:xMode val="edge"/>
          <c:yMode val="edge"/>
          <c:x val="0.28409195997558584"/>
          <c:y val="4.326933234424849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075831838274741"/>
          <c:y val="0.2500005868778819"/>
          <c:w val="0.74621488153587512"/>
          <c:h val="0.5528859132876196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DOE'!$B$89:$C$89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DOE'!$B$90:$C$90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DOE'!$B$91:$C$91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DOE'!$B$92:$C$92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DOE'!$B$93:$C$93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DOE'!$B$94:$C$94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DOE'!$B$95:$C$95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DOE'!$B$96:$C$96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DOE'!$B$88:$C$88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DOE'!$B$97:$C$97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1977344"/>
        <c:axId val="61978880"/>
      </c:lineChart>
      <c:catAx>
        <c:axId val="6197734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978880"/>
        <c:crosses val="autoZero"/>
        <c:auto val="1"/>
        <c:lblAlgn val="ctr"/>
        <c:lblOffset val="100"/>
        <c:tickLblSkip val="1"/>
        <c:tickMarkSkip val="1"/>
      </c:catAx>
      <c:valAx>
        <c:axId val="619788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0606284794791833E-2"/>
              <c:y val="0.413462509067266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19773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Factor B Contrast Plot</a:t>
            </a:r>
          </a:p>
        </c:rich>
      </c:tx>
      <c:layout>
        <c:manualLayout>
          <c:xMode val="edge"/>
          <c:yMode val="edge"/>
          <c:x val="0.28731395630603634"/>
          <c:y val="4.347846598763015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9776155434051837"/>
          <c:y val="0.25120891459519629"/>
          <c:w val="0.75000136646121163"/>
          <c:h val="0.55072723584331562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DOE'!$E$89:$F$89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DOE'!$E$90:$F$90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DOE'!$E$91:$F$91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DOE'!$E$92:$F$92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DOE'!$E$93:$F$93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DOE'!$E$94:$F$94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DOE'!$E$95:$F$95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DOE'!$E$96:$F$96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DOE'!$E$88:$F$88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DOE'!$E$97:$F$97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2042496"/>
        <c:axId val="62044032"/>
      </c:lineChart>
      <c:catAx>
        <c:axId val="620424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044032"/>
        <c:crosses val="autoZero"/>
        <c:auto val="1"/>
        <c:lblAlgn val="ctr"/>
        <c:lblOffset val="100"/>
        <c:tickLblSkip val="1"/>
        <c:tickMarkSkip val="1"/>
      </c:catAx>
      <c:valAx>
        <c:axId val="620440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5.9701601310345749E-2"/>
              <c:y val="0.415460897215134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04249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Factor C Contrast Plot</a:t>
            </a:r>
          </a:p>
        </c:rich>
      </c:tx>
      <c:layout>
        <c:manualLayout>
          <c:xMode val="edge"/>
          <c:yMode val="edge"/>
          <c:x val="0.26820023721951786"/>
          <c:y val="4.347846598763015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306589389477794"/>
          <c:y val="0.25603985526048867"/>
          <c:w val="0.7432978002940972"/>
          <c:h val="0.54589629517802363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DOE'!$H$89:$I$89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DOE'!$H$90:$I$90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DOE'!$H$91:$I$91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DOE'!$H$92:$I$92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DOE'!$H$93:$I$93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DOE'!$H$94:$I$94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DOE'!$H$95:$I$95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DOE'!$H$96:$I$96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DOE'!$H$88:$I$88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'2^3 DOE'!$H$97:$I$97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2107648"/>
        <c:axId val="62109184"/>
      </c:lineChart>
      <c:catAx>
        <c:axId val="6210764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109184"/>
        <c:crosses val="autoZero"/>
        <c:auto val="1"/>
        <c:lblAlgn val="ctr"/>
        <c:lblOffset val="100"/>
        <c:tickLblSkip val="1"/>
        <c:tickMarkSkip val="1"/>
      </c:catAx>
      <c:valAx>
        <c:axId val="621091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1302911364461518E-2"/>
              <c:y val="0.415460897215134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1076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AB Interaction Plot</a:t>
            </a:r>
          </a:p>
        </c:rich>
      </c:tx>
      <c:layout>
        <c:manualLayout>
          <c:xMode val="edge"/>
          <c:yMode val="edge"/>
          <c:x val="0.34513373759488386"/>
          <c:y val="4.225371485161259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814207728981517"/>
          <c:y val="0.24882743190393891"/>
          <c:w val="0.59882178403214859"/>
          <c:h val="0.55868800748242864"/>
        </c:manualLayout>
      </c:layout>
      <c:lineChart>
        <c:grouping val="standard"/>
        <c:ser>
          <c:idx val="0"/>
          <c:order val="0"/>
          <c:tx>
            <c:strRef>
              <c:f>'2^3 DOE'!$B$101</c:f>
              <c:strCache>
                <c:ptCount val="1"/>
                <c:pt idx="0">
                  <c:v>B-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DOE'!$C$101:$D$101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DOE'!$C$102:$D$102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DOE'!$C$103:$D$103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DOE'!$C$104:$D$104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'2^3 DOE'!$B$105</c:f>
              <c:strCache>
                <c:ptCount val="1"/>
                <c:pt idx="0">
                  <c:v>B+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DOE'!$C$105:$D$105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DOE'!$C$106:$D$106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DOE'!$C$107:$D$107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DOE'!$C$108:$D$108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DOE'!$C$109:$D$109</c:f>
              <c:numCache>
                <c:formatCode>General</c:formatCode>
                <c:ptCount val="2"/>
              </c:numCache>
            </c:numRef>
          </c:val>
        </c:ser>
        <c:ser>
          <c:idx val="9"/>
          <c:order val="9"/>
          <c:tx>
            <c:strRef>
              <c:f>'2^3 DOE'!$B$110</c:f>
              <c:strCache>
                <c:ptCount val="1"/>
                <c:pt idx="0">
                  <c:v>B-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DOE'!$C$110:$D$110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'2^3 DOE'!$B$111</c:f>
              <c:strCache>
                <c:ptCount val="1"/>
                <c:pt idx="0">
                  <c:v>B+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DOE'!$C$111:$D$111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2187008"/>
        <c:axId val="62188544"/>
      </c:lineChart>
      <c:catAx>
        <c:axId val="6218700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188544"/>
        <c:crosses val="autoZero"/>
        <c:auto val="1"/>
        <c:lblAlgn val="ctr"/>
        <c:lblOffset val="100"/>
        <c:tickLblSkip val="1"/>
        <c:tickMarkSkip val="1"/>
      </c:catAx>
      <c:valAx>
        <c:axId val="621885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7197776081351804E-2"/>
              <c:y val="0.417842291310389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18700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79941233237789333"/>
          <c:y val="0.39436800528171723"/>
          <c:w val="0.17699166030506874"/>
          <c:h val="0.2676068607268791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9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AC Interaction Plot</a:t>
            </a:r>
          </a:p>
        </c:rich>
      </c:tx>
      <c:layout>
        <c:manualLayout>
          <c:xMode val="edge"/>
          <c:yMode val="edge"/>
          <c:x val="0.34503022498122526"/>
          <c:y val="4.128440366972476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666714257567691"/>
          <c:y val="0.24311926605504591"/>
          <c:w val="0.60234090123841311"/>
          <c:h val="0.56880733944954165"/>
        </c:manualLayout>
      </c:layout>
      <c:lineChart>
        <c:grouping val="standard"/>
        <c:ser>
          <c:idx val="0"/>
          <c:order val="0"/>
          <c:tx>
            <c:strRef>
              <c:f>'2^3 DOE'!$F$101</c:f>
              <c:strCache>
                <c:ptCount val="1"/>
                <c:pt idx="0">
                  <c:v>C-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DOE'!$G$101:$H$101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DOE'!$G$102:$H$102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DOE'!$G$103:$H$103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DOE'!$G$104:$H$104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'2^3 DOE'!$F$105</c:f>
              <c:strCache>
                <c:ptCount val="1"/>
                <c:pt idx="0">
                  <c:v>C+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DOE'!$G$105:$H$105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DOE'!$G$106:$H$106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DOE'!$G$107:$H$107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DOE'!$G$108:$H$108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DOE'!$C$109:$D$109</c:f>
              <c:numCache>
                <c:formatCode>General</c:formatCode>
                <c:ptCount val="2"/>
              </c:numCache>
            </c:numRef>
          </c:val>
        </c:ser>
        <c:ser>
          <c:idx val="9"/>
          <c:order val="9"/>
          <c:tx>
            <c:strRef>
              <c:f>'2^3 DOE'!$F$110</c:f>
              <c:strCache>
                <c:ptCount val="1"/>
                <c:pt idx="0">
                  <c:v>C-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DOE'!$G$110:$H$110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'2^3 DOE'!$F$111</c:f>
              <c:strCache>
                <c:ptCount val="1"/>
                <c:pt idx="0">
                  <c:v>C+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DOE'!$G$100:$H$100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DOE'!$G$111:$H$111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2338944"/>
        <c:axId val="62340480"/>
      </c:lineChart>
      <c:catAx>
        <c:axId val="6233894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340480"/>
        <c:crosses val="autoZero"/>
        <c:auto val="1"/>
        <c:lblAlgn val="ctr"/>
        <c:lblOffset val="100"/>
        <c:tickLblSkip val="1"/>
        <c:tickMarkSkip val="1"/>
      </c:catAx>
      <c:valAx>
        <c:axId val="623404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6783759319488187E-2"/>
              <c:y val="0.4220183486238547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3389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011718783462356"/>
          <c:y val="0.39908256880734316"/>
          <c:w val="0.17543909744808148"/>
          <c:h val="0.2614678899082588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9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BC Interaction Plot</a:t>
            </a:r>
          </a:p>
        </c:rich>
      </c:tx>
      <c:layout>
        <c:manualLayout>
          <c:xMode val="edge"/>
          <c:yMode val="edge"/>
          <c:x val="0.34883720930232581"/>
          <c:y val="4.20561707254188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569767441860417"/>
          <c:y val="0.24766411649413334"/>
          <c:w val="0.60465116279069764"/>
          <c:h val="0.56074894300558809"/>
        </c:manualLayout>
      </c:layout>
      <c:lineChart>
        <c:grouping val="standard"/>
        <c:ser>
          <c:idx val="0"/>
          <c:order val="0"/>
          <c:tx>
            <c:strRef>
              <c:f>'2^3 DOE'!$J$101</c:f>
              <c:strCache>
                <c:ptCount val="1"/>
                <c:pt idx="0">
                  <c:v>C-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DOE'!$K$101:$L$101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DOE'!$K$102:$L$102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DOE'!$K$103:$L$103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DOE'!$K$104:$L$104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'2^3 DOE'!$J$105</c:f>
              <c:strCache>
                <c:ptCount val="1"/>
                <c:pt idx="0">
                  <c:v>C+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DOE'!$K$105:$L$105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DOE'!$K$106:$L$106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DOE'!$K$107:$L$107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DOE'!$K$108:$L$108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DOE'!$C$109:$D$109</c:f>
              <c:numCache>
                <c:formatCode>General</c:formatCode>
                <c:ptCount val="2"/>
              </c:numCache>
            </c:numRef>
          </c:val>
        </c:ser>
        <c:ser>
          <c:idx val="9"/>
          <c:order val="9"/>
          <c:tx>
            <c:strRef>
              <c:f>'2^3 DOE'!$J$110</c:f>
              <c:strCache>
                <c:ptCount val="1"/>
                <c:pt idx="0">
                  <c:v>C-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DOE'!$K$110:$L$110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'2^3 DOE'!$J$111</c:f>
              <c:strCache>
                <c:ptCount val="1"/>
                <c:pt idx="0">
                  <c:v>C+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DOE'!$K$100:$L$100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'2^3 DOE'!$K$111:$L$111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2658816"/>
        <c:axId val="62681088"/>
      </c:lineChart>
      <c:catAx>
        <c:axId val="626588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681088"/>
        <c:crosses val="autoZero"/>
        <c:auto val="1"/>
        <c:lblAlgn val="ctr"/>
        <c:lblOffset val="100"/>
        <c:tickLblSkip val="1"/>
        <c:tickMarkSkip val="1"/>
      </c:catAx>
      <c:valAx>
        <c:axId val="626810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6511627906977056E-2"/>
              <c:y val="0.4205617072541889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65881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0232558139534849"/>
          <c:y val="0.39719716796229054"/>
          <c:w val="0.17441860465116388"/>
          <c:h val="0.2663557479276544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9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AB Interaction Plot</a:t>
            </a:r>
          </a:p>
        </c:rich>
      </c:tx>
      <c:layout>
        <c:manualLayout>
          <c:xMode val="edge"/>
          <c:yMode val="edge"/>
          <c:x val="0.35588286403214919"/>
          <c:y val="4.245283018867928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764729958539279"/>
          <c:y val="0.24528301886792586"/>
          <c:w val="0.60000086167403421"/>
          <c:h val="0.56132075471698117"/>
        </c:manualLayout>
      </c:layout>
      <c:lineChart>
        <c:grouping val="standard"/>
        <c:ser>
          <c:idx val="0"/>
          <c:order val="0"/>
          <c:tx>
            <c:strRef>
              <c:f>'2^3 DOE'!$B$101</c:f>
              <c:strCache>
                <c:ptCount val="1"/>
                <c:pt idx="0">
                  <c:v>B-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DOE'!$C$101:$D$101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DOE'!$C$102:$D$102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DOE'!$C$103:$D$103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DOE'!$C$104:$D$104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'2^3 DOE'!$B$105</c:f>
              <c:strCache>
                <c:ptCount val="1"/>
                <c:pt idx="0">
                  <c:v>B+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DOE'!$C$105:$D$105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DOE'!$C$106:$D$106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DOE'!$C$107:$D$107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DOE'!$C$108:$D$108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DOE'!$C$109:$D$109</c:f>
              <c:numCache>
                <c:formatCode>General</c:formatCode>
                <c:ptCount val="2"/>
              </c:numCache>
            </c:numRef>
          </c:val>
        </c:ser>
        <c:ser>
          <c:idx val="9"/>
          <c:order val="9"/>
          <c:tx>
            <c:strRef>
              <c:f>'2^3 DOE'!$B$110</c:f>
              <c:strCache>
                <c:ptCount val="1"/>
                <c:pt idx="0">
                  <c:v>B-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DOE'!$C$110:$D$110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'2^3 DOE'!$B$111</c:f>
              <c:strCache>
                <c:ptCount val="1"/>
                <c:pt idx="0">
                  <c:v>B+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'2^3 DOE'!$C$100:$D$100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'2^3 DOE'!$C$111:$D$111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2782080"/>
        <c:axId val="62878080"/>
      </c:lineChart>
      <c:catAx>
        <c:axId val="6278208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878080"/>
        <c:crosses val="autoZero"/>
        <c:auto val="1"/>
        <c:lblAlgn val="ctr"/>
        <c:lblOffset val="100"/>
        <c:tickLblSkip val="1"/>
        <c:tickMarkSkip val="1"/>
      </c:catAx>
      <c:valAx>
        <c:axId val="628780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7058891111688823E-2"/>
              <c:y val="0.415094339622643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7820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0000114889870877"/>
          <c:y val="0.39150943396226712"/>
          <c:w val="0.17647084166883281"/>
          <c:h val="0.2688679245283018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9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Main Affects Plot</a:t>
            </a:r>
          </a:p>
        </c:rich>
      </c:tx>
      <c:layout>
        <c:manualLayout>
          <c:xMode val="edge"/>
          <c:yMode val="edge"/>
          <c:x val="0.4071977228295951"/>
          <c:y val="3.862660944206008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227291643162006"/>
          <c:y val="0.12017167381974249"/>
          <c:w val="0.83333487462801192"/>
          <c:h val="0.64806866952789965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DOE'!$A$61:$A$71</c:f>
              <c:strCache>
                <c:ptCount val="11"/>
                <c:pt idx="0">
                  <c:v>A -</c:v>
                </c:pt>
                <c:pt idx="1">
                  <c:v>A +</c:v>
                </c:pt>
                <c:pt idx="3">
                  <c:v>B -</c:v>
                </c:pt>
                <c:pt idx="4">
                  <c:v>B +</c:v>
                </c:pt>
                <c:pt idx="6">
                  <c:v>C -</c:v>
                </c:pt>
                <c:pt idx="7">
                  <c:v>C +</c:v>
                </c:pt>
                <c:pt idx="9">
                  <c:v>D -</c:v>
                </c:pt>
                <c:pt idx="10">
                  <c:v>D +</c:v>
                </c:pt>
              </c:strCache>
            </c:strRef>
          </c:cat>
          <c:val>
            <c:numRef>
              <c:f>'2^4 DOE'!$B$61:$B$71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marker val="1"/>
        <c:axId val="62704256"/>
        <c:axId val="63251968"/>
      </c:lineChart>
      <c:catAx>
        <c:axId val="62704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Factors / Levels</a:t>
                </a:r>
              </a:p>
            </c:rich>
          </c:tx>
          <c:layout>
            <c:manualLayout>
              <c:xMode val="edge"/>
              <c:yMode val="edge"/>
              <c:x val="0.44128869497346968"/>
              <c:y val="0.8841201716738197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251968"/>
        <c:crosses val="autoZero"/>
        <c:lblAlgn val="ctr"/>
        <c:lblOffset val="100"/>
        <c:tickLblSkip val="1"/>
        <c:tickMarkSkip val="1"/>
      </c:catAx>
      <c:valAx>
        <c:axId val="63251968"/>
        <c:scaling>
          <c:orientation val="minMax"/>
          <c:max val="100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 Y Response</a:t>
                </a:r>
              </a:p>
            </c:rich>
          </c:tx>
          <c:layout>
            <c:manualLayout>
              <c:xMode val="edge"/>
              <c:yMode val="edge"/>
              <c:x val="1.5151543175054698E-2"/>
              <c:y val="0.257510729613733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270425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2992700729927348E-2"/>
          <c:y val="0.12820577026126934"/>
          <c:w val="0.90145985401460005"/>
          <c:h val="0.62564415887499791"/>
        </c:manualLayout>
      </c:layout>
      <c:lineChart>
        <c:grouping val="standard"/>
        <c:ser>
          <c:idx val="0"/>
          <c:order val="0"/>
          <c:tx>
            <c:strRef>
              <c:f>'2^4 DOE'!$F$60</c:f>
              <c:strCache>
                <c:ptCount val="1"/>
                <c:pt idx="0">
                  <c:v>1 Factor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DOE'!$E$61:$E$77</c:f>
              <c:strCache>
                <c:ptCount val="17"/>
                <c:pt idx="0">
                  <c:v>AB -</c:v>
                </c:pt>
                <c:pt idx="1">
                  <c:v>AB +</c:v>
                </c:pt>
                <c:pt idx="3">
                  <c:v>A -</c:v>
                </c:pt>
                <c:pt idx="4">
                  <c:v>A +</c:v>
                </c:pt>
                <c:pt idx="6">
                  <c:v>AC -</c:v>
                </c:pt>
                <c:pt idx="7">
                  <c:v>AC +</c:v>
                </c:pt>
                <c:pt idx="9">
                  <c:v>A -</c:v>
                </c:pt>
                <c:pt idx="10">
                  <c:v>A +</c:v>
                </c:pt>
                <c:pt idx="12">
                  <c:v>BC -</c:v>
                </c:pt>
                <c:pt idx="13">
                  <c:v>BC +</c:v>
                </c:pt>
                <c:pt idx="15">
                  <c:v>B -</c:v>
                </c:pt>
                <c:pt idx="16">
                  <c:v>B +</c:v>
                </c:pt>
              </c:strCache>
            </c:strRef>
          </c:cat>
          <c:val>
            <c:numRef>
              <c:f>'2^4 DOE'!$F$61:$F$77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6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'2^4 DOE'!$G$60</c:f>
              <c:strCache>
                <c:ptCount val="1"/>
                <c:pt idx="0">
                  <c:v>- Low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DOE'!$E$61:$E$77</c:f>
              <c:strCache>
                <c:ptCount val="17"/>
                <c:pt idx="0">
                  <c:v>AB -</c:v>
                </c:pt>
                <c:pt idx="1">
                  <c:v>AB +</c:v>
                </c:pt>
                <c:pt idx="3">
                  <c:v>A -</c:v>
                </c:pt>
                <c:pt idx="4">
                  <c:v>A +</c:v>
                </c:pt>
                <c:pt idx="6">
                  <c:v>AC -</c:v>
                </c:pt>
                <c:pt idx="7">
                  <c:v>AC +</c:v>
                </c:pt>
                <c:pt idx="9">
                  <c:v>A -</c:v>
                </c:pt>
                <c:pt idx="10">
                  <c:v>A +</c:v>
                </c:pt>
                <c:pt idx="12">
                  <c:v>BC -</c:v>
                </c:pt>
                <c:pt idx="13">
                  <c:v>BC +</c:v>
                </c:pt>
                <c:pt idx="15">
                  <c:v>B -</c:v>
                </c:pt>
                <c:pt idx="16">
                  <c:v>B +</c:v>
                </c:pt>
              </c:strCache>
            </c:strRef>
          </c:cat>
          <c:val>
            <c:numRef>
              <c:f>'2^4 DOE'!$G$61:$G$77</c:f>
              <c:numCache>
                <c:formatCode>General</c:formatCode>
                <c:ptCount val="17"/>
                <c:pt idx="3">
                  <c:v>0</c:v>
                </c:pt>
                <c:pt idx="4">
                  <c:v>0</c:v>
                </c:pt>
                <c:pt idx="9">
                  <c:v>0</c:v>
                </c:pt>
                <c:pt idx="10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'2^4 DOE'!$H$60</c:f>
              <c:strCache>
                <c:ptCount val="1"/>
                <c:pt idx="0">
                  <c:v>+ High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DOE'!$E$61:$E$77</c:f>
              <c:strCache>
                <c:ptCount val="17"/>
                <c:pt idx="0">
                  <c:v>AB -</c:v>
                </c:pt>
                <c:pt idx="1">
                  <c:v>AB +</c:v>
                </c:pt>
                <c:pt idx="3">
                  <c:v>A -</c:v>
                </c:pt>
                <c:pt idx="4">
                  <c:v>A +</c:v>
                </c:pt>
                <c:pt idx="6">
                  <c:v>AC -</c:v>
                </c:pt>
                <c:pt idx="7">
                  <c:v>AC +</c:v>
                </c:pt>
                <c:pt idx="9">
                  <c:v>A -</c:v>
                </c:pt>
                <c:pt idx="10">
                  <c:v>A +</c:v>
                </c:pt>
                <c:pt idx="12">
                  <c:v>BC -</c:v>
                </c:pt>
                <c:pt idx="13">
                  <c:v>BC +</c:v>
                </c:pt>
                <c:pt idx="15">
                  <c:v>B -</c:v>
                </c:pt>
                <c:pt idx="16">
                  <c:v>B +</c:v>
                </c:pt>
              </c:strCache>
            </c:strRef>
          </c:cat>
          <c:val>
            <c:numRef>
              <c:f>'2^4 DOE'!$H$61:$H$77</c:f>
              <c:numCache>
                <c:formatCode>General</c:formatCode>
                <c:ptCount val="17"/>
                <c:pt idx="3">
                  <c:v>0</c:v>
                </c:pt>
                <c:pt idx="4">
                  <c:v>0</c:v>
                </c:pt>
                <c:pt idx="9">
                  <c:v>0</c:v>
                </c:pt>
                <c:pt idx="10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marker val="1"/>
        <c:axId val="63273216"/>
        <c:axId val="63287680"/>
      </c:lineChart>
      <c:catAx>
        <c:axId val="632732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287680"/>
        <c:crosses val="autoZero"/>
        <c:auto val="1"/>
        <c:lblAlgn val="ctr"/>
        <c:lblOffset val="100"/>
        <c:tickLblSkip val="1"/>
        <c:tickMarkSkip val="1"/>
      </c:catAx>
      <c:valAx>
        <c:axId val="63287680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27321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2859874594209992E-2"/>
          <c:y val="0.12755133816799527"/>
          <c:w val="0.90164094810334861"/>
          <c:h val="0.48979713856509577"/>
        </c:manualLayout>
      </c:layout>
      <c:lineChart>
        <c:grouping val="standard"/>
        <c:ser>
          <c:idx val="0"/>
          <c:order val="0"/>
          <c:tx>
            <c:strRef>
              <c:f>'2^4 DOE'!$F$80</c:f>
              <c:strCache>
                <c:ptCount val="1"/>
                <c:pt idx="0">
                  <c:v>1 Factor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DOE'!$E$81:$E$97</c:f>
              <c:strCache>
                <c:ptCount val="17"/>
                <c:pt idx="0">
                  <c:v>AD -</c:v>
                </c:pt>
                <c:pt idx="1">
                  <c:v>AD +</c:v>
                </c:pt>
                <c:pt idx="3">
                  <c:v>A -</c:v>
                </c:pt>
                <c:pt idx="4">
                  <c:v>A +</c:v>
                </c:pt>
                <c:pt idx="6">
                  <c:v>BD -</c:v>
                </c:pt>
                <c:pt idx="7">
                  <c:v>BD +</c:v>
                </c:pt>
                <c:pt idx="9">
                  <c:v>B -</c:v>
                </c:pt>
                <c:pt idx="10">
                  <c:v>B +</c:v>
                </c:pt>
                <c:pt idx="12">
                  <c:v>CD -</c:v>
                </c:pt>
                <c:pt idx="13">
                  <c:v>CD +</c:v>
                </c:pt>
                <c:pt idx="15">
                  <c:v>C -</c:v>
                </c:pt>
                <c:pt idx="16">
                  <c:v>C +</c:v>
                </c:pt>
              </c:strCache>
            </c:strRef>
          </c:cat>
          <c:val>
            <c:numRef>
              <c:f>'2^4 DOE'!$F$81:$F$97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6">
                  <c:v>0</c:v>
                </c:pt>
                <c:pt idx="7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'2^4 DOE'!$G$80</c:f>
              <c:strCache>
                <c:ptCount val="1"/>
                <c:pt idx="0">
                  <c:v>- Low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DOE'!$E$81:$E$97</c:f>
              <c:strCache>
                <c:ptCount val="17"/>
                <c:pt idx="0">
                  <c:v>AD -</c:v>
                </c:pt>
                <c:pt idx="1">
                  <c:v>AD +</c:v>
                </c:pt>
                <c:pt idx="3">
                  <c:v>A -</c:v>
                </c:pt>
                <c:pt idx="4">
                  <c:v>A +</c:v>
                </c:pt>
                <c:pt idx="6">
                  <c:v>BD -</c:v>
                </c:pt>
                <c:pt idx="7">
                  <c:v>BD +</c:v>
                </c:pt>
                <c:pt idx="9">
                  <c:v>B -</c:v>
                </c:pt>
                <c:pt idx="10">
                  <c:v>B +</c:v>
                </c:pt>
                <c:pt idx="12">
                  <c:v>CD -</c:v>
                </c:pt>
                <c:pt idx="13">
                  <c:v>CD +</c:v>
                </c:pt>
                <c:pt idx="15">
                  <c:v>C -</c:v>
                </c:pt>
                <c:pt idx="16">
                  <c:v>C +</c:v>
                </c:pt>
              </c:strCache>
            </c:strRef>
          </c:cat>
          <c:val>
            <c:numRef>
              <c:f>'2^4 DOE'!$G$81:$G$97</c:f>
              <c:numCache>
                <c:formatCode>General</c:formatCode>
                <c:ptCount val="17"/>
                <c:pt idx="3">
                  <c:v>0</c:v>
                </c:pt>
                <c:pt idx="4">
                  <c:v>0</c:v>
                </c:pt>
                <c:pt idx="9">
                  <c:v>0</c:v>
                </c:pt>
                <c:pt idx="10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'2^4 DOE'!$H$80</c:f>
              <c:strCache>
                <c:ptCount val="1"/>
                <c:pt idx="0">
                  <c:v>+ High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DOE'!$E$81:$E$97</c:f>
              <c:strCache>
                <c:ptCount val="17"/>
                <c:pt idx="0">
                  <c:v>AD -</c:v>
                </c:pt>
                <c:pt idx="1">
                  <c:v>AD +</c:v>
                </c:pt>
                <c:pt idx="3">
                  <c:v>A -</c:v>
                </c:pt>
                <c:pt idx="4">
                  <c:v>A +</c:v>
                </c:pt>
                <c:pt idx="6">
                  <c:v>BD -</c:v>
                </c:pt>
                <c:pt idx="7">
                  <c:v>BD +</c:v>
                </c:pt>
                <c:pt idx="9">
                  <c:v>B -</c:v>
                </c:pt>
                <c:pt idx="10">
                  <c:v>B +</c:v>
                </c:pt>
                <c:pt idx="12">
                  <c:v>CD -</c:v>
                </c:pt>
                <c:pt idx="13">
                  <c:v>CD +</c:v>
                </c:pt>
                <c:pt idx="15">
                  <c:v>C -</c:v>
                </c:pt>
                <c:pt idx="16">
                  <c:v>C +</c:v>
                </c:pt>
              </c:strCache>
            </c:strRef>
          </c:cat>
          <c:val>
            <c:numRef>
              <c:f>'2^4 DOE'!$H$81:$H$97</c:f>
              <c:numCache>
                <c:formatCode>General</c:formatCode>
                <c:ptCount val="17"/>
                <c:pt idx="3">
                  <c:v>0</c:v>
                </c:pt>
                <c:pt idx="4">
                  <c:v>0</c:v>
                </c:pt>
                <c:pt idx="9">
                  <c:v>0</c:v>
                </c:pt>
                <c:pt idx="10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marker val="1"/>
        <c:axId val="63918464"/>
        <c:axId val="63920384"/>
      </c:lineChart>
      <c:catAx>
        <c:axId val="639184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920384"/>
        <c:crosses val="autoZero"/>
        <c:auto val="1"/>
        <c:lblAlgn val="ctr"/>
        <c:lblOffset val="100"/>
        <c:tickLblSkip val="1"/>
        <c:tickMarkSkip val="1"/>
      </c:catAx>
      <c:valAx>
        <c:axId val="6392038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9184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515542313336638"/>
          <c:y val="0.85204293896220051"/>
          <c:w val="0.3770498510250368"/>
          <c:h val="0.1122451775878352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Run Order Trend Chart</a:t>
            </a:r>
          </a:p>
        </c:rich>
      </c:tx>
      <c:layout>
        <c:manualLayout>
          <c:xMode val="edge"/>
          <c:yMode val="edge"/>
          <c:x val="0.3996323945967043"/>
          <c:y val="4.891317327926842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4.7882222394075184E-2"/>
          <c:y val="0.16304391093089476"/>
          <c:w val="0.94291145637563678"/>
          <c:h val="0.63587125263049848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'2^4 DOE'!$AI$55:$AI$70</c:f>
              <c:strCache>
                <c:ptCount val="16"/>
                <c:pt idx="0">
                  <c:v>(1)</c:v>
                </c:pt>
                <c:pt idx="1">
                  <c:v>a</c:v>
                </c:pt>
                <c:pt idx="2">
                  <c:v>b</c:v>
                </c:pt>
                <c:pt idx="3">
                  <c:v>ab</c:v>
                </c:pt>
                <c:pt idx="4">
                  <c:v>c</c:v>
                </c:pt>
                <c:pt idx="5">
                  <c:v>ac</c:v>
                </c:pt>
                <c:pt idx="6">
                  <c:v>bc</c:v>
                </c:pt>
                <c:pt idx="7">
                  <c:v>abc</c:v>
                </c:pt>
                <c:pt idx="8">
                  <c:v>d</c:v>
                </c:pt>
                <c:pt idx="9">
                  <c:v>ad</c:v>
                </c:pt>
                <c:pt idx="10">
                  <c:v>bd</c:v>
                </c:pt>
                <c:pt idx="11">
                  <c:v>abd</c:v>
                </c:pt>
                <c:pt idx="12">
                  <c:v>cd</c:v>
                </c:pt>
                <c:pt idx="13">
                  <c:v>acd</c:v>
                </c:pt>
                <c:pt idx="14">
                  <c:v>bcd</c:v>
                </c:pt>
                <c:pt idx="15">
                  <c:v>abcd</c:v>
                </c:pt>
              </c:strCache>
            </c:strRef>
          </c:cat>
          <c:val>
            <c:numRef>
              <c:f>'2^4 DOE'!$AJ$55:$AJ$70</c:f>
              <c:numCache>
                <c:formatCode>General</c:formatCode>
                <c:ptCount val="16"/>
              </c:numCache>
            </c:numRef>
          </c:val>
        </c:ser>
        <c:marker val="1"/>
        <c:axId val="63939712"/>
        <c:axId val="63942016"/>
      </c:lineChart>
      <c:catAx>
        <c:axId val="639397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Trials</a:t>
                </a:r>
              </a:p>
            </c:rich>
          </c:tx>
          <c:layout>
            <c:manualLayout>
              <c:xMode val="edge"/>
              <c:yMode val="edge"/>
              <c:x val="0.49171359150838712"/>
              <c:y val="0.8641327279337421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942016"/>
        <c:crosses val="autoZero"/>
        <c:auto val="1"/>
        <c:lblAlgn val="ctr"/>
        <c:lblOffset val="100"/>
        <c:tickLblSkip val="1"/>
        <c:tickMarkSkip val="1"/>
      </c:catAx>
      <c:valAx>
        <c:axId val="6394201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393971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Factor A Contrast Plot</a:t>
            </a:r>
          </a:p>
        </c:rich>
      </c:tx>
      <c:layout>
        <c:manualLayout>
          <c:xMode val="edge"/>
          <c:yMode val="edge"/>
          <c:x val="0.26744287277008055"/>
          <c:y val="4.522624162374771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542713415672886"/>
          <c:y val="0.24120662199332121"/>
          <c:w val="0.74031287969688664"/>
          <c:h val="0.5527651754013605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DOE'!$A$102:$B$102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DOE'!$A$103:$B$103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DOE'!$A$104:$B$104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DOE'!$A$105:$B$105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DOE'!$A$106:$B$106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DOE'!$A$107:$B$107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DOE'!$A$108:$B$108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DOE'!$A$109:$B$109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DOE'!$A$101:$B$101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DOE'!$A$110:$B$110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64509056"/>
        <c:axId val="64510592"/>
      </c:lineChart>
      <c:catAx>
        <c:axId val="6450905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510592"/>
        <c:crosses val="autoZero"/>
        <c:auto val="1"/>
        <c:lblAlgn val="ctr"/>
        <c:lblOffset val="100"/>
        <c:tickLblSkip val="1"/>
        <c:tickMarkSkip val="1"/>
      </c:catAx>
      <c:valAx>
        <c:axId val="645105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6.2015738613351724E-2"/>
              <c:y val="0.4020110366555347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50905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Factor B Contrast Plot</a:t>
            </a:r>
          </a:p>
        </c:rich>
      </c:tx>
      <c:layout>
        <c:manualLayout>
          <c:xMode val="edge"/>
          <c:yMode val="edge"/>
          <c:x val="0.26923076923076938"/>
          <c:y val="4.477633694970965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384615384615476"/>
          <c:y val="0.23880713039844986"/>
          <c:w val="0.74230769230769533"/>
          <c:h val="0.55721663759638163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DOE'!$D$102:$E$102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DOE'!$D$103:$E$103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DOE'!$D$104:$E$104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DOE'!$D$105:$E$105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DOE'!$D$106:$E$106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DOE'!$D$107:$E$107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DOE'!$D$108:$E$108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DOE'!$D$109:$E$109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DOE'!$D$101:$E$101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DOE'!$D$110:$E$110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80089856"/>
        <c:axId val="80091392"/>
      </c:lineChart>
      <c:catAx>
        <c:axId val="8008985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0091392"/>
        <c:crosses val="autoZero"/>
        <c:auto val="1"/>
        <c:lblAlgn val="ctr"/>
        <c:lblOffset val="100"/>
        <c:tickLblSkip val="1"/>
        <c:tickMarkSkip val="1"/>
      </c:catAx>
      <c:valAx>
        <c:axId val="800913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6.1538461538461584E-2"/>
              <c:y val="0.402987032547382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008985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Factor C Contrast Plot</a:t>
            </a:r>
          </a:p>
        </c:rich>
      </c:tx>
      <c:layout>
        <c:manualLayout>
          <c:xMode val="edge"/>
          <c:yMode val="edge"/>
          <c:x val="0.27027077979982583"/>
          <c:y val="4.522624162374771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46335904198662"/>
          <c:y val="0.24120662199332121"/>
          <c:w val="0.74131413887951492"/>
          <c:h val="0.5527651754013605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DOE'!$G$102:$H$102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DOE'!$G$103:$H$103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DOE'!$G$104:$H$104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DOE'!$G$105:$H$105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DOE'!$G$106:$H$106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DOE'!$G$107:$H$107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DOE'!$G$108:$H$108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DOE'!$G$109:$H$109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DOE'!$G$101:$H$101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DOE'!$G$110:$H$110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10178688"/>
        <c:axId val="110180224"/>
      </c:lineChart>
      <c:catAx>
        <c:axId val="11017868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0180224"/>
        <c:crosses val="autoZero"/>
        <c:auto val="1"/>
        <c:lblAlgn val="ctr"/>
        <c:lblOffset val="100"/>
        <c:tickLblSkip val="1"/>
        <c:tickMarkSkip val="1"/>
      </c:catAx>
      <c:valAx>
        <c:axId val="1101802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6.1776178239959546E-2"/>
              <c:y val="0.4020110366555347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01786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Factor D Contrast Plot</a:t>
            </a:r>
          </a:p>
        </c:rich>
      </c:tx>
      <c:layout>
        <c:manualLayout>
          <c:xMode val="edge"/>
          <c:yMode val="edge"/>
          <c:x val="0.26923076923076938"/>
          <c:y val="4.568527918781726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0384615384615476"/>
          <c:y val="0.24365482233502539"/>
          <c:w val="0.74230769230769533"/>
          <c:h val="0.54822335025380764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DOE'!$J$102:$K$102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DOE'!$J$103:$K$103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DOE'!$J$104:$K$104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DOE'!$J$105:$K$105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DOE'!$J$106:$K$106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DOE'!$J$107:$K$107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DOE'!$J$108:$K$108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DOE'!$J$109:$K$109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DOE'!$J$101:$K$101</c:f>
              <c:strCache>
                <c:ptCount val="2"/>
                <c:pt idx="0">
                  <c:v>D-</c:v>
                </c:pt>
                <c:pt idx="1">
                  <c:v>D+</c:v>
                </c:pt>
              </c:strCache>
            </c:strRef>
          </c:cat>
          <c:val>
            <c:numRef>
              <c:f>'2^4 DOE'!$J$110:$K$110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10260224"/>
        <c:axId val="110261760"/>
      </c:lineChart>
      <c:catAx>
        <c:axId val="11026022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0261760"/>
        <c:crosses val="autoZero"/>
        <c:auto val="1"/>
        <c:lblAlgn val="ctr"/>
        <c:lblOffset val="100"/>
        <c:tickLblSkip val="1"/>
        <c:tickMarkSkip val="1"/>
      </c:catAx>
      <c:valAx>
        <c:axId val="1102617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6.1538461538461584E-2"/>
              <c:y val="0.401015228426394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0260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CD Interaction Plot</a:t>
            </a:r>
          </a:p>
        </c:rich>
      </c:tx>
      <c:layout>
        <c:manualLayout>
          <c:xMode val="edge"/>
          <c:yMode val="edge"/>
          <c:x val="0.33437500000000203"/>
          <c:y val="4.245283018867928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687500000000001"/>
          <c:y val="0.29245283018868073"/>
          <c:w val="0.61562500000000475"/>
          <c:h val="0.52830188679245249"/>
        </c:manualLayout>
      </c:layout>
      <c:lineChart>
        <c:grouping val="standard"/>
        <c:ser>
          <c:idx val="0"/>
          <c:order val="0"/>
          <c:tx>
            <c:strRef>
              <c:f>'2^4 DOE'!$I$128</c:f>
              <c:strCache>
                <c:ptCount val="1"/>
                <c:pt idx="0">
                  <c:v>D-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DOE'!$J$128:$K$128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'2^4 DOE'!$I$129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DOE'!$J$129:$K$129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'2^4 DOE'!$I$130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DOE'!$J$130:$K$130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'2^4 DOE'!$I$131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DOE'!$J$131:$K$131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'2^4 DOE'!$I$132</c:f>
              <c:strCache>
                <c:ptCount val="1"/>
                <c:pt idx="0">
                  <c:v>D+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DOE'!$J$132:$K$132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'2^4 DOE'!$I$133</c:f>
              <c:strCache>
                <c:ptCount val="1"/>
                <c:pt idx="0">
                  <c:v>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DOE'!$J$133:$K$133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tx>
            <c:strRef>
              <c:f>'2^4 DOE'!$I$134</c:f>
              <c:strCache>
                <c:ptCount val="1"/>
                <c:pt idx="0">
                  <c:v>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DOE'!$J$134:$K$134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tx>
            <c:strRef>
              <c:f>'2^4 DOE'!$I$135</c:f>
              <c:strCache>
                <c:ptCount val="1"/>
                <c:pt idx="0">
                  <c:v>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DOE'!$J$135:$K$135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8"/>
          <c:tx>
            <c:strRef>
              <c:f>'2^4 DOE'!$I$137</c:f>
              <c:strCache>
                <c:ptCount val="1"/>
                <c:pt idx="0">
                  <c:v>D-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DOE'!$J$137:$K$137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9"/>
          <c:tx>
            <c:strRef>
              <c:f>'2^4 DOE'!$I$138</c:f>
              <c:strCache>
                <c:ptCount val="1"/>
                <c:pt idx="0">
                  <c:v>D+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DOE'!$J$127:$K$127</c:f>
              <c:strCache>
                <c:ptCount val="2"/>
                <c:pt idx="0">
                  <c:v>C-</c:v>
                </c:pt>
                <c:pt idx="1">
                  <c:v>C+</c:v>
                </c:pt>
              </c:strCache>
            </c:strRef>
          </c:cat>
          <c:val>
            <c:numRef>
              <c:f>'2^4 DOE'!$J$138:$K$138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13443200"/>
        <c:axId val="113444736"/>
      </c:lineChart>
      <c:catAx>
        <c:axId val="11344320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444736"/>
        <c:crosses val="autoZero"/>
        <c:auto val="1"/>
        <c:lblAlgn val="ctr"/>
        <c:lblOffset val="100"/>
        <c:tickLblSkip val="1"/>
        <c:tickMarkSkip val="1"/>
      </c:catAx>
      <c:valAx>
        <c:axId val="1134447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0.05"/>
              <c:y val="0.4811320754716981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44320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687500000000278"/>
          <c:y val="0.27358490566037902"/>
          <c:w val="0.17812500000000001"/>
          <c:h val="0.61792452830189015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AB Interaction Plot</a:t>
            </a:r>
          </a:p>
        </c:rich>
      </c:tx>
      <c:layout>
        <c:manualLayout>
          <c:xMode val="edge"/>
          <c:yMode val="edge"/>
          <c:x val="0.33750000000000174"/>
          <c:y val="4.245283018867928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750000000000001"/>
          <c:y val="0.19811320754717093"/>
          <c:w val="0.62500000000000278"/>
          <c:h val="0.66981132075471694"/>
        </c:manualLayout>
      </c:layout>
      <c:lineChart>
        <c:grouping val="standard"/>
        <c:ser>
          <c:idx val="0"/>
          <c:order val="0"/>
          <c:tx>
            <c:strRef>
              <c:f>'2^4 DOE'!$A$114</c:f>
              <c:strCache>
                <c:ptCount val="1"/>
                <c:pt idx="0">
                  <c:v>B-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DOE'!$B$114:$C$114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'2^4 DOE'!$A$115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DOE'!$B$115:$C$115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'2^4 DOE'!$A$116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DOE'!$B$116:$C$116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'2^4 DOE'!$A$117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DOE'!$B$117:$C$117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'2^4 DOE'!$A$118</c:f>
              <c:strCache>
                <c:ptCount val="1"/>
                <c:pt idx="0">
                  <c:v>B+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DOE'!$B$118:$C$118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'2^4 DOE'!$A$119</c:f>
              <c:strCache>
                <c:ptCount val="1"/>
                <c:pt idx="0">
                  <c:v>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DOE'!$B$119:$C$119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tx>
            <c:strRef>
              <c:f>'2^4 DOE'!$A$120</c:f>
              <c:strCache>
                <c:ptCount val="1"/>
                <c:pt idx="0">
                  <c:v>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DOE'!$B$120:$C$120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tx>
            <c:strRef>
              <c:f>'2^4 DOE'!$A$121</c:f>
              <c:strCache>
                <c:ptCount val="1"/>
                <c:pt idx="0">
                  <c:v>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DOE'!$B$121:$C$121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8"/>
          <c:tx>
            <c:strRef>
              <c:f>'2^4 DOE'!$A$123</c:f>
              <c:strCache>
                <c:ptCount val="1"/>
                <c:pt idx="0">
                  <c:v>B-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DOE'!$B$123:$C$123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0"/>
          <c:order val="9"/>
          <c:tx>
            <c:strRef>
              <c:f>'2^4 DOE'!$A$124</c:f>
              <c:strCache>
                <c:ptCount val="1"/>
                <c:pt idx="0">
                  <c:v>B+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DOE'!$B$113:$C$113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DOE'!$B$124:$C$124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13518080"/>
        <c:axId val="113519616"/>
      </c:lineChart>
      <c:catAx>
        <c:axId val="11351808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519616"/>
        <c:crosses val="autoZero"/>
        <c:auto val="1"/>
        <c:lblAlgn val="ctr"/>
        <c:lblOffset val="100"/>
        <c:tickLblSkip val="1"/>
        <c:tickMarkSkip val="1"/>
      </c:catAx>
      <c:valAx>
        <c:axId val="1135196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4.0624999999999988E-2"/>
              <c:y val="0.4575471698113207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5180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80937499999999996"/>
          <c:y val="0.42924528301886838"/>
          <c:w val="0.17812500000000001"/>
          <c:h val="0.25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AC Interaction Plot</a:t>
            </a:r>
          </a:p>
        </c:rich>
      </c:tx>
      <c:layout>
        <c:manualLayout>
          <c:xMode val="edge"/>
          <c:yMode val="edge"/>
          <c:x val="0.33437500000000203"/>
          <c:y val="4.245283018867928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687500000000001"/>
          <c:y val="0.28773584905660377"/>
          <c:w val="0.61875000000000313"/>
          <c:h val="0.53301886792452835"/>
        </c:manualLayout>
      </c:layout>
      <c:lineChart>
        <c:grouping val="standard"/>
        <c:ser>
          <c:idx val="0"/>
          <c:order val="0"/>
          <c:tx>
            <c:strRef>
              <c:f>'2^4 DOE'!$E$114</c:f>
              <c:strCache>
                <c:ptCount val="1"/>
                <c:pt idx="0">
                  <c:v>C-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DOE'!$F$114:$G$114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'2^4 DOE'!$E$115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DOE'!$F$115:$G$115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'2^4 DOE'!$E$116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DOE'!$F$116:$G$116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'2^4 DOE'!$E$117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DOE'!$F$117:$G$117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'2^4 DOE'!$E$118</c:f>
              <c:strCache>
                <c:ptCount val="1"/>
                <c:pt idx="0">
                  <c:v>C+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DOE'!$F$118:$G$118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'2^4 DOE'!$E$119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DOE'!$F$119:$G$119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tx>
            <c:strRef>
              <c:f>'2^4 DOE'!$E$120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DOE'!$F$120:$G$120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tx>
            <c:strRef>
              <c:f>'2^4 DOE'!$E$121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DOE'!$F$121:$G$121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8"/>
          <c:tx>
            <c:strRef>
              <c:f>'2^4 DOE'!$E$123</c:f>
              <c:strCache>
                <c:ptCount val="1"/>
                <c:pt idx="0">
                  <c:v>C-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DOE'!$F$123:$G$123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9"/>
          <c:tx>
            <c:strRef>
              <c:f>'2^4 DOE'!$E$124</c:f>
              <c:strCache>
                <c:ptCount val="1"/>
                <c:pt idx="0">
                  <c:v>C+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DOE'!$F$113:$G$113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DOE'!$F$124:$G$124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13632000"/>
        <c:axId val="113633536"/>
      </c:lineChart>
      <c:catAx>
        <c:axId val="11363200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633536"/>
        <c:crosses val="autoZero"/>
        <c:auto val="1"/>
        <c:lblAlgn val="ctr"/>
        <c:lblOffset val="100"/>
        <c:tickLblSkip val="1"/>
        <c:tickMarkSkip val="1"/>
      </c:catAx>
      <c:valAx>
        <c:axId val="1136335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0.05"/>
              <c:y val="0.476415094339624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63200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79687500000000278"/>
          <c:y val="0.43867924528301888"/>
          <c:w val="0.17812500000000001"/>
          <c:h val="0.25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AD Interaction Plot</a:t>
            </a:r>
          </a:p>
        </c:rich>
      </c:tx>
      <c:layout>
        <c:manualLayout>
          <c:xMode val="edge"/>
          <c:yMode val="edge"/>
          <c:x val="0.33750000000000174"/>
          <c:y val="4.245283018867928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125000000000024"/>
          <c:y val="0.32075471698113206"/>
          <c:w val="0.56875000000000064"/>
          <c:h val="0.48113207547169812"/>
        </c:manualLayout>
      </c:layout>
      <c:lineChart>
        <c:grouping val="standard"/>
        <c:ser>
          <c:idx val="0"/>
          <c:order val="0"/>
          <c:tx>
            <c:strRef>
              <c:f>'2^4 DOE'!$I$114</c:f>
              <c:strCache>
                <c:ptCount val="1"/>
                <c:pt idx="0">
                  <c:v>D-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DOE'!$J$114:$K$114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'2^4 DOE'!$I$115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DOE'!$J$115:$K$115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'2^4 DOE'!$I$116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DOE'!$J$116:$K$116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'2^4 DOE'!$I$117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DOE'!$J$117:$K$117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'2^4 DOE'!$I$118</c:f>
              <c:strCache>
                <c:ptCount val="1"/>
                <c:pt idx="0">
                  <c:v>D+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DOE'!$J$118:$K$118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'2^4 DOE'!$I$119</c:f>
              <c:strCache>
                <c:ptCount val="1"/>
                <c:pt idx="0">
                  <c:v>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DOE'!$J$119:$K$119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tx>
            <c:strRef>
              <c:f>'2^4 DOE'!$I$120</c:f>
              <c:strCache>
                <c:ptCount val="1"/>
                <c:pt idx="0">
                  <c:v>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DOE'!$J$120:$K$120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tx>
            <c:strRef>
              <c:f>'2^4 DOE'!$I$121</c:f>
              <c:strCache>
                <c:ptCount val="1"/>
                <c:pt idx="0">
                  <c:v>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DOE'!$J$121:$K$121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8"/>
          <c:tx>
            <c:strRef>
              <c:f>'2^4 DOE'!$I$123</c:f>
              <c:strCache>
                <c:ptCount val="1"/>
                <c:pt idx="0">
                  <c:v>D-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DOE'!$J$123:$K$123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9"/>
          <c:tx>
            <c:strRef>
              <c:f>'2^4 DOE'!$I$124</c:f>
              <c:strCache>
                <c:ptCount val="1"/>
                <c:pt idx="0">
                  <c:v>D+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DOE'!$J$113:$K$113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'2^4 DOE'!$J$124:$K$124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13737088"/>
        <c:axId val="113759360"/>
      </c:lineChart>
      <c:catAx>
        <c:axId val="11373708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759360"/>
        <c:crosses val="autoZero"/>
        <c:auto val="1"/>
        <c:lblAlgn val="ctr"/>
        <c:lblOffset val="100"/>
        <c:tickLblSkip val="1"/>
        <c:tickMarkSkip val="1"/>
      </c:catAx>
      <c:valAx>
        <c:axId val="1137593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8.4375000000000006E-2"/>
              <c:y val="0.4858490566037735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7370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79375000000000062"/>
          <c:y val="0.46698113207547182"/>
          <c:w val="0.17812500000000001"/>
          <c:h val="0.25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BC Interaction Plot</a:t>
            </a:r>
          </a:p>
        </c:rich>
      </c:tx>
      <c:layout>
        <c:manualLayout>
          <c:xMode val="edge"/>
          <c:yMode val="edge"/>
          <c:x val="0.33542371091256989"/>
          <c:y val="4.245283018867928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733564871860416"/>
          <c:y val="0.28773584905660377"/>
          <c:w val="0.61442100316694503"/>
          <c:h val="0.53301886792452835"/>
        </c:manualLayout>
      </c:layout>
      <c:lineChart>
        <c:grouping val="standard"/>
        <c:ser>
          <c:idx val="0"/>
          <c:order val="0"/>
          <c:tx>
            <c:strRef>
              <c:f>'2^4 DOE'!$A$128</c:f>
              <c:strCache>
                <c:ptCount val="1"/>
                <c:pt idx="0">
                  <c:v>C-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DOE'!$B$128:$C$128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'2^4 DOE'!$A$129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DOE'!$B$129:$C$129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'2^4 DOE'!$A$130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DOE'!$B$130:$C$130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'2^4 DOE'!$A$131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DOE'!$B$131:$C$131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'2^4 DOE'!$A$132</c:f>
              <c:strCache>
                <c:ptCount val="1"/>
                <c:pt idx="0">
                  <c:v>C+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DOE'!$B$132:$C$132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'2^4 DOE'!$A$133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DOE'!$B$133:$C$133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tx>
            <c:strRef>
              <c:f>'2^4 DOE'!$A$134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DOE'!$B$134:$C$134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tx>
            <c:strRef>
              <c:f>'2^4 DOE'!$A$135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DOE'!$B$135:$C$135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8"/>
          <c:tx>
            <c:strRef>
              <c:f>'2^4 DOE'!$A$137</c:f>
              <c:strCache>
                <c:ptCount val="1"/>
                <c:pt idx="0">
                  <c:v>C-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DOE'!$B$137:$C$137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9"/>
          <c:tx>
            <c:strRef>
              <c:f>'2^4 DOE'!$A$138</c:f>
              <c:strCache>
                <c:ptCount val="1"/>
                <c:pt idx="0">
                  <c:v>C+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DOE'!$B$127:$C$127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DOE'!$B$138:$C$138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13896064"/>
        <c:axId val="148574592"/>
      </c:lineChart>
      <c:catAx>
        <c:axId val="1138960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8574592"/>
        <c:crosses val="autoZero"/>
        <c:auto val="1"/>
        <c:lblAlgn val="ctr"/>
        <c:lblOffset val="100"/>
        <c:tickLblSkip val="1"/>
        <c:tickMarkSkip val="1"/>
      </c:catAx>
      <c:valAx>
        <c:axId val="14857459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5.0156816585056725E-2"/>
              <c:y val="0.476415094339624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138960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79623946328777562"/>
          <c:y val="0.45283018867924701"/>
          <c:w val="0.1786836590842647"/>
          <c:h val="0.25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0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t>BD Interaction Plot</a:t>
            </a:r>
          </a:p>
        </c:rich>
      </c:tx>
      <c:layout>
        <c:manualLayout>
          <c:xMode val="edge"/>
          <c:yMode val="edge"/>
          <c:x val="0.33750000000000174"/>
          <c:y val="4.245283018867928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687500000000001"/>
          <c:y val="0.29245283018868073"/>
          <c:w val="0.61562500000000475"/>
          <c:h val="0.52830188679245249"/>
        </c:manualLayout>
      </c:layout>
      <c:lineChart>
        <c:grouping val="standard"/>
        <c:ser>
          <c:idx val="0"/>
          <c:order val="0"/>
          <c:tx>
            <c:strRef>
              <c:f>'2^4 DOE'!$E$128</c:f>
              <c:strCache>
                <c:ptCount val="1"/>
                <c:pt idx="0">
                  <c:v>D-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DOE'!$F$128:$G$128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'2^4 DOE'!$E$129</c:f>
              <c:strCache>
                <c:ptCount val="1"/>
                <c:pt idx="0">
                  <c:v>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DOE'!$F$129:$G$129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'2^4 DOE'!$E$130</c:f>
              <c:strCache>
                <c:ptCount val="1"/>
                <c:pt idx="0">
                  <c:v>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DOE'!$F$130:$G$130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'2^4 DOE'!$E$131</c:f>
              <c:strCache>
                <c:ptCount val="1"/>
                <c:pt idx="0">
                  <c:v>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DOE'!$F$131:$G$131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'2^4 DOE'!$E$132</c:f>
              <c:strCache>
                <c:ptCount val="1"/>
                <c:pt idx="0">
                  <c:v>D+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DOE'!$F$132:$G$132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tx>
            <c:strRef>
              <c:f>'2^4 DOE'!$E$133</c:f>
              <c:strCache>
                <c:ptCount val="1"/>
                <c:pt idx="0">
                  <c:v>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DOE'!$F$133:$G$133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tx>
            <c:strRef>
              <c:f>'2^4 DOE'!$E$134</c:f>
              <c:strCache>
                <c:ptCount val="1"/>
                <c:pt idx="0">
                  <c:v>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DOE'!$F$134:$G$134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7"/>
          <c:order val="7"/>
          <c:tx>
            <c:strRef>
              <c:f>'2^4 DOE'!$E$135</c:f>
              <c:strCache>
                <c:ptCount val="1"/>
                <c:pt idx="0">
                  <c:v>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DOE'!$F$135:$G$135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9"/>
          <c:order val="8"/>
          <c:tx>
            <c:strRef>
              <c:f>'2^4 DOE'!$E$137</c:f>
              <c:strCache>
                <c:ptCount val="1"/>
                <c:pt idx="0">
                  <c:v>D-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DOE'!$F$137:$G$137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9"/>
          <c:tx>
            <c:strRef>
              <c:f>'2^4 DOE'!$E$138</c:f>
              <c:strCache>
                <c:ptCount val="1"/>
                <c:pt idx="0">
                  <c:v>D+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'2^4 DOE'!$F$127:$G$127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'2^4 DOE'!$F$138:$G$138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48658048"/>
        <c:axId val="148659584"/>
      </c:lineChart>
      <c:catAx>
        <c:axId val="14865804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8659584"/>
        <c:crosses val="autoZero"/>
        <c:auto val="1"/>
        <c:lblAlgn val="ctr"/>
        <c:lblOffset val="100"/>
        <c:tickLblSkip val="1"/>
        <c:tickMarkSkip val="1"/>
      </c:catAx>
      <c:valAx>
        <c:axId val="14865958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5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t>Response</a:t>
                </a:r>
              </a:p>
            </c:rich>
          </c:tx>
          <c:layout>
            <c:manualLayout>
              <c:xMode val="edge"/>
              <c:yMode val="edge"/>
              <c:x val="0.05"/>
              <c:y val="0.4811320754716981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486580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79687500000000278"/>
          <c:y val="0.45283018867924701"/>
          <c:w val="0.17812500000000001"/>
          <c:h val="0.25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549043637108759"/>
          <c:y val="9.0909090909091064E-2"/>
          <c:w val="0.8274525648218497"/>
          <c:h val="0.58545454545454456"/>
        </c:manualLayout>
      </c:layout>
      <c:barChart>
        <c:barDir val="col"/>
        <c:grouping val="clustered"/>
        <c:ser>
          <c:idx val="1"/>
          <c:order val="0"/>
          <c:spPr>
            <a:solidFill>
              <a:srgbClr val="808080"/>
            </a:solidFill>
            <a:ln w="38100">
              <a:solidFill>
                <a:srgbClr val="808080"/>
              </a:solidFill>
              <a:prstDash val="solid"/>
            </a:ln>
          </c:spPr>
          <c:cat>
            <c:strRef>
              <c:f>'Stability and Capability'!$M$30:$M$64</c:f>
              <c:strCache>
                <c:ptCount val="35"/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  <c:pt idx="5">
                  <c:v>#VALUE!</c:v>
                </c:pt>
                <c:pt idx="6">
                  <c:v>#VALUE!</c:v>
                </c:pt>
                <c:pt idx="7">
                  <c:v>#VALUE!</c:v>
                </c:pt>
                <c:pt idx="8">
                  <c:v>#VALUE!</c:v>
                </c:pt>
                <c:pt idx="9">
                  <c:v>#VALUE!</c:v>
                </c:pt>
                <c:pt idx="10">
                  <c:v>#VALUE!</c:v>
                </c:pt>
                <c:pt idx="11">
                  <c:v>#VALUE!</c:v>
                </c:pt>
                <c:pt idx="12">
                  <c:v>#VALUE!</c:v>
                </c:pt>
                <c:pt idx="13">
                  <c:v>#VALUE!</c:v>
                </c:pt>
                <c:pt idx="14">
                  <c:v>#VALUE!</c:v>
                </c:pt>
                <c:pt idx="15">
                  <c:v>#VALUE!</c:v>
                </c:pt>
                <c:pt idx="16">
                  <c:v>#VALUE!</c:v>
                </c:pt>
                <c:pt idx="17">
                  <c:v>#VALUE!</c:v>
                </c:pt>
                <c:pt idx="18">
                  <c:v>#VALUE!</c:v>
                </c:pt>
                <c:pt idx="19">
                  <c:v>#VALUE!</c:v>
                </c:pt>
                <c:pt idx="20">
                  <c:v>#VALUE!</c:v>
                </c:pt>
                <c:pt idx="21">
                  <c:v>#VALUE!</c:v>
                </c:pt>
                <c:pt idx="22">
                  <c:v>#VALUE!</c:v>
                </c:pt>
                <c:pt idx="23">
                  <c:v>#VALUE!</c:v>
                </c:pt>
                <c:pt idx="24">
                  <c:v>#VALUE!</c:v>
                </c:pt>
                <c:pt idx="25">
                  <c:v>#VALUE!</c:v>
                </c:pt>
                <c:pt idx="26">
                  <c:v>#VALUE!</c:v>
                </c:pt>
                <c:pt idx="27">
                  <c:v>#VALUE!</c:v>
                </c:pt>
                <c:pt idx="28">
                  <c:v>#VALUE!</c:v>
                </c:pt>
                <c:pt idx="29">
                  <c:v>#VALUE!</c:v>
                </c:pt>
                <c:pt idx="30">
                  <c:v>#VALUE!</c:v>
                </c:pt>
                <c:pt idx="31">
                  <c:v>#VALUE!</c:v>
                </c:pt>
                <c:pt idx="32">
                  <c:v>#VALUE!</c:v>
                </c:pt>
                <c:pt idx="33">
                  <c:v>#VALUE!</c:v>
                </c:pt>
                <c:pt idx="34">
                  <c:v>#VALUE!</c:v>
                </c:pt>
              </c:strCache>
            </c:strRef>
          </c:cat>
          <c:val>
            <c:numRef>
              <c:f>'Stability and Capability'!$N$30:$N$64</c:f>
              <c:numCache>
                <c:formatCode>General</c:formatCode>
                <c:ptCount val="35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  <c:pt idx="19">
                  <c:v>#N/A</c:v>
                </c:pt>
                <c:pt idx="21">
                  <c:v>#N/A</c:v>
                </c:pt>
                <c:pt idx="23">
                  <c:v>#N/A</c:v>
                </c:pt>
                <c:pt idx="25">
                  <c:v>#N/A</c:v>
                </c:pt>
                <c:pt idx="27">
                  <c:v>#N/A</c:v>
                </c:pt>
                <c:pt idx="29">
                  <c:v>#N/A</c:v>
                </c:pt>
                <c:pt idx="31">
                  <c:v>#N/A</c:v>
                </c:pt>
              </c:numCache>
            </c:numRef>
          </c:val>
        </c:ser>
        <c:ser>
          <c:idx val="0"/>
          <c:order val="1"/>
          <c:spPr>
            <a:noFill/>
            <a:ln w="25400">
              <a:noFill/>
            </a:ln>
          </c:spPr>
          <c:errBars>
            <c:errBarType val="minus"/>
            <c:errValType val="percentage"/>
            <c:val val="100"/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cat>
            <c:strRef>
              <c:f>'Stability and Capability'!$M$30:$M$64</c:f>
              <c:strCache>
                <c:ptCount val="35"/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  <c:pt idx="5">
                  <c:v>#VALUE!</c:v>
                </c:pt>
                <c:pt idx="6">
                  <c:v>#VALUE!</c:v>
                </c:pt>
                <c:pt idx="7">
                  <c:v>#VALUE!</c:v>
                </c:pt>
                <c:pt idx="8">
                  <c:v>#VALUE!</c:v>
                </c:pt>
                <c:pt idx="9">
                  <c:v>#VALUE!</c:v>
                </c:pt>
                <c:pt idx="10">
                  <c:v>#VALUE!</c:v>
                </c:pt>
                <c:pt idx="11">
                  <c:v>#VALUE!</c:v>
                </c:pt>
                <c:pt idx="12">
                  <c:v>#VALUE!</c:v>
                </c:pt>
                <c:pt idx="13">
                  <c:v>#VALUE!</c:v>
                </c:pt>
                <c:pt idx="14">
                  <c:v>#VALUE!</c:v>
                </c:pt>
                <c:pt idx="15">
                  <c:v>#VALUE!</c:v>
                </c:pt>
                <c:pt idx="16">
                  <c:v>#VALUE!</c:v>
                </c:pt>
                <c:pt idx="17">
                  <c:v>#VALUE!</c:v>
                </c:pt>
                <c:pt idx="18">
                  <c:v>#VALUE!</c:v>
                </c:pt>
                <c:pt idx="19">
                  <c:v>#VALUE!</c:v>
                </c:pt>
                <c:pt idx="20">
                  <c:v>#VALUE!</c:v>
                </c:pt>
                <c:pt idx="21">
                  <c:v>#VALUE!</c:v>
                </c:pt>
                <c:pt idx="22">
                  <c:v>#VALUE!</c:v>
                </c:pt>
                <c:pt idx="23">
                  <c:v>#VALUE!</c:v>
                </c:pt>
                <c:pt idx="24">
                  <c:v>#VALUE!</c:v>
                </c:pt>
                <c:pt idx="25">
                  <c:v>#VALUE!</c:v>
                </c:pt>
                <c:pt idx="26">
                  <c:v>#VALUE!</c:v>
                </c:pt>
                <c:pt idx="27">
                  <c:v>#VALUE!</c:v>
                </c:pt>
                <c:pt idx="28">
                  <c:v>#VALUE!</c:v>
                </c:pt>
                <c:pt idx="29">
                  <c:v>#VALUE!</c:v>
                </c:pt>
                <c:pt idx="30">
                  <c:v>#VALUE!</c:v>
                </c:pt>
                <c:pt idx="31">
                  <c:v>#VALUE!</c:v>
                </c:pt>
                <c:pt idx="32">
                  <c:v>#VALUE!</c:v>
                </c:pt>
                <c:pt idx="33">
                  <c:v>#VALUE!</c:v>
                </c:pt>
                <c:pt idx="34">
                  <c:v>#VALUE!</c:v>
                </c:pt>
              </c:strCache>
            </c:strRef>
          </c:cat>
          <c:val>
            <c:numRef>
              <c:f>'Stability and Capability'!$O$30:$O$64</c:f>
              <c:numCache>
                <c:formatCode>General</c:formatCode>
                <c:ptCount val="35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gapWidth val="0"/>
        <c:overlap val="100"/>
        <c:axId val="149206912"/>
        <c:axId val="149229568"/>
      </c:barChart>
      <c:lineChart>
        <c:grouping val="standard"/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'Stability and Capability'!$P$30:$P$64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ropLines>
          <c:spPr>
            <a:ln w="3175">
              <a:solidFill>
                <a:srgbClr val="000000"/>
              </a:solidFill>
              <a:prstDash val="lgDash"/>
            </a:ln>
          </c:spPr>
        </c:dropLines>
        <c:marker val="1"/>
        <c:axId val="149231488"/>
        <c:axId val="149233024"/>
      </c:lineChart>
      <c:catAx>
        <c:axId val="149206912"/>
        <c:scaling>
          <c:orientation val="minMax"/>
        </c:scaling>
        <c:axPos val="b"/>
        <c:title>
          <c:tx>
            <c:strRef>
              <c:f>'Stability and Capability'!$F$2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3529514264541977"/>
              <c:y val="0.8690909090909091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00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229568"/>
        <c:crosses val="autoZero"/>
        <c:lblAlgn val="ctr"/>
        <c:lblOffset val="100"/>
        <c:tickLblSkip val="2"/>
        <c:tickMarkSkip val="2"/>
      </c:catAx>
      <c:valAx>
        <c:axId val="14922956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3.137260909277171E-2"/>
              <c:y val="0.2545454545454542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206912"/>
        <c:crosses val="autoZero"/>
        <c:crossBetween val="midCat"/>
      </c:valAx>
      <c:catAx>
        <c:axId val="149231488"/>
        <c:scaling>
          <c:orientation val="minMax"/>
        </c:scaling>
        <c:delete val="1"/>
        <c:axPos val="b"/>
        <c:tickLblPos val="none"/>
        <c:crossAx val="149233024"/>
        <c:crosses val="autoZero"/>
        <c:lblAlgn val="ctr"/>
        <c:lblOffset val="100"/>
      </c:catAx>
      <c:valAx>
        <c:axId val="149233024"/>
        <c:scaling>
          <c:orientation val="minMax"/>
        </c:scaling>
        <c:delete val="1"/>
        <c:axPos val="l"/>
        <c:numFmt formatCode="General" sourceLinked="1"/>
        <c:tickLblPos val="none"/>
        <c:crossAx val="1492314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'Stability and Capability'!$B$7:$G$7</c:f>
          <c:strCache>
            <c:ptCount val="1"/>
            <c:pt idx="0">
              <c:v>Boxplot Distributions for  </c:v>
            </c:pt>
          </c:strCache>
        </c:strRef>
      </c:tx>
      <c:layout>
        <c:manualLayout>
          <c:xMode val="edge"/>
          <c:yMode val="edge"/>
          <c:x val="0.34714070809585507"/>
          <c:y val="3.891050583657587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3017776553594507"/>
          <c:y val="0.22957198443579771"/>
          <c:w val="0.84221069520982661"/>
          <c:h val="0.5603112840466925"/>
        </c:manualLayout>
      </c:layout>
      <c:scatterChart>
        <c:scatterStyle val="lineMarker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'Stability and Capability'!$B$124:$B$202</c:f>
              <c:numCache>
                <c:formatCode>General</c:formatCode>
                <c:ptCount val="79"/>
                <c:pt idx="0">
                  <c:v>0.4</c:v>
                </c:pt>
                <c:pt idx="1">
                  <c:v>0.6</c:v>
                </c:pt>
                <c:pt idx="2">
                  <c:v>0.5</c:v>
                </c:pt>
                <c:pt idx="3">
                  <c:v>0.5</c:v>
                </c:pt>
                <c:pt idx="4">
                  <c:v>0.625</c:v>
                </c:pt>
                <c:pt idx="5">
                  <c:v>0.375</c:v>
                </c:pt>
                <c:pt idx="6">
                  <c:v>0.375</c:v>
                </c:pt>
                <c:pt idx="7">
                  <c:v>0.625</c:v>
                </c:pt>
                <c:pt idx="8">
                  <c:v>0.5</c:v>
                </c:pt>
                <c:pt idx="9">
                  <c:v>0.5</c:v>
                </c:pt>
                <c:pt idx="10">
                  <c:v>0.6</c:v>
                </c:pt>
                <c:pt idx="11">
                  <c:v>0.4</c:v>
                </c:pt>
                <c:pt idx="12">
                  <c:v>0.5</c:v>
                </c:pt>
                <c:pt idx="13">
                  <c:v>0.5</c:v>
                </c:pt>
                <c:pt idx="14">
                  <c:v>0.625</c:v>
                </c:pt>
                <c:pt idx="15">
                  <c:v>0.625</c:v>
                </c:pt>
                <c:pt idx="16">
                  <c:v>0.375</c:v>
                </c:pt>
                <c:pt idx="17">
                  <c:v>0.625</c:v>
                </c:pt>
                <c:pt idx="18">
                  <c:v>0.625</c:v>
                </c:pt>
                <c:pt idx="20">
                  <c:v>1.4</c:v>
                </c:pt>
                <c:pt idx="21">
                  <c:v>1.6</c:v>
                </c:pt>
                <c:pt idx="22">
                  <c:v>1.5</c:v>
                </c:pt>
                <c:pt idx="23">
                  <c:v>1.5</c:v>
                </c:pt>
                <c:pt idx="24">
                  <c:v>1.625</c:v>
                </c:pt>
                <c:pt idx="25">
                  <c:v>1.375</c:v>
                </c:pt>
                <c:pt idx="26">
                  <c:v>1.375</c:v>
                </c:pt>
                <c:pt idx="27">
                  <c:v>1.625</c:v>
                </c:pt>
                <c:pt idx="28">
                  <c:v>1.5</c:v>
                </c:pt>
                <c:pt idx="29">
                  <c:v>1.5</c:v>
                </c:pt>
                <c:pt idx="30">
                  <c:v>1.6</c:v>
                </c:pt>
                <c:pt idx="31">
                  <c:v>1.4</c:v>
                </c:pt>
                <c:pt idx="32">
                  <c:v>1.5</c:v>
                </c:pt>
                <c:pt idx="33">
                  <c:v>1.5</c:v>
                </c:pt>
                <c:pt idx="34">
                  <c:v>1.625</c:v>
                </c:pt>
                <c:pt idx="35">
                  <c:v>1.625</c:v>
                </c:pt>
                <c:pt idx="36">
                  <c:v>1.375</c:v>
                </c:pt>
                <c:pt idx="37">
                  <c:v>1.625</c:v>
                </c:pt>
                <c:pt idx="38">
                  <c:v>1.625</c:v>
                </c:pt>
                <c:pt idx="40">
                  <c:v>2.4</c:v>
                </c:pt>
                <c:pt idx="41">
                  <c:v>2.6</c:v>
                </c:pt>
                <c:pt idx="42">
                  <c:v>2.5</c:v>
                </c:pt>
                <c:pt idx="43">
                  <c:v>2.5</c:v>
                </c:pt>
                <c:pt idx="44">
                  <c:v>2.625</c:v>
                </c:pt>
                <c:pt idx="45">
                  <c:v>2.375</c:v>
                </c:pt>
                <c:pt idx="46">
                  <c:v>2.375</c:v>
                </c:pt>
                <c:pt idx="47">
                  <c:v>2.625</c:v>
                </c:pt>
                <c:pt idx="48">
                  <c:v>2.5</c:v>
                </c:pt>
                <c:pt idx="49">
                  <c:v>2.5</c:v>
                </c:pt>
                <c:pt idx="50">
                  <c:v>2.6</c:v>
                </c:pt>
                <c:pt idx="51">
                  <c:v>2.4</c:v>
                </c:pt>
                <c:pt idx="52">
                  <c:v>2.5</c:v>
                </c:pt>
                <c:pt idx="53">
                  <c:v>2.5</c:v>
                </c:pt>
                <c:pt idx="54">
                  <c:v>2.625</c:v>
                </c:pt>
                <c:pt idx="55">
                  <c:v>2.625</c:v>
                </c:pt>
                <c:pt idx="56">
                  <c:v>2.375</c:v>
                </c:pt>
                <c:pt idx="57">
                  <c:v>2.625</c:v>
                </c:pt>
                <c:pt idx="58">
                  <c:v>2.625</c:v>
                </c:pt>
                <c:pt idx="60">
                  <c:v>3.4</c:v>
                </c:pt>
                <c:pt idx="61">
                  <c:v>3.6</c:v>
                </c:pt>
                <c:pt idx="62">
                  <c:v>3.5</c:v>
                </c:pt>
                <c:pt idx="63">
                  <c:v>3.5</c:v>
                </c:pt>
                <c:pt idx="64">
                  <c:v>3.625</c:v>
                </c:pt>
                <c:pt idx="65">
                  <c:v>3.375</c:v>
                </c:pt>
                <c:pt idx="66">
                  <c:v>3.375</c:v>
                </c:pt>
                <c:pt idx="67">
                  <c:v>3.625</c:v>
                </c:pt>
                <c:pt idx="68">
                  <c:v>3.5</c:v>
                </c:pt>
                <c:pt idx="69">
                  <c:v>3.5</c:v>
                </c:pt>
                <c:pt idx="70">
                  <c:v>3.6</c:v>
                </c:pt>
                <c:pt idx="71">
                  <c:v>3.4</c:v>
                </c:pt>
                <c:pt idx="72">
                  <c:v>3.5</c:v>
                </c:pt>
                <c:pt idx="73">
                  <c:v>3.5</c:v>
                </c:pt>
                <c:pt idx="74">
                  <c:v>3.625</c:v>
                </c:pt>
                <c:pt idx="75">
                  <c:v>3.625</c:v>
                </c:pt>
                <c:pt idx="76">
                  <c:v>3.375</c:v>
                </c:pt>
                <c:pt idx="77">
                  <c:v>3.625</c:v>
                </c:pt>
                <c:pt idx="78">
                  <c:v>3.625</c:v>
                </c:pt>
              </c:numCache>
            </c:numRef>
          </c:xVal>
          <c:yVal>
            <c:numRef>
              <c:f>'Stability and Capability'!$C$124:$C$202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</c:numCache>
            </c:numRef>
          </c:yVal>
        </c:ser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'Stability and Capability'!$E$124:$E$136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'Stability and Capability'!$E$124:$E$242</c:f>
              <c:numCache>
                <c:formatCode>General</c:formatCode>
                <c:ptCount val="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</c:numCache>
            </c:numRef>
          </c:yVal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'Stability and Capability'!$D$124:$D$136</c:f>
              <c:numCache>
                <c:formatCode>General</c:formatCode>
                <c:ptCount val="13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</c:numCache>
            </c:numRef>
          </c:xVal>
          <c:yVal>
            <c:numRef>
              <c:f>'Stability and Capability'!$F$124:$F$136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</c:ser>
        <c:axId val="149266432"/>
        <c:axId val="149267968"/>
      </c:scatterChart>
      <c:valAx>
        <c:axId val="149266432"/>
        <c:scaling>
          <c:orientation val="minMax"/>
          <c:max val="6"/>
        </c:scaling>
        <c:axPos val="b"/>
        <c:numFmt formatCode="General" sourceLinked="1"/>
        <c:tickLblPos val="none"/>
        <c:spPr>
          <a:ln w="3175">
            <a:solidFill>
              <a:srgbClr val="000000"/>
            </a:solidFill>
            <a:prstDash val="solid"/>
          </a:ln>
        </c:spPr>
        <c:crossAx val="149267968"/>
        <c:crosses val="autoZero"/>
        <c:crossBetween val="midCat"/>
        <c:majorUnit val="1"/>
      </c:valAx>
      <c:valAx>
        <c:axId val="149267968"/>
        <c:scaling>
          <c:orientation val="minMax"/>
          <c:max val="6.0000000000000114E-3"/>
        </c:scaling>
        <c:axPos val="l"/>
        <c:title>
          <c:tx>
            <c:strRef>
              <c:f>'Stability and Capability'!$F$2:$H$2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5.9171711607247802E-2"/>
              <c:y val="0.47470817120622588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9266432"/>
        <c:crossesAt val="-100"/>
        <c:crossBetween val="midCat"/>
        <c:majorUnit val="1.0000000000000041E-3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ANOM!$B$1</c:f>
          <c:strCache>
            <c:ptCount val="1"/>
          </c:strCache>
        </c:strRef>
      </c:tx>
      <c:layout>
        <c:manualLayout>
          <c:xMode val="edge"/>
          <c:yMode val="edge"/>
          <c:x val="0.49387804316610001"/>
          <c:y val="3.86101113999747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5918462928953549E-2"/>
          <c:y val="0.24710471295983832"/>
          <c:w val="0.87551107652172278"/>
          <c:h val="0.64478886037958427"/>
        </c:manualLayout>
      </c:layout>
      <c:lineChart>
        <c:grouping val="standard"/>
        <c:ser>
          <c:idx val="1"/>
          <c:order val="1"/>
          <c:tx>
            <c:strRef>
              <c:f>ANOM!$A$37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ANOM!$B$9:$G$9</c:f>
              <c:numCache>
                <c:formatCode>General</c:formatCode>
                <c:ptCount val="6"/>
              </c:numCache>
            </c:numRef>
          </c:cat>
          <c:val>
            <c:numRef>
              <c:f>ANOM!$B$37:$G$37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ANOM!$A$38</c:f>
              <c:strCache>
                <c:ptCount val="1"/>
                <c:pt idx="0">
                  <c:v>Grand Average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ANOM!$B$9:$G$9</c:f>
              <c:numCache>
                <c:formatCode>General</c:formatCode>
                <c:ptCount val="6"/>
              </c:numCache>
            </c:numRef>
          </c:cat>
          <c:val>
            <c:numRef>
              <c:f>ANOM!$B$38:$G$38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axId val="155277184"/>
        <c:axId val="155278720"/>
      </c:lineChart>
      <c:lineChart>
        <c:grouping val="standard"/>
        <c:ser>
          <c:idx val="0"/>
          <c:order val="0"/>
          <c:tx>
            <c:strRef>
              <c:f>ANOM!$A$36</c:f>
              <c:strCache>
                <c:ptCount val="1"/>
                <c:pt idx="0">
                  <c:v>LDL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ANOM!$B$9:$G$9</c:f>
              <c:numCache>
                <c:formatCode>General</c:formatCode>
                <c:ptCount val="6"/>
              </c:numCache>
            </c:numRef>
          </c:cat>
          <c:val>
            <c:numRef>
              <c:f>ANOM!$B$36:$G$36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3"/>
          <c:order val="3"/>
          <c:tx>
            <c:strRef>
              <c:f>ANOM!$A$39</c:f>
              <c:strCache>
                <c:ptCount val="1"/>
                <c:pt idx="0">
                  <c:v>UDL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ANOM!$B$9:$G$9</c:f>
              <c:numCache>
                <c:formatCode>General</c:formatCode>
                <c:ptCount val="6"/>
              </c:numCache>
            </c:numRef>
          </c:cat>
          <c:val>
            <c:numRef>
              <c:f>ANOM!$B$39:$G$39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marker val="1"/>
        <c:axId val="155293184"/>
        <c:axId val="155294720"/>
      </c:lineChart>
      <c:catAx>
        <c:axId val="155277184"/>
        <c:scaling>
          <c:orientation val="minMax"/>
        </c:scaling>
        <c:axPos val="b"/>
        <c:numFmt formatCode="General" sourceLinked="1"/>
        <c:maj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278720"/>
        <c:crosses val="autoZero"/>
        <c:auto val="1"/>
        <c:lblAlgn val="ctr"/>
        <c:lblOffset val="100"/>
        <c:tickLblSkip val="1"/>
        <c:tickMarkSkip val="1"/>
      </c:catAx>
      <c:valAx>
        <c:axId val="155278720"/>
        <c:scaling>
          <c:orientation val="minMax"/>
        </c:scaling>
        <c:axPos val="l"/>
        <c:title>
          <c:tx>
            <c:strRef>
              <c:f>ANOM!$B$3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3.2653093763047841E-2"/>
              <c:y val="0.52895852617965389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277184"/>
        <c:crosses val="autoZero"/>
        <c:crossBetween val="between"/>
      </c:valAx>
      <c:catAx>
        <c:axId val="155293184"/>
        <c:scaling>
          <c:orientation val="minMax"/>
        </c:scaling>
        <c:delete val="1"/>
        <c:axPos val="b"/>
        <c:numFmt formatCode="General" sourceLinked="1"/>
        <c:tickLblPos val="none"/>
        <c:crossAx val="155294720"/>
        <c:crosses val="autoZero"/>
        <c:auto val="1"/>
        <c:lblAlgn val="ctr"/>
        <c:lblOffset val="100"/>
      </c:catAx>
      <c:valAx>
        <c:axId val="155294720"/>
        <c:scaling>
          <c:orientation val="minMax"/>
        </c:scaling>
        <c:delete val="1"/>
        <c:axPos val="r"/>
        <c:numFmt formatCode="General" sourceLinked="1"/>
        <c:tickLblPos val="none"/>
        <c:crossAx val="15529318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'ANOM % Defective'!$B$1</c:f>
          <c:strCache>
            <c:ptCount val="1"/>
          </c:strCache>
        </c:strRef>
      </c:tx>
      <c:layout>
        <c:manualLayout>
          <c:xMode val="edge"/>
          <c:yMode val="edge"/>
          <c:x val="0.49387804316610001"/>
          <c:y val="3.846153846153846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9.5918462928953549E-2"/>
          <c:y val="0.2461538461538462"/>
          <c:w val="0.87551107652172278"/>
          <c:h val="0.58076923076923059"/>
        </c:manualLayout>
      </c:layout>
      <c:lineChart>
        <c:grouping val="standard"/>
        <c:ser>
          <c:idx val="0"/>
          <c:order val="0"/>
          <c:tx>
            <c:strRef>
              <c:f>'ANOM % Defective'!$D$8</c:f>
              <c:strCache>
                <c:ptCount val="1"/>
                <c:pt idx="0">
                  <c:v>p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'ANOM % Defective'!$A$10:$A$12</c:f>
              <c:strCache>
                <c:ptCount val="3"/>
                <c:pt idx="0">
                  <c:v>Level 1</c:v>
                </c:pt>
                <c:pt idx="1">
                  <c:v>Level 2</c:v>
                </c:pt>
                <c:pt idx="2">
                  <c:v>Level 3</c:v>
                </c:pt>
              </c:strCache>
            </c:strRef>
          </c:cat>
          <c:val>
            <c:numRef>
              <c:f>'ANOM % Defective'!$D$10:$D$12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'ANOM % Defective'!$F$8</c:f>
              <c:strCache>
                <c:ptCount val="1"/>
                <c:pt idx="0">
                  <c:v>pbar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'ANOM % Defective'!$A$10:$A$12</c:f>
              <c:strCache>
                <c:ptCount val="3"/>
                <c:pt idx="0">
                  <c:v>Level 1</c:v>
                </c:pt>
                <c:pt idx="1">
                  <c:v>Level 2</c:v>
                </c:pt>
                <c:pt idx="2">
                  <c:v>Level 3</c:v>
                </c:pt>
              </c:strCache>
            </c:strRef>
          </c:cat>
          <c:val>
            <c:numRef>
              <c:f>'ANOM % Defective'!$F$10:$F$12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axId val="155630592"/>
        <c:axId val="155632384"/>
      </c:lineChart>
      <c:lineChart>
        <c:grouping val="standard"/>
        <c:ser>
          <c:idx val="1"/>
          <c:order val="1"/>
          <c:tx>
            <c:strRef>
              <c:f>'ANOM % Defective'!$E$8</c:f>
              <c:strCache>
                <c:ptCount val="1"/>
                <c:pt idx="0">
                  <c:v>LDL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'ANOM % Defective'!$A$10:$A$12</c:f>
              <c:strCache>
                <c:ptCount val="3"/>
                <c:pt idx="0">
                  <c:v>Level 1</c:v>
                </c:pt>
                <c:pt idx="1">
                  <c:v>Level 2</c:v>
                </c:pt>
                <c:pt idx="2">
                  <c:v>Level 3</c:v>
                </c:pt>
              </c:strCache>
            </c:strRef>
          </c:cat>
          <c:val>
            <c:numRef>
              <c:f>'ANOM % Defective'!$E$10:$E$12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'ANOM % Defective'!$G$8</c:f>
              <c:strCache>
                <c:ptCount val="1"/>
                <c:pt idx="0">
                  <c:v>UDL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'ANOM % Defective'!$A$10:$A$12</c:f>
              <c:strCache>
                <c:ptCount val="3"/>
                <c:pt idx="0">
                  <c:v>Level 1</c:v>
                </c:pt>
                <c:pt idx="1">
                  <c:v>Level 2</c:v>
                </c:pt>
                <c:pt idx="2">
                  <c:v>Level 3</c:v>
                </c:pt>
              </c:strCache>
            </c:strRef>
          </c:cat>
          <c:val>
            <c:numRef>
              <c:f>'ANOM % Defective'!$G$10:$G$12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55634304"/>
        <c:axId val="155640192"/>
      </c:lineChart>
      <c:catAx>
        <c:axId val="155630592"/>
        <c:scaling>
          <c:orientation val="minMax"/>
        </c:scaling>
        <c:axPos val="b"/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632384"/>
        <c:crosses val="autoZero"/>
        <c:auto val="1"/>
        <c:lblAlgn val="ctr"/>
        <c:lblOffset val="100"/>
        <c:tickLblSkip val="1"/>
        <c:tickMarkSkip val="1"/>
      </c:catAx>
      <c:valAx>
        <c:axId val="155632384"/>
        <c:scaling>
          <c:orientation val="minMax"/>
          <c:max val="0.60000000000000064"/>
        </c:scaling>
        <c:axPos val="l"/>
        <c:title>
          <c:tx>
            <c:strRef>
              <c:f>'ANOM % Defective'!$B$3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3.2653093763047841E-2"/>
              <c:y val="0.4961538461538475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5630592"/>
        <c:crosses val="autoZero"/>
        <c:crossBetween val="between"/>
        <c:majorUnit val="0.1"/>
      </c:valAx>
      <c:catAx>
        <c:axId val="155634304"/>
        <c:scaling>
          <c:orientation val="minMax"/>
        </c:scaling>
        <c:delete val="1"/>
        <c:axPos val="b"/>
        <c:tickLblPos val="none"/>
        <c:crossAx val="155640192"/>
        <c:crosses val="autoZero"/>
        <c:auto val="1"/>
        <c:lblAlgn val="ctr"/>
        <c:lblOffset val="100"/>
      </c:catAx>
      <c:valAx>
        <c:axId val="155640192"/>
        <c:scaling>
          <c:orientation val="minMax"/>
        </c:scaling>
        <c:delete val="1"/>
        <c:axPos val="r"/>
        <c:numFmt formatCode="General" sourceLinked="1"/>
        <c:tickLblPos val="none"/>
        <c:crossAx val="155634304"/>
        <c:crosses val="max"/>
        <c:crossBetween val="between"/>
        <c:majorUnit val="0.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Regression!$C$1</c:f>
          <c:strCache>
            <c:ptCount val="1"/>
          </c:strCache>
        </c:strRef>
      </c:tx>
      <c:layout>
        <c:manualLayout>
          <c:xMode val="edge"/>
          <c:yMode val="edge"/>
          <c:x val="0.49658369583715045"/>
          <c:y val="3.191493506240529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3439650483665919"/>
          <c:y val="0.25265990257737514"/>
          <c:w val="0.75398717120227432"/>
          <c:h val="0.58776672073262382"/>
        </c:manualLayout>
      </c:layout>
      <c:scatterChart>
        <c:scatterStyle val="lineMarker"/>
        <c:ser>
          <c:idx val="0"/>
          <c:order val="0"/>
          <c:tx>
            <c:strRef>
              <c:f>Regression!$C$4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</c:trendlineLbl>
          </c:trendline>
          <c:xVal>
            <c:numRef>
              <c:f>Regression!$B$5:$B$46</c:f>
              <c:numCache>
                <c:formatCode>General</c:formatCode>
                <c:ptCount val="42"/>
              </c:numCache>
            </c:numRef>
          </c:xVal>
          <c:yVal>
            <c:numRef>
              <c:f>Regression!$C$5:$C$46</c:f>
              <c:numCache>
                <c:formatCode>General</c:formatCode>
                <c:ptCount val="42"/>
              </c:numCache>
            </c:numRef>
          </c:yVal>
        </c:ser>
        <c:ser>
          <c:idx val="4"/>
          <c:order val="1"/>
          <c:tx>
            <c:strRef>
              <c:f>Regression!$D$4</c:f>
              <c:strCache>
                <c:ptCount val="1"/>
                <c:pt idx="0">
                  <c:v>Lower Y Spec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Regression!$B$5:$B$46</c:f>
              <c:numCache>
                <c:formatCode>General</c:formatCode>
                <c:ptCount val="42"/>
              </c:numCache>
            </c:numRef>
          </c:xVal>
          <c:yVal>
            <c:numRef>
              <c:f>Regression!$D$5:$D$46</c:f>
              <c:numCache>
                <c:formatCode>General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</c:ser>
        <c:ser>
          <c:idx val="5"/>
          <c:order val="2"/>
          <c:tx>
            <c:strRef>
              <c:f>Regression!$E$4</c:f>
              <c:strCache>
                <c:ptCount val="1"/>
                <c:pt idx="0">
                  <c:v>Upper Y Spec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Regression!$B$5:$B$46</c:f>
              <c:numCache>
                <c:formatCode>General</c:formatCode>
                <c:ptCount val="42"/>
              </c:numCache>
            </c:numRef>
          </c:xVal>
          <c:yVal>
            <c:numRef>
              <c:f>Regression!$E$5:$E$46</c:f>
              <c:numCache>
                <c:formatCode>General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</c:ser>
        <c:axId val="162346880"/>
        <c:axId val="162357248"/>
      </c:scatterChart>
      <c:valAx>
        <c:axId val="162346880"/>
        <c:scaling>
          <c:orientation val="minMax"/>
        </c:scaling>
        <c:axPos val="b"/>
        <c:title>
          <c:tx>
            <c:strRef>
              <c:f>Regression!$C$2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0569532328370403"/>
              <c:y val="0.91223522720041761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2357248"/>
        <c:crosses val="autoZero"/>
        <c:crossBetween val="midCat"/>
      </c:valAx>
      <c:valAx>
        <c:axId val="162357248"/>
        <c:scaling>
          <c:orientation val="minMax"/>
        </c:scaling>
        <c:axPos val="l"/>
        <c:title>
          <c:tx>
            <c:strRef>
              <c:f>Regression!$C$3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6.8337205849149207E-2"/>
              <c:y val="0.52127727268595292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23468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span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Hypothesis Test Results Plotted in Run Order</a:t>
            </a:r>
          </a:p>
        </c:rich>
      </c:tx>
      <c:layout>
        <c:manualLayout>
          <c:xMode val="edge"/>
          <c:yMode val="edge"/>
          <c:x val="0.18367346938775511"/>
          <c:y val="4.184100418410039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989795918367346"/>
          <c:y val="0.23849372384937323"/>
          <c:w val="0.84438775510204056"/>
          <c:h val="0.56066945606694563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'Simple Hi vs Lo'!$M$11:$M$16</c:f>
              <c:numCache>
                <c:formatCode>General</c:formatCode>
                <c:ptCount val="6"/>
              </c:numCache>
            </c:numRef>
          </c:val>
        </c:ser>
        <c:marker val="1"/>
        <c:axId val="168531072"/>
        <c:axId val="168533376"/>
      </c:lineChart>
      <c:catAx>
        <c:axId val="168531072"/>
        <c:scaling>
          <c:orientation val="minMax"/>
        </c:scaling>
        <c:axPos val="b"/>
        <c:title>
          <c:tx>
            <c:strRef>
              <c:f>'Simple Hi vs Lo'!$F$2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3571428571428559"/>
              <c:y val="0.84937238493723299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25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8533376"/>
        <c:crosses val="autoZero"/>
        <c:auto val="1"/>
        <c:lblAlgn val="ctr"/>
        <c:lblOffset val="100"/>
        <c:tickLblSkip val="1"/>
        <c:tickMarkSkip val="1"/>
      </c:catAx>
      <c:valAx>
        <c:axId val="168533376"/>
        <c:scaling>
          <c:orientation val="minMax"/>
        </c:scaling>
        <c:axPos val="l"/>
        <c:title>
          <c:tx>
            <c:strRef>
              <c:f>'Simple Hi vs Lo'!$F$1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4.0816326530612533E-2"/>
              <c:y val="0.48117154811715485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25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853107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89" r="0.75000000000000289" t="1" header="0.5" footer="0.5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Interval Plot of Hi vs Lo Subgroups</a:t>
            </a:r>
          </a:p>
        </c:rich>
      </c:tx>
      <c:layout>
        <c:manualLayout>
          <c:xMode val="edge"/>
          <c:yMode val="edge"/>
          <c:x val="0.25575479509020732"/>
          <c:y val="4.219426668919227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020475369239741"/>
          <c:y val="0.24050732012839679"/>
          <c:w val="0.84399082379768464"/>
          <c:h val="0.49367292026355142"/>
        </c:manualLayout>
      </c:layout>
      <c:stockChart>
        <c:ser>
          <c:idx val="0"/>
          <c:order val="0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axId val="168612992"/>
        <c:axId val="168614912"/>
      </c:stockChart>
      <c:catAx>
        <c:axId val="168612992"/>
        <c:scaling>
          <c:orientation val="minMax"/>
        </c:scaling>
        <c:axPos val="b"/>
        <c:title>
          <c:tx>
            <c:strRef>
              <c:f>'Simple Hi vs Lo'!$F$2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370850696894357"/>
              <c:y val="0.84810476045276428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25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8614912"/>
        <c:crosses val="autoZero"/>
        <c:auto val="1"/>
        <c:lblAlgn val="ctr"/>
        <c:lblOffset val="100"/>
        <c:tickLblSkip val="1"/>
        <c:tickMarkSkip val="1"/>
      </c:catAx>
      <c:valAx>
        <c:axId val="168614912"/>
        <c:scaling>
          <c:orientation val="minMax"/>
        </c:scaling>
        <c:axPos val="l"/>
        <c:title>
          <c:tx>
            <c:strRef>
              <c:f>'Simple Hi vs Lo'!$F$1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4.0920767214433183E-2"/>
              <c:y val="0.44725922690543779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25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861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89" r="0.75000000000000289" t="1" header="0.5" footer="0.5"/>
    <c:pageSetup orientation="landscape" horizontalDpi="200" verticalDpi="200"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Hypothesis Test Results Plotted in Run Order</a:t>
            </a:r>
          </a:p>
        </c:rich>
      </c:tx>
      <c:layout>
        <c:manualLayout>
          <c:xMode val="edge"/>
          <c:yMode val="edge"/>
          <c:x val="0.18367346938775511"/>
          <c:y val="4.000017361186461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989795918367346"/>
          <c:y val="0.25333443287514268"/>
          <c:w val="0.84438775510204056"/>
          <c:h val="0.5422245756274986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'Large Hi vs Lo'!$P$9:$P$28</c:f>
              <c:numCache>
                <c:formatCode>General</c:formatCode>
                <c:ptCount val="20"/>
              </c:numCache>
            </c:numRef>
          </c:val>
        </c:ser>
        <c:marker val="1"/>
        <c:axId val="168708736"/>
        <c:axId val="168805504"/>
      </c:lineChart>
      <c:catAx>
        <c:axId val="168708736"/>
        <c:scaling>
          <c:orientation val="minMax"/>
        </c:scaling>
        <c:axPos val="b"/>
        <c:title>
          <c:tx>
            <c:strRef>
              <c:f>'Large Hi vs Lo'!$F$2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3571428571428559"/>
              <c:y val="0.84000364584915732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8805504"/>
        <c:crosses val="autoZero"/>
        <c:auto val="1"/>
        <c:lblAlgn val="ctr"/>
        <c:lblOffset val="100"/>
        <c:tickLblSkip val="1"/>
        <c:tickMarkSkip val="1"/>
      </c:catAx>
      <c:valAx>
        <c:axId val="168805504"/>
        <c:scaling>
          <c:orientation val="minMax"/>
        </c:scaling>
        <c:axPos val="l"/>
        <c:title>
          <c:tx>
            <c:strRef>
              <c:f>'Large Hi vs Lo'!$F$1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4.0816326530612533E-2"/>
              <c:y val="0.48444654707702861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870873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89" r="0.75000000000000289" t="1" header="0.5" footer="0.5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Interval Plot of Hi vs Lo Subgroups</a:t>
            </a:r>
          </a:p>
        </c:rich>
      </c:tx>
      <c:layout>
        <c:manualLayout>
          <c:xMode val="edge"/>
          <c:yMode val="edge"/>
          <c:x val="0.25575479509020732"/>
          <c:y val="3.9370078740157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020475369239741"/>
          <c:y val="0.22834645669291423"/>
          <c:w val="0.73145871395799278"/>
          <c:h val="0.52362204724409755"/>
        </c:manualLayout>
      </c:layout>
      <c:stockChart>
        <c:ser>
          <c:idx val="0"/>
          <c:order val="0"/>
          <c:tx>
            <c:strRef>
              <c:f>'Large Hi vs Lo'!$S$29</c:f>
              <c:strCache>
                <c:ptCount val="1"/>
                <c:pt idx="0">
                  <c:v>Min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'Large Hi vs Lo'!$S$30:$S$31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'Large Hi vs Lo'!$T$29</c:f>
              <c:strCache>
                <c:ptCount val="1"/>
                <c:pt idx="0">
                  <c:v>Median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'Large Hi vs Lo'!$T$30:$T$31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'Large Hi vs Lo'!$U$29</c:f>
              <c:strCache>
                <c:ptCount val="1"/>
                <c:pt idx="0">
                  <c:v>Max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'Large Hi vs Lo'!$U$30:$U$31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axId val="168872576"/>
        <c:axId val="170267392"/>
      </c:stockChart>
      <c:catAx>
        <c:axId val="168872576"/>
        <c:scaling>
          <c:orientation val="minMax"/>
        </c:scaling>
        <c:axPos val="b"/>
        <c:title>
          <c:tx>
            <c:strRef>
              <c:f>'Large Hi vs Lo'!$F$2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48081901476958988"/>
              <c:y val="0.85826771653543465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25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0267392"/>
        <c:crosses val="autoZero"/>
        <c:auto val="1"/>
        <c:lblAlgn val="ctr"/>
        <c:lblOffset val="100"/>
        <c:tickLblSkip val="1"/>
        <c:tickMarkSkip val="1"/>
      </c:catAx>
      <c:valAx>
        <c:axId val="170267392"/>
        <c:scaling>
          <c:orientation val="minMax"/>
        </c:scaling>
        <c:axPos val="l"/>
        <c:title>
          <c:tx>
            <c:strRef>
              <c:f>'Large Hi vs Lo'!$F$1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4.0920767214433183E-2"/>
              <c:y val="0.452755905511811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25" b="0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887257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979649511031577"/>
          <c:y val="0.41338582677165564"/>
          <c:w val="9.9744370085181583E-2"/>
          <c:h val="0.1574803149606306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89" r="0.75000000000000289" t="1" header="0.5" footer="0.5"/>
    <c:pageSetup orientation="landscape" horizontalDpi="200" verticalDpi="200"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Hypothesis Test Results Plotted in Run Order</a:t>
            </a:r>
          </a:p>
        </c:rich>
      </c:tx>
      <c:layout>
        <c:manualLayout>
          <c:xMode val="edge"/>
          <c:yMode val="edge"/>
          <c:x val="0.18367346938775511"/>
          <c:y val="3.982309488880774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204081632653061"/>
          <c:y val="0.2522129342957824"/>
          <c:w val="0.8622448979591899"/>
          <c:h val="0.64159430654190264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#REF!</c:f>
            </c:multiLvlStrRef>
          </c:cat>
          <c:val>
            <c:numRef>
              <c:f>'Bounded Test'!$P$10:$P$49</c:f>
              <c:numCache>
                <c:formatCode>General</c:formatCode>
                <c:ptCount val="40"/>
              </c:numCache>
            </c:numRef>
          </c:val>
        </c:ser>
        <c:marker val="1"/>
        <c:axId val="170893696"/>
        <c:axId val="170895616"/>
      </c:lineChart>
      <c:catAx>
        <c:axId val="1708936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0895616"/>
        <c:crosses val="autoZero"/>
        <c:auto val="1"/>
        <c:lblAlgn val="ctr"/>
        <c:lblOffset val="100"/>
        <c:tickLblSkip val="1"/>
        <c:tickMarkSkip val="1"/>
      </c:catAx>
      <c:valAx>
        <c:axId val="170895616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089369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89" r="0.75000000000000289" t="1" header="0.5" footer="0.5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Interval Plot of Hi vs Lo Subgroups</a:t>
            </a:r>
          </a:p>
        </c:rich>
      </c:tx>
      <c:layout>
        <c:manualLayout>
          <c:xMode val="edge"/>
          <c:yMode val="edge"/>
          <c:x val="0.25575479509020732"/>
          <c:y val="3.984063745019943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230191803608292"/>
          <c:y val="0.23107569721115537"/>
          <c:w val="0.74936154961430723"/>
          <c:h val="0.60557768924302791"/>
        </c:manualLayout>
      </c:layout>
      <c:stockChart>
        <c:ser>
          <c:idx val="0"/>
          <c:order val="0"/>
          <c:tx>
            <c:strRef>
              <c:f>'Bounded Test'!$S$50</c:f>
              <c:strCache>
                <c:ptCount val="1"/>
                <c:pt idx="0">
                  <c:v>Min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'Bounded Test'!$R$51:$R$52</c:f>
              <c:strCache>
                <c:ptCount val="2"/>
                <c:pt idx="0">
                  <c:v>Lo</c:v>
                </c:pt>
                <c:pt idx="1">
                  <c:v>Hi </c:v>
                </c:pt>
              </c:strCache>
            </c:strRef>
          </c:cat>
          <c:val>
            <c:numRef>
              <c:f>'Bounded Test'!$S$51:$S$52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'Bounded Test'!$T$50</c:f>
              <c:strCache>
                <c:ptCount val="1"/>
                <c:pt idx="0">
                  <c:v>Median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'Bounded Test'!$R$51:$R$52</c:f>
              <c:strCache>
                <c:ptCount val="2"/>
                <c:pt idx="0">
                  <c:v>Lo</c:v>
                </c:pt>
                <c:pt idx="1">
                  <c:v>Hi </c:v>
                </c:pt>
              </c:strCache>
            </c:strRef>
          </c:cat>
          <c:val>
            <c:numRef>
              <c:f>'Bounded Test'!$T$51:$T$52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'Bounded Test'!$U$50</c:f>
              <c:strCache>
                <c:ptCount val="1"/>
                <c:pt idx="0">
                  <c:v>Max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'Bounded Test'!$R$51:$R$52</c:f>
              <c:strCache>
                <c:ptCount val="2"/>
                <c:pt idx="0">
                  <c:v>Lo</c:v>
                </c:pt>
                <c:pt idx="1">
                  <c:v>Hi </c:v>
                </c:pt>
              </c:strCache>
            </c:strRef>
          </c:cat>
          <c:val>
            <c:numRef>
              <c:f>'Bounded Test'!$U$51:$U$52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axId val="171183488"/>
        <c:axId val="171189376"/>
      </c:stockChart>
      <c:catAx>
        <c:axId val="171183488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1189376"/>
        <c:crosses val="autoZero"/>
        <c:auto val="1"/>
        <c:lblAlgn val="ctr"/>
        <c:lblOffset val="100"/>
        <c:tickLblSkip val="1"/>
        <c:tickMarkSkip val="1"/>
      </c:catAx>
      <c:valAx>
        <c:axId val="171189376"/>
        <c:scaling>
          <c:orientation val="minMax"/>
        </c:scaling>
        <c:axPos val="l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11834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979649511031577"/>
          <c:y val="0.45418326693227246"/>
          <c:w val="9.9744370085181583E-2"/>
          <c:h val="0.1593625498007976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89" r="0.75000000000000289" t="1" header="0.5" footer="0.5"/>
    <c:pageSetup orientation="landscape" horizontalDpi="200" verticalDpi="200"/>
  </c:printSettings>
  <c:userShapes r:id="rId1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'Realistic Tolerancing'!$C$1</c:f>
          <c:strCache>
            <c:ptCount val="1"/>
            <c:pt idx="0">
              <c:v>Realistic Tolerancing for </c:v>
            </c:pt>
          </c:strCache>
        </c:strRef>
      </c:tx>
      <c:layout>
        <c:manualLayout>
          <c:xMode val="edge"/>
          <c:yMode val="edge"/>
          <c:x val="0.33940812238410822"/>
          <c:y val="3.157894736842126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3439650483665919"/>
          <c:y val="0.25263157894736843"/>
          <c:w val="0.75626507806391263"/>
          <c:h val="0.58947368421052626"/>
        </c:manualLayout>
      </c:layout>
      <c:scatterChart>
        <c:scatterStyle val="lineMarker"/>
        <c:ser>
          <c:idx val="0"/>
          <c:order val="0"/>
          <c:tx>
            <c:strRef>
              <c:f>'Realistic Tolerancing'!$C$4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'Realistic Tolerancing'!$B$5:$B$46</c:f>
              <c:numCache>
                <c:formatCode>General</c:formatCode>
                <c:ptCount val="42"/>
              </c:numCache>
            </c:numRef>
          </c:xVal>
          <c:yVal>
            <c:numRef>
              <c:f>'Realistic Tolerancing'!$C$5:$C$46</c:f>
              <c:numCache>
                <c:formatCode>General</c:formatCode>
                <c:ptCount val="42"/>
              </c:numCache>
            </c:numRef>
          </c:yVal>
        </c:ser>
        <c:ser>
          <c:idx val="1"/>
          <c:order val="1"/>
          <c:tx>
            <c:strRef>
              <c:f>'Realistic Tolerancing'!$D$4</c:f>
              <c:strCache>
                <c:ptCount val="1"/>
                <c:pt idx="0">
                  <c:v>Lower Limit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'Realistic Tolerancing'!$B$5:$B$46</c:f>
              <c:numCache>
                <c:formatCode>General</c:formatCode>
                <c:ptCount val="42"/>
              </c:numCache>
            </c:numRef>
          </c:xVal>
          <c:yVal>
            <c:numRef>
              <c:f>'Realistic Tolerancing'!$D$5:$D$46</c:f>
              <c:numCache>
                <c:formatCode>0.00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</c:ser>
        <c:ser>
          <c:idx val="2"/>
          <c:order val="2"/>
          <c:tx>
            <c:strRef>
              <c:f>'Realistic Tolerancing'!$E$4</c:f>
              <c:strCache>
                <c:ptCount val="1"/>
                <c:pt idx="0">
                  <c:v>Expected Value</c:v>
                </c:pt>
              </c:strCache>
            </c:strRef>
          </c:tx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'Realistic Tolerancing'!$B$5:$B$46</c:f>
              <c:numCache>
                <c:formatCode>General</c:formatCode>
                <c:ptCount val="42"/>
              </c:numCache>
            </c:numRef>
          </c:xVal>
          <c:yVal>
            <c:numRef>
              <c:f>'Realistic Tolerancing'!$E$5:$E$46</c:f>
              <c:numCache>
                <c:formatCode>0.00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</c:ser>
        <c:ser>
          <c:idx val="3"/>
          <c:order val="3"/>
          <c:tx>
            <c:strRef>
              <c:f>'Realistic Tolerancing'!$F$4</c:f>
              <c:strCache>
                <c:ptCount val="1"/>
                <c:pt idx="0">
                  <c:v>Upper Limit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'Realistic Tolerancing'!$B$5:$B$46</c:f>
              <c:numCache>
                <c:formatCode>General</c:formatCode>
                <c:ptCount val="42"/>
              </c:numCache>
            </c:numRef>
          </c:xVal>
          <c:yVal>
            <c:numRef>
              <c:f>'Realistic Tolerancing'!$F$5:$F$46</c:f>
              <c:numCache>
                <c:formatCode>0.00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</c:ser>
        <c:ser>
          <c:idx val="4"/>
          <c:order val="4"/>
          <c:tx>
            <c:strRef>
              <c:f>'Realistic Tolerancing'!$G$4</c:f>
              <c:strCache>
                <c:ptCount val="1"/>
                <c:pt idx="0">
                  <c:v>Lower Y Spec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'Realistic Tolerancing'!$B$5:$B$46</c:f>
              <c:numCache>
                <c:formatCode>General</c:formatCode>
                <c:ptCount val="42"/>
              </c:numCache>
            </c:numRef>
          </c:xVal>
          <c:yVal>
            <c:numRef>
              <c:f>'Realistic Tolerancing'!$G$5:$G$46</c:f>
              <c:numCache>
                <c:formatCode>General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</c:ser>
        <c:ser>
          <c:idx val="5"/>
          <c:order val="5"/>
          <c:tx>
            <c:strRef>
              <c:f>'Realistic Tolerancing'!$H$4</c:f>
              <c:strCache>
                <c:ptCount val="1"/>
                <c:pt idx="0">
                  <c:v>Upper Y Spec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'Realistic Tolerancing'!$B$5:$B$46</c:f>
              <c:numCache>
                <c:formatCode>General</c:formatCode>
                <c:ptCount val="42"/>
              </c:numCache>
            </c:numRef>
          </c:xVal>
          <c:yVal>
            <c:numRef>
              <c:f>'Realistic Tolerancing'!$H$5:$H$46</c:f>
              <c:numCache>
                <c:formatCode>General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</c:ser>
        <c:axId val="176421504"/>
        <c:axId val="182821632"/>
      </c:scatterChart>
      <c:valAx>
        <c:axId val="176421504"/>
        <c:scaling>
          <c:orientation val="minMax"/>
        </c:scaling>
        <c:axPos val="b"/>
        <c:title>
          <c:tx>
            <c:strRef>
              <c:f>'Realistic Tolerancing'!$C$2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50797323014533891"/>
              <c:y val="0.91315789473684206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2821632"/>
        <c:crosses val="autoZero"/>
        <c:crossBetween val="midCat"/>
      </c:valAx>
      <c:valAx>
        <c:axId val="182821632"/>
        <c:scaling>
          <c:orientation val="minMax"/>
        </c:scaling>
        <c:axPos val="l"/>
        <c:title>
          <c:tx>
            <c:strRef>
              <c:f>'Realistic Tolerancing'!$C$3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6.8337205849149207E-2"/>
              <c:y val="0.52368421052631575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64215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15261975972976549"/>
          <c:y val="0.12368421052631627"/>
          <c:w val="0.69476159279967875"/>
          <c:h val="7.6315789473684212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span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78" r="0.75000000000000278" t="1" header="0.5" footer="0.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'Tool Wear Targets'!$C$1</c:f>
          <c:strCache>
            <c:ptCount val="1"/>
            <c:pt idx="0">
              <c:v>Tool Wear Targets for </c:v>
            </c:pt>
          </c:strCache>
        </c:strRef>
      </c:tx>
      <c:layout>
        <c:manualLayout>
          <c:xMode val="edge"/>
          <c:yMode val="edge"/>
          <c:x val="0.38273921200750471"/>
          <c:y val="3.131997893941148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4821763602251486"/>
          <c:y val="0.30425122398285642"/>
          <c:w val="0.74484052532833323"/>
          <c:h val="0.53020250061718011"/>
        </c:manualLayout>
      </c:layout>
      <c:scatterChart>
        <c:scatterStyle val="lineMarker"/>
        <c:ser>
          <c:idx val="0"/>
          <c:order val="0"/>
          <c:tx>
            <c:strRef>
              <c:f>'Tool Wear Targets'!$C$4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'Tool Wear Targets'!$B$5:$B$256</c:f>
              <c:numCache>
                <c:formatCode>General</c:formatCode>
                <c:ptCount val="252"/>
              </c:numCache>
            </c:numRef>
          </c:xVal>
          <c:yVal>
            <c:numRef>
              <c:f>'Tool Wear Targets'!$C$5:$C$256</c:f>
              <c:numCache>
                <c:formatCode>General</c:formatCode>
                <c:ptCount val="252"/>
              </c:numCache>
            </c:numRef>
          </c:yVal>
        </c:ser>
        <c:ser>
          <c:idx val="1"/>
          <c:order val="1"/>
          <c:tx>
            <c:strRef>
              <c:f>'Tool Wear Targets'!$D$4</c:f>
              <c:strCache>
                <c:ptCount val="1"/>
                <c:pt idx="0">
                  <c:v>Lower Limit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'Tool Wear Targets'!$B$5:$B$256</c:f>
              <c:numCache>
                <c:formatCode>General</c:formatCode>
                <c:ptCount val="252"/>
              </c:numCache>
            </c:numRef>
          </c:xVal>
          <c:yVal>
            <c:numRef>
              <c:f>'Tool Wear Targets'!$D$5:$D$256</c:f>
              <c:numCache>
                <c:formatCode>0.00</c:formatCode>
                <c:ptCount val="2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</c:numCache>
            </c:numRef>
          </c:yVal>
        </c:ser>
        <c:ser>
          <c:idx val="2"/>
          <c:order val="2"/>
          <c:tx>
            <c:strRef>
              <c:f>'Tool Wear Targets'!$E$4</c:f>
              <c:strCache>
                <c:ptCount val="1"/>
                <c:pt idx="0">
                  <c:v>Expected Value</c:v>
                </c:pt>
              </c:strCache>
            </c:strRef>
          </c:tx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'Tool Wear Targets'!$B$5:$B$256</c:f>
              <c:numCache>
                <c:formatCode>General</c:formatCode>
                <c:ptCount val="252"/>
              </c:numCache>
            </c:numRef>
          </c:xVal>
          <c:yVal>
            <c:numRef>
              <c:f>'Tool Wear Targets'!$E$5:$E$256</c:f>
              <c:numCache>
                <c:formatCode>0.00</c:formatCode>
                <c:ptCount val="2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</c:numCache>
            </c:numRef>
          </c:yVal>
        </c:ser>
        <c:ser>
          <c:idx val="3"/>
          <c:order val="3"/>
          <c:tx>
            <c:strRef>
              <c:f>'Tool Wear Targets'!$F$4</c:f>
              <c:strCache>
                <c:ptCount val="1"/>
                <c:pt idx="0">
                  <c:v>Upper Limit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'Tool Wear Targets'!$B$5:$B$256</c:f>
              <c:numCache>
                <c:formatCode>General</c:formatCode>
                <c:ptCount val="252"/>
              </c:numCache>
            </c:numRef>
          </c:xVal>
          <c:yVal>
            <c:numRef>
              <c:f>'Tool Wear Targets'!$F$5:$F$256</c:f>
              <c:numCache>
                <c:formatCode>0.00</c:formatCode>
                <c:ptCount val="2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</c:numCache>
            </c:numRef>
          </c:yVal>
        </c:ser>
        <c:ser>
          <c:idx val="4"/>
          <c:order val="4"/>
          <c:tx>
            <c:strRef>
              <c:f>'Tool Wear Targets'!$G$4</c:f>
              <c:strCache>
                <c:ptCount val="1"/>
                <c:pt idx="0">
                  <c:v>Lower Y Spec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'Tool Wear Targets'!$B$5:$B$256</c:f>
              <c:numCache>
                <c:formatCode>General</c:formatCode>
                <c:ptCount val="252"/>
              </c:numCache>
            </c:numRef>
          </c:xVal>
          <c:yVal>
            <c:numRef>
              <c:f>'Tool Wear Targets'!$G$5:$G$256</c:f>
              <c:numCache>
                <c:formatCode>General</c:formatCode>
                <c:ptCount val="2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</c:numCache>
            </c:numRef>
          </c:yVal>
        </c:ser>
        <c:ser>
          <c:idx val="5"/>
          <c:order val="5"/>
          <c:tx>
            <c:strRef>
              <c:f>'Tool Wear Targets'!$H$4</c:f>
              <c:strCache>
                <c:ptCount val="1"/>
                <c:pt idx="0">
                  <c:v>Upper Y Spec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'Tool Wear Targets'!$B$5:$B$256</c:f>
              <c:numCache>
                <c:formatCode>General</c:formatCode>
                <c:ptCount val="252"/>
              </c:numCache>
            </c:numRef>
          </c:xVal>
          <c:yVal>
            <c:numRef>
              <c:f>'Tool Wear Targets'!$H$5:$H$256</c:f>
              <c:numCache>
                <c:formatCode>General</c:formatCode>
                <c:ptCount val="25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</c:numCache>
            </c:numRef>
          </c:yVal>
        </c:ser>
        <c:ser>
          <c:idx val="6"/>
          <c:order val="6"/>
          <c:tx>
            <c:strRef>
              <c:f>'Tool Wear Targets'!$I$4</c:f>
              <c:strCache>
                <c:ptCount val="1"/>
                <c:pt idx="0">
                  <c:v>LTL</c:v>
                </c:pt>
              </c:strCache>
            </c:strRef>
          </c:tx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'Tool Wear Targets'!$B$5:$B$256</c:f>
              <c:numCache>
                <c:formatCode>General</c:formatCode>
                <c:ptCount val="252"/>
              </c:numCache>
            </c:numRef>
          </c:xVal>
          <c:yVal>
            <c:numRef>
              <c:f>'Tool Wear Targets'!$I$5:$I$256</c:f>
              <c:numCache>
                <c:formatCode>General</c:formatCode>
                <c:ptCount val="2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</c:numCache>
            </c:numRef>
          </c:yVal>
        </c:ser>
        <c:ser>
          <c:idx val="7"/>
          <c:order val="7"/>
          <c:tx>
            <c:strRef>
              <c:f>'Tool Wear Targets'!$J$4</c:f>
              <c:strCache>
                <c:ptCount val="1"/>
                <c:pt idx="0">
                  <c:v>UTL</c:v>
                </c:pt>
              </c:strCache>
            </c:strRef>
          </c:tx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'Tool Wear Targets'!$B$5:$B$256</c:f>
              <c:numCache>
                <c:formatCode>General</c:formatCode>
                <c:ptCount val="252"/>
              </c:numCache>
            </c:numRef>
          </c:xVal>
          <c:yVal>
            <c:numRef>
              <c:f>'Tool Wear Targets'!$J$5:$J$256</c:f>
              <c:numCache>
                <c:formatCode>General</c:formatCode>
                <c:ptCount val="2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</c:numCache>
            </c:numRef>
          </c:yVal>
        </c:ser>
        <c:axId val="183212672"/>
        <c:axId val="183247616"/>
      </c:scatterChart>
      <c:valAx>
        <c:axId val="183212672"/>
        <c:scaling>
          <c:orientation val="minMax"/>
          <c:max val="52"/>
          <c:min val="0"/>
        </c:scaling>
        <c:axPos val="b"/>
        <c:title>
          <c:tx>
            <c:strRef>
              <c:f>'Tool Wear Targets'!$C$2:$F$2</c:f>
              <c:strCache>
                <c:ptCount val="1"/>
                <c:pt idx="0">
                  <c:v>Tool Wear Targets for </c:v>
                </c:pt>
              </c:strCache>
            </c:strRef>
          </c:tx>
          <c:layout>
            <c:manualLayout>
              <c:xMode val="edge"/>
              <c:yMode val="edge"/>
              <c:x val="0.3646205489135993"/>
              <c:y val="0.92720958777211659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3247616"/>
        <c:crosses val="autoZero"/>
        <c:crossBetween val="midCat"/>
      </c:valAx>
      <c:valAx>
        <c:axId val="183247616"/>
        <c:scaling>
          <c:orientation val="minMax"/>
          <c:max val="7.46"/>
          <c:min val="7.39"/>
        </c:scaling>
        <c:axPos val="l"/>
        <c:title>
          <c:tx>
            <c:strRef>
              <c:f>'Tool Wear Targets'!$C$3:$F$3</c:f>
              <c:strCache>
                <c:ptCount val="1"/>
                <c:pt idx="0">
                  <c:v>Y</c:v>
                </c:pt>
              </c:strCache>
            </c:strRef>
          </c:tx>
          <c:layout>
            <c:manualLayout>
              <c:xMode val="edge"/>
              <c:yMode val="edge"/>
              <c:x val="5.6285178236397747E-2"/>
              <c:y val="0.5548110554981492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800" b="1" i="0" u="none" strike="noStrike" baseline="0">
                  <a:solidFill>
                    <a:srgbClr val="000000"/>
                  </a:solidFill>
                  <a:latin typeface="Times New Roman"/>
                  <a:ea typeface="Times New Roman"/>
                  <a:cs typeface="Times New Roman"/>
                </a:defRPr>
              </a:pPr>
              <a:endParaRPr lang="en-US"/>
            </a:p>
          </c:txPr>
        </c:title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32126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4.3151969981238304E-2"/>
          <c:y val="0.13870276387453656"/>
          <c:w val="0.8968105065666041"/>
          <c:h val="9.1722795465419726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span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'True Position'!$B$1:$D$1</c:f>
          <c:strCache>
            <c:ptCount val="1"/>
          </c:strCache>
        </c:strRef>
      </c:tx>
      <c:layout>
        <c:manualLayout>
          <c:xMode val="edge"/>
          <c:yMode val="edge"/>
          <c:x val="0.49600000000000088"/>
          <c:y val="3.1674243135608682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2200000000000009"/>
          <c:y val="0.14932143192501229"/>
          <c:w val="0.69399999999999995"/>
          <c:h val="0.71040802461293728"/>
        </c:manualLayout>
      </c:layout>
      <c:scatterChart>
        <c:scatterStyle val="smoothMarker"/>
        <c:ser>
          <c:idx val="0"/>
          <c:order val="0"/>
          <c:tx>
            <c:strRef>
              <c:f>'True Position'!$F$9</c:f>
              <c:strCache>
                <c:ptCount val="1"/>
                <c:pt idx="0">
                  <c:v>Y SPEC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'True Position'!$E$10:$E$46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xVal>
          <c:yVal>
            <c:numRef>
              <c:f>'True Position'!$F$10:$F$46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True Position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'True Position'!$B$10:$B$409</c:f>
              <c:numCache>
                <c:formatCode>General</c:formatCode>
                <c:ptCount val="400"/>
              </c:numCache>
            </c:numRef>
          </c:xVal>
          <c:yVal>
            <c:numRef>
              <c:f>'True Position'!$C$10:$C$409</c:f>
              <c:numCache>
                <c:formatCode>General</c:formatCode>
                <c:ptCount val="400"/>
              </c:numCache>
            </c:numRef>
          </c:yVal>
          <c:smooth val="1"/>
        </c:ser>
        <c:ser>
          <c:idx val="2"/>
          <c:order val="2"/>
          <c:tx>
            <c:strRef>
              <c:f>'True Position'!$B$5:$C$5</c:f>
              <c:strCache>
                <c:ptCount val="1"/>
                <c:pt idx="0">
                  <c:v>Nominal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'True Position'!$B$7</c:f>
              <c:numCache>
                <c:formatCode>General</c:formatCode>
                <c:ptCount val="1"/>
              </c:numCache>
            </c:numRef>
          </c:xVal>
          <c:yVal>
            <c:numRef>
              <c:f>'True Position'!$C$7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3"/>
          <c:order val="3"/>
          <c:tx>
            <c:v>Center Lines</c:v>
          </c:tx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'True Position'!$E$49:$E$55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'True Position'!$F$49:$F$55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</c:ser>
        <c:axId val="183287168"/>
        <c:axId val="183318016"/>
      </c:scatterChart>
      <c:valAx>
        <c:axId val="183287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45800000000000002"/>
              <c:y val="0.9208154968709091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318016"/>
        <c:crosses val="autoZero"/>
        <c:crossBetween val="midCat"/>
      </c:valAx>
      <c:valAx>
        <c:axId val="1833180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3.0000000000000002E-2"/>
              <c:y val="0.4932132145401917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2871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Method Comparison:  Categorical Data</a:t>
            </a:r>
          </a:p>
        </c:rich>
      </c:tx>
      <c:layout>
        <c:manualLayout>
          <c:xMode val="edge"/>
          <c:yMode val="edge"/>
          <c:x val="0.26003210272873173"/>
          <c:y val="3.166230992114055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075441412520064"/>
          <c:y val="0.18469680787331991"/>
          <c:w val="0.8667736757624398"/>
          <c:h val="0.69657081826509526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'McNemars Test'!$B$70:$D$70</c:f>
              <c:numCache>
                <c:formatCode>General</c:formatCode>
                <c:ptCount val="3"/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'McNemars Test'!$B$71:$D$71</c:f>
              <c:numCache>
                <c:formatCode>0.000</c:formatCode>
                <c:ptCount val="3"/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val>
            <c:numRef>
              <c:f>'McNemars Test'!$B$72:$D$72</c:f>
              <c:numCache>
                <c:formatCode>0.000</c:formatCode>
                <c:ptCount val="3"/>
                <c:pt idx="1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axId val="183539584"/>
        <c:axId val="183541120"/>
      </c:lineChart>
      <c:lineChart>
        <c:grouping val="standard"/>
        <c:ser>
          <c:idx val="3"/>
          <c:order val="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'McNemars Test'!$B$73:$D$73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marker val="1"/>
        <c:axId val="183551488"/>
        <c:axId val="183553024"/>
      </c:lineChart>
      <c:catAx>
        <c:axId val="18353958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541120"/>
        <c:crossesAt val="-500000"/>
        <c:auto val="1"/>
        <c:lblAlgn val="ctr"/>
        <c:lblOffset val="100"/>
        <c:tickLblSkip val="1"/>
        <c:tickMarkSkip val="1"/>
      </c:catAx>
      <c:valAx>
        <c:axId val="1835411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Proportion Difference</a:t>
                </a:r>
              </a:p>
            </c:rich>
          </c:tx>
          <c:layout>
            <c:manualLayout>
              <c:xMode val="edge"/>
              <c:yMode val="edge"/>
              <c:x val="8.0256821829855548E-3"/>
              <c:y val="0.348285409132547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539584"/>
        <c:crosses val="autoZero"/>
        <c:crossBetween val="between"/>
      </c:valAx>
      <c:catAx>
        <c:axId val="183551488"/>
        <c:scaling>
          <c:orientation val="minMax"/>
        </c:scaling>
        <c:delete val="1"/>
        <c:axPos val="b"/>
        <c:tickLblPos val="none"/>
        <c:crossAx val="183553024"/>
        <c:crosses val="autoZero"/>
        <c:auto val="1"/>
        <c:lblAlgn val="ctr"/>
        <c:lblOffset val="100"/>
      </c:catAx>
      <c:valAx>
        <c:axId val="183553024"/>
        <c:scaling>
          <c:orientation val="minMax"/>
        </c:scaling>
        <c:delete val="1"/>
        <c:axPos val="r"/>
        <c:numFmt formatCode="General" sourceLinked="1"/>
        <c:tickLblPos val="none"/>
        <c:crossAx val="1835514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Main Effects And Interactions Plots</a:t>
            </a:r>
          </a:p>
        </c:rich>
      </c:tx>
      <c:layout>
        <c:manualLayout>
          <c:xMode val="edge"/>
          <c:yMode val="edge"/>
          <c:x val="0.3268206039076425"/>
          <c:y val="4.016080007843905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676731793960922"/>
          <c:y val="0.21686832042357093"/>
          <c:w val="0.68561278863232411"/>
          <c:h val="0.49799392097264705"/>
        </c:manualLayout>
      </c:layout>
      <c:lineChart>
        <c:grouping val="standard"/>
        <c:ser>
          <c:idx val="0"/>
          <c:order val="0"/>
          <c:tx>
            <c:strRef>
              <c:f>'2^2 DOE'!$M$54</c:f>
              <c:strCache>
                <c:ptCount val="1"/>
                <c:pt idx="0">
                  <c:v>1 Factor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DOE'!$L$55:$L$65</c:f>
              <c:strCache>
                <c:ptCount val="11"/>
                <c:pt idx="0">
                  <c:v>A -</c:v>
                </c:pt>
                <c:pt idx="1">
                  <c:v>A+</c:v>
                </c:pt>
                <c:pt idx="3">
                  <c:v>B-</c:v>
                </c:pt>
                <c:pt idx="4">
                  <c:v>B+</c:v>
                </c:pt>
                <c:pt idx="6">
                  <c:v>AB-</c:v>
                </c:pt>
                <c:pt idx="7">
                  <c:v>AB+</c:v>
                </c:pt>
                <c:pt idx="9">
                  <c:v>A -</c:v>
                </c:pt>
                <c:pt idx="10">
                  <c:v>A +</c:v>
                </c:pt>
              </c:strCache>
            </c:strRef>
          </c:cat>
          <c:val>
            <c:numRef>
              <c:f>'2^2 DOE'!$M$55:$M$65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strRef>
              <c:f>'2^2 DOE'!$N$54</c:f>
              <c:strCache>
                <c:ptCount val="1"/>
                <c:pt idx="0">
                  <c:v>- Low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DOE'!$L$55:$L$65</c:f>
              <c:strCache>
                <c:ptCount val="11"/>
                <c:pt idx="0">
                  <c:v>A -</c:v>
                </c:pt>
                <c:pt idx="1">
                  <c:v>A+</c:v>
                </c:pt>
                <c:pt idx="3">
                  <c:v>B-</c:v>
                </c:pt>
                <c:pt idx="4">
                  <c:v>B+</c:v>
                </c:pt>
                <c:pt idx="6">
                  <c:v>AB-</c:v>
                </c:pt>
                <c:pt idx="7">
                  <c:v>AB+</c:v>
                </c:pt>
                <c:pt idx="9">
                  <c:v>A -</c:v>
                </c:pt>
                <c:pt idx="10">
                  <c:v>A +</c:v>
                </c:pt>
              </c:strCache>
            </c:strRef>
          </c:cat>
          <c:val>
            <c:numRef>
              <c:f>'2^2 DOE'!$N$55:$N$65</c:f>
              <c:numCache>
                <c:formatCode>General</c:formatCode>
                <c:ptCount val="11"/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'2^2 DOE'!$O$54</c:f>
              <c:strCache>
                <c:ptCount val="1"/>
                <c:pt idx="0">
                  <c:v>+ High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DOE'!$L$55:$L$65</c:f>
              <c:strCache>
                <c:ptCount val="11"/>
                <c:pt idx="0">
                  <c:v>A -</c:v>
                </c:pt>
                <c:pt idx="1">
                  <c:v>A+</c:v>
                </c:pt>
                <c:pt idx="3">
                  <c:v>B-</c:v>
                </c:pt>
                <c:pt idx="4">
                  <c:v>B+</c:v>
                </c:pt>
                <c:pt idx="6">
                  <c:v>AB-</c:v>
                </c:pt>
                <c:pt idx="7">
                  <c:v>AB+</c:v>
                </c:pt>
                <c:pt idx="9">
                  <c:v>A -</c:v>
                </c:pt>
                <c:pt idx="10">
                  <c:v>A +</c:v>
                </c:pt>
              </c:strCache>
            </c:strRef>
          </c:cat>
          <c:val>
            <c:numRef>
              <c:f>'2^2 DOE'!$O$55:$O$65</c:f>
              <c:numCache>
                <c:formatCode>General</c:formatCode>
                <c:ptCount val="11"/>
                <c:pt idx="9">
                  <c:v>0</c:v>
                </c:pt>
                <c:pt idx="10">
                  <c:v>0</c:v>
                </c:pt>
              </c:numCache>
            </c:numRef>
          </c:val>
        </c:ser>
        <c:marker val="1"/>
        <c:axId val="183803904"/>
        <c:axId val="183806208"/>
      </c:lineChart>
      <c:catAx>
        <c:axId val="183803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 X Factor / Level</a:t>
                </a:r>
              </a:p>
            </c:rich>
          </c:tx>
          <c:layout>
            <c:manualLayout>
              <c:xMode val="edge"/>
              <c:yMode val="edge"/>
              <c:x val="0.38721136767317937"/>
              <c:y val="0.8232964016080034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3806208"/>
        <c:crosses val="autoZero"/>
        <c:lblAlgn val="ctr"/>
        <c:lblOffset val="100"/>
        <c:tickLblSkip val="1"/>
        <c:tickMarkSkip val="1"/>
      </c:catAx>
      <c:valAx>
        <c:axId val="18380620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 Y Response</a:t>
                </a:r>
              </a:p>
            </c:rich>
          </c:tx>
          <c:layout>
            <c:manualLayout>
              <c:xMode val="edge"/>
              <c:yMode val="edge"/>
              <c:x val="2.8419182948490228E-2"/>
              <c:y val="0.29317384057260532"/>
            </c:manualLayout>
          </c:layout>
          <c:spPr>
            <a:noFill/>
            <a:ln w="25400">
              <a:noFill/>
            </a:ln>
          </c:spPr>
        </c:title>
        <c:numFmt formatCode="0.0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380390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4547069271758735"/>
          <c:y val="0.3534150406902638"/>
          <c:w val="0.13676731793960922"/>
          <c:h val="0.2329326404549467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  <c:userShapes r:id="rId1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Run Order Trend Chart</a:t>
            </a:r>
          </a:p>
        </c:rich>
      </c:tx>
      <c:layout>
        <c:manualLayout>
          <c:xMode val="edge"/>
          <c:yMode val="edge"/>
          <c:x val="0.40215439856373425"/>
          <c:y val="4.048590999397062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131059245960501"/>
          <c:y val="0.22672109596623541"/>
          <c:w val="0.86355475763016165"/>
          <c:h val="0.51821964792282349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'2^2 DOE'!$R$56:$R$67</c:f>
              <c:strCache>
                <c:ptCount val="12"/>
                <c:pt idx="0">
                  <c:v>(1)</c:v>
                </c:pt>
                <c:pt idx="1">
                  <c:v>a</c:v>
                </c:pt>
                <c:pt idx="2">
                  <c:v>b</c:v>
                </c:pt>
                <c:pt idx="3">
                  <c:v>ab</c:v>
                </c:pt>
                <c:pt idx="4">
                  <c:v>(1)</c:v>
                </c:pt>
                <c:pt idx="5">
                  <c:v>a</c:v>
                </c:pt>
                <c:pt idx="6">
                  <c:v>b</c:v>
                </c:pt>
                <c:pt idx="7">
                  <c:v>ab</c:v>
                </c:pt>
                <c:pt idx="8">
                  <c:v>(1)</c:v>
                </c:pt>
                <c:pt idx="9">
                  <c:v>a</c:v>
                </c:pt>
                <c:pt idx="10">
                  <c:v>b</c:v>
                </c:pt>
                <c:pt idx="11">
                  <c:v>ab</c:v>
                </c:pt>
              </c:strCache>
            </c:strRef>
          </c:cat>
          <c:val>
            <c:numRef>
              <c:f>'2^2 DOE'!$S$56:$S$67</c:f>
              <c:numCache>
                <c:formatCode>General</c:formatCode>
                <c:ptCount val="12"/>
              </c:numCache>
            </c:numRef>
          </c:val>
        </c:ser>
        <c:marker val="1"/>
        <c:axId val="183863168"/>
        <c:axId val="183865728"/>
      </c:lineChart>
      <c:catAx>
        <c:axId val="1838631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Trials</a:t>
                </a:r>
              </a:p>
            </c:rich>
          </c:tx>
          <c:layout>
            <c:manualLayout>
              <c:xMode val="edge"/>
              <c:yMode val="edge"/>
              <c:x val="0.51526032315978454"/>
              <c:y val="0.8542527008727794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3865728"/>
        <c:crosses val="autoZero"/>
        <c:auto val="1"/>
        <c:lblAlgn val="ctr"/>
        <c:lblOffset val="100"/>
        <c:tickLblSkip val="1"/>
        <c:tickMarkSkip val="1"/>
      </c:catAx>
      <c:valAx>
        <c:axId val="1838657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 Y Response</a:t>
                </a:r>
              </a:p>
            </c:rich>
          </c:tx>
          <c:layout>
            <c:manualLayout>
              <c:xMode val="edge"/>
              <c:yMode val="edge"/>
              <c:x val="2.8725314183124042E-2"/>
              <c:y val="0.3238872799517678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3863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Factor A Contrast Plot</a:t>
            </a:r>
          </a:p>
        </c:rich>
      </c:tx>
      <c:layout>
        <c:manualLayout>
          <c:xMode val="edge"/>
          <c:yMode val="edge"/>
          <c:x val="0.28846153846153694"/>
          <c:y val="4.109607366613900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1923076923076923"/>
          <c:y val="0.23287775077478762"/>
          <c:w val="0.72692307692308289"/>
          <c:h val="0.57991126173329466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DOE'!$L$82:$M$82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DOE'!$L$83:$M$83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DOE'!$L$82:$M$82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DOE'!$L$84:$M$84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DOE'!$L$82:$M$82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DOE'!$L$85:$M$85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DOE'!$L$82:$M$82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DOE'!$L$86:$M$86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DOE'!$L$82:$M$82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DOE'!$L$87:$M$87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DOE'!$L$82:$M$82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DOE'!$L$88:$M$88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'2^2 DOE'!$L$82:$M$82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DOE'!$L$89:$M$89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83927552"/>
        <c:axId val="183929088"/>
      </c:lineChart>
      <c:catAx>
        <c:axId val="18392755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3929088"/>
        <c:crosses val="autoZero"/>
        <c:auto val="1"/>
        <c:lblAlgn val="ctr"/>
        <c:lblOffset val="100"/>
        <c:tickLblSkip val="1"/>
        <c:tickMarkSkip val="1"/>
      </c:catAx>
      <c:valAx>
        <c:axId val="1839290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1538461538461584E-2"/>
              <c:y val="0.4155269670687415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392755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Factor B Contrast Plot</a:t>
            </a:r>
          </a:p>
        </c:rich>
      </c:tx>
      <c:layout>
        <c:manualLayout>
          <c:xMode val="edge"/>
          <c:yMode val="edge"/>
          <c:x val="0.28957583549981253"/>
          <c:y val="4.128440366972476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2007763497985527"/>
          <c:y val="0.23394495412844146"/>
          <c:w val="0.72587009431952998"/>
          <c:h val="0.57798165137614765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DOE'!$O$82:$P$82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'2^2 DOE'!$O$83:$P$83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DOE'!$O$82:$P$82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'2^2 DOE'!$O$84:$P$84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DOE'!$O$82:$P$82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'2^2 DOE'!$O$85:$P$85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DOE'!$O$82:$P$82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'2^2 DOE'!$O$86:$P$86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DOE'!$O$82:$P$82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'2^2 DOE'!$O$87:$P$87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DOE'!$O$82:$P$82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'2^2 DOE'!$O$88:$P$88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'2^2 DOE'!$O$82:$P$82</c:f>
              <c:strCache>
                <c:ptCount val="2"/>
                <c:pt idx="0">
                  <c:v>B-</c:v>
                </c:pt>
                <c:pt idx="1">
                  <c:v>B+</c:v>
                </c:pt>
              </c:strCache>
            </c:strRef>
          </c:cat>
          <c:val>
            <c:numRef>
              <c:f>'2^2 DOE'!$O$89:$P$89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84007296"/>
        <c:axId val="184021376"/>
      </c:lineChart>
      <c:catAx>
        <c:axId val="1840072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4021376"/>
        <c:crosses val="autoZero"/>
        <c:auto val="1"/>
        <c:lblAlgn val="ctr"/>
        <c:lblOffset val="100"/>
        <c:tickLblSkip val="1"/>
        <c:tickMarkSkip val="1"/>
      </c:catAx>
      <c:valAx>
        <c:axId val="1840213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6.1776178239959546E-2"/>
              <c:y val="0.4174311926605504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400729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AB Interaction Plot</a:t>
            </a:r>
          </a:p>
        </c:rich>
      </c:tx>
      <c:layout>
        <c:manualLayout>
          <c:xMode val="edge"/>
          <c:yMode val="edge"/>
          <c:x val="0.35905096533488284"/>
          <c:y val="4.285734215653907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91397109428768"/>
          <c:y val="0.24285827222038792"/>
          <c:w val="0.59644003332488482"/>
          <c:h val="0.56190737494128951"/>
        </c:manualLayout>
      </c:layout>
      <c:lineChart>
        <c:grouping val="standard"/>
        <c:ser>
          <c:idx val="0"/>
          <c:order val="0"/>
          <c:tx>
            <c:strRef>
              <c:f>'2^2 DOE'!$K$93</c:f>
              <c:strCache>
                <c:ptCount val="1"/>
                <c:pt idx="0">
                  <c:v>B-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DOE'!$L$93:$M$93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DOE'!$L$94:$M$94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DOE'!$L$95:$M$95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'2^2 DOE'!$K$96</c:f>
              <c:strCache>
                <c:ptCount val="1"/>
                <c:pt idx="0">
                  <c:v>B+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DOE'!$L$96:$M$96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DOE'!$L$97:$M$97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DOE'!$L$98:$M$98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DOE'!$L$99:$M$99</c:f>
              <c:numCache>
                <c:formatCode>General</c:formatCode>
                <c:ptCount val="2"/>
              </c:numCache>
            </c:numRef>
          </c:val>
        </c:ser>
        <c:ser>
          <c:idx val="7"/>
          <c:order val="7"/>
          <c:tx>
            <c:strRef>
              <c:f>'2^2 DOE'!$K$100</c:f>
              <c:strCache>
                <c:ptCount val="1"/>
                <c:pt idx="0">
                  <c:v>B-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DOE'!$L$100:$M$100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8"/>
          <c:order val="8"/>
          <c:tx>
            <c:strRef>
              <c:f>'2^2 DOE'!$K$101</c:f>
              <c:strCache>
                <c:ptCount val="1"/>
                <c:pt idx="0">
                  <c:v>B+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'2^2 DOE'!$L$92:$M$92</c:f>
              <c:strCache>
                <c:ptCount val="2"/>
                <c:pt idx="0">
                  <c:v>A-</c:v>
                </c:pt>
                <c:pt idx="1">
                  <c:v>A+</c:v>
                </c:pt>
              </c:strCache>
            </c:strRef>
          </c:cat>
          <c:val>
            <c:numRef>
              <c:f>'2^2 DOE'!$L$101:$M$101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marker val="1"/>
        <c:axId val="184097024"/>
        <c:axId val="184127488"/>
      </c:lineChart>
      <c:catAx>
        <c:axId val="18409702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4127488"/>
        <c:crosses val="autoZero"/>
        <c:auto val="1"/>
        <c:lblAlgn val="ctr"/>
        <c:lblOffset val="100"/>
        <c:tickLblSkip val="1"/>
        <c:tickMarkSkip val="1"/>
      </c:catAx>
      <c:valAx>
        <c:axId val="1841274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Response</a:t>
                </a:r>
              </a:p>
            </c:rich>
          </c:tx>
          <c:layout>
            <c:manualLayout>
              <c:xMode val="edge"/>
              <c:yMode val="edge"/>
              <c:x val="4.7477813598000497E-2"/>
              <c:y val="0.4142876408465441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40970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79822074111638353"/>
          <c:y val="0.39047800631513524"/>
          <c:w val="0.17804180099250191"/>
          <c:h val="0.2714298336580808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9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6971279373368145"/>
          <c:y val="0.11415576018371988"/>
          <c:w val="0.46997389033942805"/>
          <c:h val="0.69863325232436591"/>
        </c:manualLayout>
      </c:layout>
      <c:barChart>
        <c:barDir val="col"/>
        <c:grouping val="percentStacked"/>
        <c:ser>
          <c:idx val="0"/>
          <c:order val="0"/>
          <c:tx>
            <c:strRef>
              <c:f>'Component of Variation MSA'!$Z$11</c:f>
              <c:strCache>
                <c:ptCount val="1"/>
                <c:pt idx="0">
                  <c:v>Agreement</c:v>
                </c:pt>
              </c:strCache>
            </c:strRef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'Component of Variation MSA'!$AA$10:$AB$10</c:f>
              <c:strCache>
                <c:ptCount val="2"/>
                <c:pt idx="0">
                  <c:v>Sens</c:v>
                </c:pt>
                <c:pt idx="1">
                  <c:v>Spec</c:v>
                </c:pt>
              </c:strCache>
            </c:strRef>
          </c:cat>
          <c:val>
            <c:numRef>
              <c:f>'Component of Variation MSA'!$AA$11:$AB$11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'Component of Variation MSA'!$Z$12</c:f>
              <c:strCache>
                <c:ptCount val="1"/>
                <c:pt idx="0">
                  <c:v>Within Gold Standard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'Component of Variation MSA'!$AA$10:$AB$10</c:f>
              <c:strCache>
                <c:ptCount val="2"/>
                <c:pt idx="0">
                  <c:v>Sens</c:v>
                </c:pt>
                <c:pt idx="1">
                  <c:v>Spec</c:v>
                </c:pt>
              </c:strCache>
            </c:strRef>
          </c:cat>
          <c:val>
            <c:numRef>
              <c:f>'Component of Variation MSA'!$AA$12:$AB$12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'Component of Variation MSA'!$Z$13</c:f>
              <c:strCache>
                <c:ptCount val="1"/>
                <c:pt idx="0">
                  <c:v>Within Test</c:v>
                </c:pt>
              </c:strCache>
            </c:strRef>
          </c:tx>
          <c:spPr>
            <a:solidFill>
              <a:srgbClr val="FFFFC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'Component of Variation MSA'!$AA$10:$AB$10</c:f>
              <c:strCache>
                <c:ptCount val="2"/>
                <c:pt idx="0">
                  <c:v>Sens</c:v>
                </c:pt>
                <c:pt idx="1">
                  <c:v>Spec</c:v>
                </c:pt>
              </c:strCache>
            </c:strRef>
          </c:cat>
          <c:val>
            <c:numRef>
              <c:f>'Component of Variation MSA'!$AA$13:$AB$13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'Component of Variation MSA'!$Z$14</c:f>
              <c:strCache>
                <c:ptCount val="1"/>
                <c:pt idx="0">
                  <c:v>Between  Tests</c:v>
                </c:pt>
              </c:strCache>
            </c:strRef>
          </c:tx>
          <c:spPr>
            <a:solidFill>
              <a:srgbClr val="A0E0E0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'Component of Variation MSA'!$AA$10:$AB$10</c:f>
              <c:strCache>
                <c:ptCount val="2"/>
                <c:pt idx="0">
                  <c:v>Sens</c:v>
                </c:pt>
                <c:pt idx="1">
                  <c:v>Spec</c:v>
                </c:pt>
              </c:strCache>
            </c:strRef>
          </c:cat>
          <c:val>
            <c:numRef>
              <c:f>'Component of Variation MSA'!$AA$14:$AB$14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overlap val="100"/>
        <c:axId val="184251136"/>
        <c:axId val="184252672"/>
      </c:barChart>
      <c:catAx>
        <c:axId val="1842511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52672"/>
        <c:crosses val="autoZero"/>
        <c:auto val="1"/>
        <c:lblAlgn val="ctr"/>
        <c:lblOffset val="100"/>
        <c:tickLblSkip val="1"/>
        <c:tickMarkSkip val="1"/>
      </c:catAx>
      <c:valAx>
        <c:axId val="184252672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%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2511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6840731070496051"/>
          <c:y val="0.28767251566297497"/>
          <c:w val="0.31070496083551091"/>
          <c:h val="0.3515997413658577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836746489104785"/>
          <c:y val="9.6916299559471397E-2"/>
          <c:w val="0.84285798275867263"/>
          <c:h val="0.75770925110132503"/>
        </c:manualLayout>
      </c:layout>
      <c:lineChart>
        <c:grouping val="standard"/>
        <c:ser>
          <c:idx val="1"/>
          <c:order val="0"/>
          <c:tx>
            <c:strRef>
              <c:f>'p chart'!$D$9</c:f>
              <c:strCache>
                <c:ptCount val="1"/>
                <c:pt idx="0">
                  <c:v>p1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'p chart'!$A$10:$A$41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'p chart'!$D$10:$D$41</c:f>
              <c:numCache>
                <c:formatCode>0.00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2"/>
          <c:order val="1"/>
          <c:tx>
            <c:strRef>
              <c:f>'p chart'!$F$9</c:f>
              <c:strCache>
                <c:ptCount val="1"/>
                <c:pt idx="0">
                  <c:v>LCLp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'p chart'!$A$10:$A$41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'p chart'!$F$10:$F$41</c:f>
              <c:numCache>
                <c:formatCode>0.00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3"/>
          <c:order val="2"/>
          <c:tx>
            <c:v>Avg_X</c:v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'p chart'!$A$10:$A$41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'p chart'!$G$10:$G$41</c:f>
              <c:numCache>
                <c:formatCode>0.00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0"/>
          <c:order val="3"/>
          <c:tx>
            <c:strRef>
              <c:f>'p chart'!$H$9</c:f>
              <c:strCache>
                <c:ptCount val="1"/>
                <c:pt idx="0">
                  <c:v>UCLp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'p chart'!$A$10:$A$41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'p chart'!$H$10:$H$41</c:f>
              <c:numCache>
                <c:formatCode>0.00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marker val="1"/>
        <c:axId val="184430976"/>
        <c:axId val="184432512"/>
      </c:lineChart>
      <c:catAx>
        <c:axId val="184430976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432512"/>
        <c:crosses val="autoZero"/>
        <c:auto val="1"/>
        <c:lblAlgn val="ctr"/>
        <c:lblOffset val="100"/>
        <c:tickLblSkip val="1"/>
        <c:tickMarkSkip val="1"/>
      </c:catAx>
      <c:valAx>
        <c:axId val="184432512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AVERAGES</a:t>
                </a:r>
              </a:p>
            </c:rich>
          </c:tx>
          <c:layout>
            <c:manualLayout>
              <c:xMode val="edge"/>
              <c:yMode val="edge"/>
              <c:x val="3.2653093763047841E-2"/>
              <c:y val="0.33039647577092812"/>
            </c:manualLayout>
          </c:layout>
          <c:spPr>
            <a:noFill/>
            <a:ln w="25400">
              <a:noFill/>
            </a:ln>
          </c:spPr>
        </c:title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4309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3034623217922742"/>
          <c:y val="8.9431249330099841E-2"/>
          <c:w val="0.8411405295315687"/>
          <c:h val="0.76016561930584725"/>
        </c:manualLayout>
      </c:layout>
      <c:lineChart>
        <c:grouping val="standard"/>
        <c:ser>
          <c:idx val="1"/>
          <c:order val="0"/>
          <c:tx>
            <c:strRef>
              <c:f>'p chart'!$E$9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'p chart'!$A$10:$A$41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'p chart'!$E$10:$E$41</c:f>
              <c:numCache>
                <c:formatCode>0.00</c:formatCode>
                <c:ptCount val="32"/>
              </c:numCache>
            </c:numRef>
          </c:val>
        </c:ser>
        <c:ser>
          <c:idx val="2"/>
          <c:order val="1"/>
          <c:tx>
            <c:strRef>
              <c:f>'p chart'!#REF!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'p chart'!$A$10:$A$41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'p chart'!#REF!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2"/>
          <c:tx>
            <c:v>MR bar</c:v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val>
            <c:numRef>
              <c:f>'p chart'!#REF!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184498816"/>
        <c:axId val="184516992"/>
      </c:lineChart>
      <c:catAx>
        <c:axId val="184498816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516992"/>
        <c:crosses val="autoZero"/>
        <c:auto val="1"/>
        <c:lblAlgn val="ctr"/>
        <c:lblOffset val="100"/>
        <c:tickLblSkip val="1"/>
        <c:tickMarkSkip val="1"/>
      </c:catAx>
      <c:valAx>
        <c:axId val="184516992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RANGES</a:t>
                </a:r>
              </a:p>
            </c:rich>
          </c:tx>
          <c:layout>
            <c:manualLayout>
              <c:xMode val="edge"/>
              <c:yMode val="edge"/>
              <c:x val="3.2586558044806514E-2"/>
              <c:y val="0.34959488374493553"/>
            </c:manualLayout>
          </c:layout>
          <c:spPr>
            <a:noFill/>
            <a:ln w="25400">
              <a:noFill/>
            </a:ln>
          </c:spPr>
        </c:title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498816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0204191450287"/>
          <c:y val="9.6916299559471397E-2"/>
          <c:w val="0.85102125619944013"/>
          <c:h val="0.75770925110132503"/>
        </c:manualLayout>
      </c:layout>
      <c:lineChart>
        <c:grouping val="standard"/>
        <c:ser>
          <c:idx val="1"/>
          <c:order val="0"/>
          <c:tx>
            <c:strRef>
              <c:f>'n=1'!$B$9</c:f>
              <c:strCache>
                <c:ptCount val="1"/>
                <c:pt idx="0">
                  <c:v>X1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'n=1'!$A$10:$A$46</c:f>
              <c:numCache>
                <c:formatCode>General</c:formatCode>
                <c:ptCount val="37"/>
              </c:numCache>
            </c:numRef>
          </c:cat>
          <c:val>
            <c:numRef>
              <c:f>'n=1'!$B$10:$B$46</c:f>
              <c:numCache>
                <c:formatCode>General</c:formatCode>
                <c:ptCount val="37"/>
              </c:numCache>
            </c:numRef>
          </c:val>
        </c:ser>
        <c:ser>
          <c:idx val="2"/>
          <c:order val="1"/>
          <c:tx>
            <c:strRef>
              <c:f>'n=1'!$D$9</c:f>
              <c:strCache>
                <c:ptCount val="1"/>
                <c:pt idx="0">
                  <c:v>LCLx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'n=1'!$A$10:$A$46</c:f>
              <c:numCache>
                <c:formatCode>General</c:formatCode>
                <c:ptCount val="37"/>
              </c:numCache>
            </c:numRef>
          </c:cat>
          <c:val>
            <c:numRef>
              <c:f>'n=1'!$D$10:$D$46</c:f>
              <c:numCache>
                <c:formatCode>0.00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"/>
          <c:order val="2"/>
          <c:tx>
            <c:v>Avg_X</c:v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'n=1'!$A$10:$A$46</c:f>
              <c:numCache>
                <c:formatCode>General</c:formatCode>
                <c:ptCount val="37"/>
              </c:numCache>
            </c:numRef>
          </c:cat>
          <c:val>
            <c:numRef>
              <c:f>'n=1'!$E$10:$E$46</c:f>
              <c:numCache>
                <c:formatCode>0.00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0"/>
          <c:order val="3"/>
          <c:tx>
            <c:strRef>
              <c:f>'n=1'!$F$9</c:f>
              <c:strCache>
                <c:ptCount val="1"/>
                <c:pt idx="0">
                  <c:v>UCLx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'n=1'!$A$10:$A$46</c:f>
              <c:numCache>
                <c:formatCode>General</c:formatCode>
                <c:ptCount val="37"/>
              </c:numCache>
            </c:numRef>
          </c:cat>
          <c:val>
            <c:numRef>
              <c:f>'n=1'!$F$10:$F$46</c:f>
              <c:numCache>
                <c:formatCode>0.00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4"/>
          <c:order val="4"/>
          <c:tx>
            <c:v>USLx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'n=1'!$I$10:$I$46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5"/>
          <c:order val="5"/>
          <c:tx>
            <c:v>LSLx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'n=1'!$J$10:$J$46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marker val="1"/>
        <c:axId val="190631936"/>
        <c:axId val="190633472"/>
      </c:lineChart>
      <c:catAx>
        <c:axId val="190631936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633472"/>
        <c:crosses val="autoZero"/>
        <c:auto val="1"/>
        <c:lblAlgn val="ctr"/>
        <c:lblOffset val="100"/>
        <c:tickLblSkip val="1"/>
        <c:tickMarkSkip val="1"/>
      </c:catAx>
      <c:valAx>
        <c:axId val="190633472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AVERAGES</a:t>
                </a:r>
              </a:p>
            </c:rich>
          </c:tx>
          <c:layout>
            <c:manualLayout>
              <c:xMode val="edge"/>
              <c:yMode val="edge"/>
              <c:x val="3.2653093763047841E-2"/>
              <c:y val="0.3303964757709281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6319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016293279022409"/>
          <c:y val="8.9431249330099841E-2"/>
          <c:w val="0.85132382892057323"/>
          <c:h val="0.76016561930584725"/>
        </c:manualLayout>
      </c:layout>
      <c:lineChart>
        <c:grouping val="standard"/>
        <c:ser>
          <c:idx val="1"/>
          <c:order val="0"/>
          <c:tx>
            <c:strRef>
              <c:f>'n=1'!$C$9</c:f>
              <c:strCache>
                <c:ptCount val="1"/>
                <c:pt idx="0">
                  <c:v>Moving
Range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'n=1'!$A$10:$A$46</c:f>
              <c:numCache>
                <c:formatCode>General</c:formatCode>
                <c:ptCount val="37"/>
              </c:numCache>
            </c:numRef>
          </c:cat>
          <c:val>
            <c:numRef>
              <c:f>'n=1'!$C$10:$C$46</c:f>
              <c:numCache>
                <c:formatCode>General</c:formatCode>
                <c:ptCount val="37"/>
                <c:pt idx="2" formatCode="0.00">
                  <c:v>0</c:v>
                </c:pt>
                <c:pt idx="3" formatCode="0.00">
                  <c:v>0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0</c:v>
                </c:pt>
                <c:pt idx="7" formatCode="0.00">
                  <c:v>0</c:v>
                </c:pt>
                <c:pt idx="8" formatCode="0.00">
                  <c:v>0</c:v>
                </c:pt>
                <c:pt idx="9" formatCode="0.00">
                  <c:v>0</c:v>
                </c:pt>
                <c:pt idx="10" formatCode="0.00">
                  <c:v>0</c:v>
                </c:pt>
                <c:pt idx="11" formatCode="0.00">
                  <c:v>0</c:v>
                </c:pt>
                <c:pt idx="12" formatCode="0.00">
                  <c:v>0</c:v>
                </c:pt>
                <c:pt idx="13" formatCode="0.00">
                  <c:v>0</c:v>
                </c:pt>
                <c:pt idx="14" formatCode="0.00">
                  <c:v>0</c:v>
                </c:pt>
                <c:pt idx="15" formatCode="0.00">
                  <c:v>0</c:v>
                </c:pt>
                <c:pt idx="16" formatCode="0.00">
                  <c:v>0</c:v>
                </c:pt>
                <c:pt idx="17" formatCode="0.00">
                  <c:v>0</c:v>
                </c:pt>
                <c:pt idx="18" formatCode="0.00">
                  <c:v>0</c:v>
                </c:pt>
                <c:pt idx="19" formatCode="0.00">
                  <c:v>0</c:v>
                </c:pt>
                <c:pt idx="20" formatCode="0.00">
                  <c:v>0</c:v>
                </c:pt>
                <c:pt idx="21" formatCode="0.00">
                  <c:v>0</c:v>
                </c:pt>
                <c:pt idx="22" formatCode="0.00">
                  <c:v>0</c:v>
                </c:pt>
                <c:pt idx="23" formatCode="0.00">
                  <c:v>0</c:v>
                </c:pt>
                <c:pt idx="24" formatCode="0.00">
                  <c:v>0</c:v>
                </c:pt>
                <c:pt idx="25" formatCode="0.00">
                  <c:v>0</c:v>
                </c:pt>
                <c:pt idx="26" formatCode="0.00">
                  <c:v>0</c:v>
                </c:pt>
                <c:pt idx="27" formatCode="0.00">
                  <c:v>0</c:v>
                </c:pt>
                <c:pt idx="28" formatCode="0.00">
                  <c:v>0</c:v>
                </c:pt>
                <c:pt idx="29" formatCode="0.00">
                  <c:v>0</c:v>
                </c:pt>
                <c:pt idx="30" formatCode="0.00">
                  <c:v>0</c:v>
                </c:pt>
                <c:pt idx="31" formatCode="0.00">
                  <c:v>0</c:v>
                </c:pt>
                <c:pt idx="32" formatCode="0.00">
                  <c:v>0</c:v>
                </c:pt>
                <c:pt idx="33" formatCode="0.00">
                  <c:v>0</c:v>
                </c:pt>
                <c:pt idx="34" formatCode="0.00">
                  <c:v>0</c:v>
                </c:pt>
                <c:pt idx="35" formatCode="0.00">
                  <c:v>0</c:v>
                </c:pt>
              </c:numCache>
            </c:numRef>
          </c:val>
        </c:ser>
        <c:ser>
          <c:idx val="2"/>
          <c:order val="1"/>
          <c:tx>
            <c:strRef>
              <c:f>'n=1'!$H$9</c:f>
              <c:strCache>
                <c:ptCount val="1"/>
                <c:pt idx="0">
                  <c:v>UCLr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'n=1'!$A$10:$A$46</c:f>
              <c:numCache>
                <c:formatCode>General</c:formatCode>
                <c:ptCount val="37"/>
              </c:numCache>
            </c:numRef>
          </c:cat>
          <c:val>
            <c:numRef>
              <c:f>'n=1'!$H$10:$H$46</c:f>
              <c:numCache>
                <c:formatCode>0.00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0"/>
          <c:order val="2"/>
          <c:tx>
            <c:v>MR bar</c:v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val>
            <c:numRef>
              <c:f>'n=1'!$G$10:$G$46</c:f>
              <c:numCache>
                <c:formatCode>0.00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marker val="1"/>
        <c:axId val="204204288"/>
        <c:axId val="204345344"/>
      </c:lineChart>
      <c:catAx>
        <c:axId val="204204288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345344"/>
        <c:crosses val="autoZero"/>
        <c:auto val="1"/>
        <c:lblAlgn val="ctr"/>
        <c:lblOffset val="100"/>
        <c:tickLblSkip val="1"/>
        <c:tickMarkSkip val="1"/>
      </c:catAx>
      <c:valAx>
        <c:axId val="204345344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RANGES</a:t>
                </a:r>
              </a:p>
            </c:rich>
          </c:tx>
          <c:layout>
            <c:manualLayout>
              <c:xMode val="edge"/>
              <c:yMode val="edge"/>
              <c:x val="3.2586558044806514E-2"/>
              <c:y val="0.349594883744935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20428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3061237505219206"/>
          <c:y val="8.9431249330099841E-2"/>
          <c:w val="0.82653143587714828"/>
          <c:h val="0.76016561930584725"/>
        </c:manualLayout>
      </c:layout>
      <c:lineChart>
        <c:grouping val="standard"/>
        <c:ser>
          <c:idx val="0"/>
          <c:order val="0"/>
          <c:tx>
            <c:strRef>
              <c:f>'n=2'!$D$11</c:f>
              <c:strCache>
                <c:ptCount val="1"/>
                <c:pt idx="0">
                  <c:v>Average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'n=2'!$A$12:$A$43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'n=2'!$D$13:$D$42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'n=2'!$F$11</c:f>
              <c:strCache>
                <c:ptCount val="1"/>
                <c:pt idx="0">
                  <c:v>LCLx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'n=2'!$A$12:$A$43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'n=2'!$F$12:$F$43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2"/>
          <c:order val="2"/>
          <c:tx>
            <c:strRef>
              <c:f>'n=2'!$G$11</c:f>
              <c:strCache>
                <c:ptCount val="1"/>
                <c:pt idx="0">
                  <c:v>Center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'n=2'!$A$12:$A$43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'n=2'!$G$12:$G$43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3"/>
          <c:order val="3"/>
          <c:tx>
            <c:strRef>
              <c:f>'n=2'!$H$11</c:f>
              <c:strCache>
                <c:ptCount val="1"/>
                <c:pt idx="0">
                  <c:v>UCLx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'n=2'!$A$12:$A$43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'n=2'!$H$12:$H$43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4"/>
          <c:order val="4"/>
          <c:tx>
            <c:v>LSL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'n=2'!$L$12:$L$43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5"/>
          <c:order val="5"/>
          <c:tx>
            <c:v>USL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'n=2'!$K$12:$K$43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marker val="1"/>
        <c:axId val="226995584"/>
        <c:axId val="227009664"/>
      </c:lineChart>
      <c:catAx>
        <c:axId val="226995584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009664"/>
        <c:crosses val="autoZero"/>
        <c:auto val="1"/>
        <c:lblAlgn val="ctr"/>
        <c:lblOffset val="100"/>
        <c:tickLblSkip val="1"/>
        <c:tickMarkSkip val="1"/>
      </c:catAx>
      <c:valAx>
        <c:axId val="227009664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AVERAGES</a:t>
                </a:r>
              </a:p>
            </c:rich>
          </c:tx>
          <c:layout>
            <c:manualLayout>
              <c:xMode val="edge"/>
              <c:yMode val="edge"/>
              <c:x val="3.2653093763047841E-2"/>
              <c:y val="0.31707442944308084"/>
            </c:manualLayout>
          </c:layout>
          <c:spPr>
            <a:noFill/>
            <a:ln w="25400">
              <a:noFill/>
            </a:ln>
          </c:spPr>
        </c:title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69955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016293279022409"/>
          <c:y val="8.9431249330099841E-2"/>
          <c:w val="0.83706720977596338"/>
          <c:h val="0.76016561930584725"/>
        </c:manualLayout>
      </c:layout>
      <c:lineChart>
        <c:grouping val="standard"/>
        <c:ser>
          <c:idx val="0"/>
          <c:order val="0"/>
          <c:tx>
            <c:strRef>
              <c:f>'n=2'!$E$11</c:f>
              <c:strCache>
                <c:ptCount val="1"/>
                <c:pt idx="0">
                  <c:v>Range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'n=2'!$A$12:$A$43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'n=2'!$E$12:$E$43</c:f>
              <c:numCache>
                <c:formatCode>0.00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tx>
            <c:strRef>
              <c:f>'n=2'!$J$11</c:f>
              <c:strCache>
                <c:ptCount val="1"/>
                <c:pt idx="0">
                  <c:v>r bar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'n=2'!$A$12:$A$43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'n=2'!$J$12:$J$43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2"/>
          <c:order val="2"/>
          <c:tx>
            <c:strRef>
              <c:f>'n=2'!$I$11</c:f>
              <c:strCache>
                <c:ptCount val="1"/>
                <c:pt idx="0">
                  <c:v>UCLr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'n=2'!$A$12:$A$43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'n=2'!$I$12:$I$43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marker val="1"/>
        <c:axId val="227080064"/>
        <c:axId val="227081600"/>
      </c:lineChart>
      <c:catAx>
        <c:axId val="227080064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081600"/>
        <c:crosses val="autoZero"/>
        <c:auto val="1"/>
        <c:lblAlgn val="ctr"/>
        <c:lblOffset val="100"/>
        <c:tickLblSkip val="1"/>
        <c:tickMarkSkip val="1"/>
      </c:catAx>
      <c:valAx>
        <c:axId val="227081600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RANGES</a:t>
                </a:r>
              </a:p>
            </c:rich>
          </c:tx>
          <c:layout>
            <c:manualLayout>
              <c:xMode val="edge"/>
              <c:yMode val="edge"/>
              <c:x val="3.2586558044806514E-2"/>
              <c:y val="0.349594883744935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080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040828325123965"/>
          <c:y val="8.9431249330099841E-2"/>
          <c:w val="0.83673552767810611"/>
          <c:h val="0.76016561930584725"/>
        </c:manualLayout>
      </c:layout>
      <c:lineChart>
        <c:grouping val="standard"/>
        <c:ser>
          <c:idx val="0"/>
          <c:order val="0"/>
          <c:tx>
            <c:strRef>
              <c:f>'n=3'!$E$11</c:f>
              <c:strCache>
                <c:ptCount val="1"/>
                <c:pt idx="0">
                  <c:v>Average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'n=3'!$A$12:$A$43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'n=3'!$E$12:$E$43</c:f>
              <c:numCache>
                <c:formatCode>0.00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tx>
            <c:strRef>
              <c:f>'n=3'!$G$11</c:f>
              <c:strCache>
                <c:ptCount val="1"/>
                <c:pt idx="0">
                  <c:v>LCLx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'n=3'!$A$12:$A$43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'n=3'!$G$12:$G$43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2"/>
          <c:order val="2"/>
          <c:tx>
            <c:strRef>
              <c:f>'n=3'!$H$11</c:f>
              <c:strCache>
                <c:ptCount val="1"/>
                <c:pt idx="0">
                  <c:v>Center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'n=3'!$A$12:$A$43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'n=3'!$H$12:$H$43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3"/>
          <c:order val="3"/>
          <c:tx>
            <c:strRef>
              <c:f>'n=3'!$I$11</c:f>
              <c:strCache>
                <c:ptCount val="1"/>
                <c:pt idx="0">
                  <c:v>UCLx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'n=3'!$A$12:$A$43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'n=3'!$I$12:$I$43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marker val="1"/>
        <c:axId val="227309056"/>
        <c:axId val="227310592"/>
      </c:lineChart>
      <c:catAx>
        <c:axId val="227309056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310592"/>
        <c:crosses val="autoZero"/>
        <c:auto val="1"/>
        <c:lblAlgn val="ctr"/>
        <c:lblOffset val="100"/>
        <c:tickLblSkip val="1"/>
        <c:tickMarkSkip val="1"/>
      </c:catAx>
      <c:valAx>
        <c:axId val="227310592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AVERAGES</a:t>
                </a:r>
              </a:p>
            </c:rich>
          </c:tx>
          <c:layout>
            <c:manualLayout>
              <c:xMode val="edge"/>
              <c:yMode val="edge"/>
              <c:x val="3.2653093763047841E-2"/>
              <c:y val="0.3170744294430808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3090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016293279022409"/>
          <c:y val="8.9431249330099841E-2"/>
          <c:w val="0.83706720977596338"/>
          <c:h val="0.76016561930584725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'n=3'!$A$12:$A$43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'n=3'!$F$12:$F$43</c:f>
              <c:numCache>
                <c:formatCode>0.00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'n=3'!$A$12:$A$43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'n=3'!$J$12:$J$43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'n=3'!$A$12:$A$43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'n=3'!$K$12:$K$43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marker val="1"/>
        <c:axId val="227614720"/>
        <c:axId val="227616256"/>
      </c:lineChart>
      <c:catAx>
        <c:axId val="227614720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616256"/>
        <c:crosses val="autoZero"/>
        <c:auto val="1"/>
        <c:lblAlgn val="ctr"/>
        <c:lblOffset val="100"/>
        <c:tickLblSkip val="1"/>
        <c:tickMarkSkip val="1"/>
      </c:catAx>
      <c:valAx>
        <c:axId val="227616256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RANGES</a:t>
                </a:r>
              </a:p>
            </c:rich>
          </c:tx>
          <c:layout>
            <c:manualLayout>
              <c:xMode val="edge"/>
              <c:yMode val="edge"/>
              <c:x val="3.2586558044806514E-2"/>
              <c:y val="0.349594883744935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6147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040828325123965"/>
          <c:y val="8.9431249330099841E-2"/>
          <c:w val="0.83673552767810611"/>
          <c:h val="0.76016561930584725"/>
        </c:manualLayout>
      </c:layout>
      <c:lineChart>
        <c:grouping val="standard"/>
        <c:ser>
          <c:idx val="0"/>
          <c:order val="0"/>
          <c:tx>
            <c:strRef>
              <c:f>'n=5'!$G$10</c:f>
              <c:strCache>
                <c:ptCount val="1"/>
                <c:pt idx="0">
                  <c:v>Average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'n=5'!$A$11:$A$42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'n=5'!$G$11:$G$42</c:f>
              <c:numCache>
                <c:formatCode>General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tx>
            <c:strRef>
              <c:f>'n=5'!$I$10</c:f>
              <c:strCache>
                <c:ptCount val="1"/>
                <c:pt idx="0">
                  <c:v>LCLx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'n=5'!$A$11:$A$42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'n=5'!$I$11:$I$42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2"/>
          <c:order val="2"/>
          <c:tx>
            <c:strRef>
              <c:f>'n=5'!$J$10</c:f>
              <c:strCache>
                <c:ptCount val="1"/>
                <c:pt idx="0">
                  <c:v>Center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'n=5'!$A$11:$A$42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'n=5'!$J$11:$J$42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3"/>
          <c:order val="3"/>
          <c:tx>
            <c:strRef>
              <c:f>'n=5'!$K$10</c:f>
              <c:strCache>
                <c:ptCount val="1"/>
                <c:pt idx="0">
                  <c:v>UCLx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'n=5'!$A$11:$A$42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'n=5'!$K$11:$K$42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marker val="1"/>
        <c:axId val="227757440"/>
        <c:axId val="227771520"/>
      </c:lineChart>
      <c:catAx>
        <c:axId val="227757440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771520"/>
        <c:crosses val="autoZero"/>
        <c:auto val="1"/>
        <c:lblAlgn val="ctr"/>
        <c:lblOffset val="100"/>
        <c:tickLblSkip val="1"/>
        <c:tickMarkSkip val="1"/>
      </c:catAx>
      <c:valAx>
        <c:axId val="227771520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AVERAGES</a:t>
                </a:r>
              </a:p>
            </c:rich>
          </c:tx>
          <c:layout>
            <c:manualLayout>
              <c:xMode val="edge"/>
              <c:yMode val="edge"/>
              <c:x val="3.2653093763047841E-2"/>
              <c:y val="0.3170744294430808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7574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2016293279022409"/>
          <c:y val="8.9431249330099841E-2"/>
          <c:w val="0.83706720977596338"/>
          <c:h val="0.76016561930584725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'n=5'!$A$11:$A$42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'n=5'!$H$11:$H$42</c:f>
              <c:numCache>
                <c:formatCode>General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'n=5'!$A$11:$A$42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'n=5'!$L$11:$L$42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ser>
          <c:idx val="2"/>
          <c:order val="2"/>
          <c:spPr>
            <a:ln w="12700">
              <a:solidFill>
                <a:srgbClr val="000000"/>
              </a:solidFill>
              <a:prstDash val="lgDashDot"/>
            </a:ln>
          </c:spPr>
          <c:marker>
            <c:symbol val="none"/>
          </c:marker>
          <c:cat>
            <c:numRef>
              <c:f>'n=5'!$A$11:$A$42</c:f>
              <c:numCache>
                <c:formatCode>General</c:formatCode>
                <c:ptCount val="3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cat>
          <c:val>
            <c:numRef>
              <c:f>'n=5'!$M$11:$M$42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marker val="1"/>
        <c:axId val="227936128"/>
        <c:axId val="227937664"/>
      </c:lineChart>
      <c:catAx>
        <c:axId val="227936128"/>
        <c:scaling>
          <c:orientation val="minMax"/>
        </c:scaling>
        <c:axPos val="b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937664"/>
        <c:crosses val="autoZero"/>
        <c:auto val="1"/>
        <c:lblAlgn val="ctr"/>
        <c:lblOffset val="100"/>
        <c:tickLblSkip val="1"/>
        <c:tickMarkSkip val="1"/>
      </c:catAx>
      <c:valAx>
        <c:axId val="227937664"/>
        <c:scaling>
          <c:orientation val="minMax"/>
        </c:scaling>
        <c:axPos val="l"/>
        <c:majorGridlines>
          <c:spPr>
            <a:ln w="3175">
              <a:solidFill>
                <a:srgbClr val="CCFFCC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RANGES</a:t>
                </a:r>
              </a:p>
            </c:rich>
          </c:tx>
          <c:layout>
            <c:manualLayout>
              <c:xMode val="edge"/>
              <c:yMode val="edge"/>
              <c:x val="3.2586558044806514E-2"/>
              <c:y val="0.349594883744935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79361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8638058068919691"/>
          <c:y val="0.1219515099835896"/>
          <c:w val="0.76344353243844443"/>
          <c:h val="0.67805039550875756"/>
        </c:manualLayout>
      </c:layout>
      <c:lineChart>
        <c:grouping val="standard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'SD Sample Size'!$E$5:$F$5</c:f>
              <c:strCache>
                <c:ptCount val="2"/>
                <c:pt idx="0">
                  <c:v>Baseline σ</c:v>
                </c:pt>
                <c:pt idx="1">
                  <c:v>Target σ</c:v>
                </c:pt>
              </c:strCache>
            </c:strRef>
          </c:cat>
          <c:val>
            <c:numRef>
              <c:f>'SD Sample Size'!$E$6:$F$6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'SD Sample Size'!$E$5:$F$5</c:f>
              <c:strCache>
                <c:ptCount val="2"/>
                <c:pt idx="0">
                  <c:v>Baseline σ</c:v>
                </c:pt>
                <c:pt idx="1">
                  <c:v>Target σ</c:v>
                </c:pt>
              </c:strCache>
            </c:strRef>
          </c:cat>
          <c:val>
            <c:numRef>
              <c:f>'SD Sample Size'!$E$7:$F$7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'SD Sample Size'!$E$5:$F$5</c:f>
              <c:strCache>
                <c:ptCount val="2"/>
                <c:pt idx="0">
                  <c:v>Baseline σ</c:v>
                </c:pt>
                <c:pt idx="1">
                  <c:v>Target σ</c:v>
                </c:pt>
              </c:strCache>
            </c:strRef>
          </c:cat>
          <c:val>
            <c:numRef>
              <c:f>'SD Sample Size'!$E$8:$F$8</c:f>
              <c:numCache>
                <c:formatCode>0.0000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axId val="228316288"/>
        <c:axId val="228317824"/>
      </c:lineChart>
      <c:catAx>
        <c:axId val="22831628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317824"/>
        <c:crosses val="autoZero"/>
        <c:auto val="1"/>
        <c:lblAlgn val="ctr"/>
        <c:lblOffset val="100"/>
        <c:tickLblSkip val="1"/>
        <c:tickMarkSkip val="1"/>
      </c:catAx>
      <c:valAx>
        <c:axId val="228317824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3162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9713330649818864"/>
          <c:y val="0.14619966533982856"/>
          <c:w val="0.7204326292024712"/>
          <c:h val="0.48538288892823367"/>
        </c:manualLayout>
      </c:layout>
      <c:scatterChart>
        <c:scatterStyle val="line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'SD Sample Size'!$A$20:$A$28</c:f>
              <c:numCache>
                <c:formatCode>General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xVal>
          <c:yVal>
            <c:numRef>
              <c:f>'SD Sample Size'!$B$20:$B$28</c:f>
              <c:numCache>
                <c:formatCode>General</c:formatCode>
                <c:ptCount val="9"/>
                <c:pt idx="0">
                  <c:v>700</c:v>
                </c:pt>
                <c:pt idx="1">
                  <c:v>150</c:v>
                </c:pt>
                <c:pt idx="2">
                  <c:v>62</c:v>
                </c:pt>
                <c:pt idx="3">
                  <c:v>32</c:v>
                </c:pt>
                <c:pt idx="4">
                  <c:v>20</c:v>
                </c:pt>
                <c:pt idx="5">
                  <c:v>12</c:v>
                </c:pt>
                <c:pt idx="6">
                  <c:v>8</c:v>
                </c:pt>
                <c:pt idx="7">
                  <c:v>5</c:v>
                </c:pt>
                <c:pt idx="8">
                  <c:v>4</c:v>
                </c:pt>
              </c:numCache>
            </c:numRef>
          </c:yVal>
        </c:ser>
        <c:axId val="228369536"/>
        <c:axId val="228371840"/>
      </c:scatterChart>
      <c:valAx>
        <c:axId val="228369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Reduction Amount</a:t>
                </a:r>
              </a:p>
            </c:rich>
          </c:tx>
          <c:layout>
            <c:manualLayout>
              <c:xMode val="edge"/>
              <c:yMode val="edge"/>
              <c:x val="0.36559267750573182"/>
              <c:y val="0.789478192835074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371840"/>
        <c:crosses val="autoZero"/>
        <c:crossBetween val="midCat"/>
        <c:majorUnit val="0.1"/>
      </c:valAx>
      <c:valAx>
        <c:axId val="228371840"/>
        <c:scaling>
          <c:orientation val="minMax"/>
        </c:scaling>
        <c:axPos val="l"/>
        <c:title>
          <c:tx>
            <c:rich>
              <a:bodyPr rot="0" vert="horz"/>
              <a:lstStyle/>
              <a:p>
                <a:pPr algn="ctr"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</a:t>
                </a:r>
              </a:p>
            </c:rich>
          </c:tx>
          <c:layout>
            <c:manualLayout>
              <c:xMode val="edge"/>
              <c:yMode val="edge"/>
              <c:x val="5.7347870981291432E-2"/>
              <c:y val="0.3274872503612174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3695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Confidence Intervals for Standard Deviations</a:t>
            </a:r>
          </a:p>
        </c:rich>
      </c:tx>
      <c:layout>
        <c:manualLayout>
          <c:xMode val="edge"/>
          <c:yMode val="edge"/>
          <c:x val="0.23981935776559904"/>
          <c:y val="3.225814919919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518872134933737"/>
          <c:y val="0.18817253699527731"/>
          <c:w val="0.85369658173162344"/>
          <c:h val="0.69086202868266056"/>
        </c:manualLayout>
      </c:layout>
      <c:lineChart>
        <c:grouping val="standard"/>
        <c:ser>
          <c:idx val="0"/>
          <c:order val="0"/>
          <c:tx>
            <c:strRef>
              <c:f>'Standard Deviations'!$D$7:$D$8</c:f>
              <c:strCache>
                <c:ptCount val="1"/>
                <c:pt idx="0">
                  <c:v>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'Standard Deviations'!$B$9:$C$13</c:f>
            </c:multiLvlStrRef>
          </c:cat>
          <c:val>
            <c:numRef>
              <c:f>'Standard Deviations'!$D$9:$D$13</c:f>
              <c:numCache>
                <c:formatCode>0.000</c:formatCode>
                <c:ptCount val="5"/>
              </c:numCache>
            </c:numRef>
          </c:val>
        </c:ser>
        <c:ser>
          <c:idx val="1"/>
          <c:order val="1"/>
          <c:tx>
            <c:strRef>
              <c:f>'Standard Deviations'!$F$8</c:f>
              <c:strCache>
                <c:ptCount val="1"/>
                <c:pt idx="0">
                  <c:v>LCL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'Standard Deviations'!$B$9:$C$13</c:f>
            </c:multiLvlStrRef>
          </c:cat>
          <c:val>
            <c:numRef>
              <c:f>'Standard Deviations'!$F$9:$F$13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tx>
            <c:strRef>
              <c:f>'Standard Deviations'!$G$8</c:f>
              <c:strCache>
                <c:ptCount val="1"/>
                <c:pt idx="0">
                  <c:v>UCL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multiLvlStrRef>
              <c:f>'Standard Deviations'!$B$9:$C$13</c:f>
            </c:multiLvlStrRef>
          </c:cat>
          <c:val>
            <c:numRef>
              <c:f>'Standard Deviations'!$G$9:$G$13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axId val="228443264"/>
        <c:axId val="228444800"/>
      </c:lineChart>
      <c:catAx>
        <c:axId val="2284432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444800"/>
        <c:crosses val="autoZero"/>
        <c:auto val="1"/>
        <c:lblAlgn val="ctr"/>
        <c:lblOffset val="100"/>
        <c:tickLblSkip val="1"/>
        <c:tickMarkSkip val="1"/>
      </c:catAx>
      <c:valAx>
        <c:axId val="228444800"/>
        <c:scaling>
          <c:orientation val="minMax"/>
        </c:scaling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2.4132765561318052E-2"/>
              <c:y val="0.36290417849089363"/>
            </c:manualLayout>
          </c:layout>
          <c:spPr>
            <a:noFill/>
            <a:ln w="25400">
              <a:noFill/>
            </a:ln>
          </c:spPr>
        </c:title>
        <c:numFmt formatCode="0.0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4432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orientation="landscape" horizontalDpi="-2" verticalDpi="0"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6.wmf"/><Relationship Id="rId2" Type="http://schemas.openxmlformats.org/officeDocument/2006/relationships/image" Target="../media/image85.wmf"/><Relationship Id="rId1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2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8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8.emf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11" Type="http://schemas.openxmlformats.org/officeDocument/2006/relationships/chart" Target="../charts/chart51.xml"/><Relationship Id="rId5" Type="http://schemas.openxmlformats.org/officeDocument/2006/relationships/chart" Target="../charts/chart45.xml"/><Relationship Id="rId10" Type="http://schemas.openxmlformats.org/officeDocument/2006/relationships/chart" Target="../charts/chart50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3" Type="http://schemas.openxmlformats.org/officeDocument/2006/relationships/chart" Target="../charts/chart54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5" Type="http://schemas.openxmlformats.org/officeDocument/2006/relationships/chart" Target="../charts/chart56.xml"/><Relationship Id="rId10" Type="http://schemas.openxmlformats.org/officeDocument/2006/relationships/chart" Target="../charts/chart61.xml"/><Relationship Id="rId4" Type="http://schemas.openxmlformats.org/officeDocument/2006/relationships/chart" Target="../charts/chart55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7.xml"/><Relationship Id="rId1" Type="http://schemas.openxmlformats.org/officeDocument/2006/relationships/chart" Target="../charts/chart6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8.emf"/><Relationship Id="rId2" Type="http://schemas.openxmlformats.org/officeDocument/2006/relationships/image" Target="../media/image177.emf"/><Relationship Id="rId1" Type="http://schemas.openxmlformats.org/officeDocument/2006/relationships/chart" Target="../charts/chart70.xml"/><Relationship Id="rId4" Type="http://schemas.openxmlformats.org/officeDocument/2006/relationships/image" Target="../media/image179.em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2.xml"/><Relationship Id="rId1" Type="http://schemas.openxmlformats.org/officeDocument/2006/relationships/chart" Target="../charts/chart71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5" Type="http://schemas.openxmlformats.org/officeDocument/2006/relationships/chart" Target="../charts/chart85.xml"/><Relationship Id="rId4" Type="http://schemas.openxmlformats.org/officeDocument/2006/relationships/chart" Target="../charts/chart8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9.emf"/><Relationship Id="rId18" Type="http://schemas.openxmlformats.org/officeDocument/2006/relationships/image" Target="../media/image64.emf"/><Relationship Id="rId3" Type="http://schemas.openxmlformats.org/officeDocument/2006/relationships/image" Target="../media/image49.emf"/><Relationship Id="rId21" Type="http://schemas.openxmlformats.org/officeDocument/2006/relationships/image" Target="../media/image67.emf"/><Relationship Id="rId7" Type="http://schemas.openxmlformats.org/officeDocument/2006/relationships/image" Target="../media/image53.emf"/><Relationship Id="rId12" Type="http://schemas.openxmlformats.org/officeDocument/2006/relationships/image" Target="../media/image58.emf"/><Relationship Id="rId17" Type="http://schemas.openxmlformats.org/officeDocument/2006/relationships/image" Target="../media/image63.emf"/><Relationship Id="rId2" Type="http://schemas.openxmlformats.org/officeDocument/2006/relationships/image" Target="../media/image48.emf"/><Relationship Id="rId16" Type="http://schemas.openxmlformats.org/officeDocument/2006/relationships/image" Target="../media/image62.emf"/><Relationship Id="rId20" Type="http://schemas.openxmlformats.org/officeDocument/2006/relationships/image" Target="../media/image66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11" Type="http://schemas.openxmlformats.org/officeDocument/2006/relationships/image" Target="../media/image57.emf"/><Relationship Id="rId5" Type="http://schemas.openxmlformats.org/officeDocument/2006/relationships/image" Target="../media/image51.emf"/><Relationship Id="rId15" Type="http://schemas.openxmlformats.org/officeDocument/2006/relationships/image" Target="../media/image61.emf"/><Relationship Id="rId10" Type="http://schemas.openxmlformats.org/officeDocument/2006/relationships/image" Target="../media/image56.emf"/><Relationship Id="rId19" Type="http://schemas.openxmlformats.org/officeDocument/2006/relationships/image" Target="../media/image65.emf"/><Relationship Id="rId4" Type="http://schemas.openxmlformats.org/officeDocument/2006/relationships/image" Target="../media/image50.emf"/><Relationship Id="rId9" Type="http://schemas.openxmlformats.org/officeDocument/2006/relationships/image" Target="../media/image55.emf"/><Relationship Id="rId14" Type="http://schemas.openxmlformats.org/officeDocument/2006/relationships/image" Target="../media/image6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image" Target="../media/image70.emf"/><Relationship Id="rId7" Type="http://schemas.openxmlformats.org/officeDocument/2006/relationships/image" Target="../media/image74.emf"/><Relationship Id="rId12" Type="http://schemas.openxmlformats.org/officeDocument/2006/relationships/image" Target="../media/image79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6" Type="http://schemas.openxmlformats.org/officeDocument/2006/relationships/image" Target="../media/image73.emf"/><Relationship Id="rId11" Type="http://schemas.openxmlformats.org/officeDocument/2006/relationships/image" Target="../media/image78.emf"/><Relationship Id="rId5" Type="http://schemas.openxmlformats.org/officeDocument/2006/relationships/image" Target="../media/image72.emf"/><Relationship Id="rId10" Type="http://schemas.openxmlformats.org/officeDocument/2006/relationships/image" Target="../media/image77.emf"/><Relationship Id="rId4" Type="http://schemas.openxmlformats.org/officeDocument/2006/relationships/image" Target="../media/image71.emf"/><Relationship Id="rId9" Type="http://schemas.openxmlformats.org/officeDocument/2006/relationships/image" Target="../media/image7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8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7.emf"/><Relationship Id="rId1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2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3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5.emf"/><Relationship Id="rId1" Type="http://schemas.openxmlformats.org/officeDocument/2006/relationships/image" Target="../media/image10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8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0.emf"/><Relationship Id="rId1" Type="http://schemas.openxmlformats.org/officeDocument/2006/relationships/image" Target="../media/image10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Relationship Id="rId4" Type="http://schemas.openxmlformats.org/officeDocument/2006/relationships/image" Target="../media/image11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7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1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Relationship Id="rId4" Type="http://schemas.openxmlformats.org/officeDocument/2006/relationships/image" Target="../media/image122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5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6.emf"/><Relationship Id="rId3" Type="http://schemas.openxmlformats.org/officeDocument/2006/relationships/image" Target="../media/image131.emf"/><Relationship Id="rId7" Type="http://schemas.openxmlformats.org/officeDocument/2006/relationships/image" Target="../media/image135.emf"/><Relationship Id="rId2" Type="http://schemas.openxmlformats.org/officeDocument/2006/relationships/image" Target="../media/image130.emf"/><Relationship Id="rId1" Type="http://schemas.openxmlformats.org/officeDocument/2006/relationships/image" Target="../media/image129.emf"/><Relationship Id="rId6" Type="http://schemas.openxmlformats.org/officeDocument/2006/relationships/image" Target="../media/image134.emf"/><Relationship Id="rId5" Type="http://schemas.openxmlformats.org/officeDocument/2006/relationships/image" Target="../media/image133.emf"/><Relationship Id="rId4" Type="http://schemas.openxmlformats.org/officeDocument/2006/relationships/image" Target="../media/image132.emf"/></Relationships>
</file>

<file path=xl/drawings/_rels/vmlDrawing2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4.emf"/><Relationship Id="rId13" Type="http://schemas.openxmlformats.org/officeDocument/2006/relationships/image" Target="../media/image149.emf"/><Relationship Id="rId3" Type="http://schemas.openxmlformats.org/officeDocument/2006/relationships/image" Target="../media/image139.emf"/><Relationship Id="rId7" Type="http://schemas.openxmlformats.org/officeDocument/2006/relationships/image" Target="../media/image143.emf"/><Relationship Id="rId12" Type="http://schemas.openxmlformats.org/officeDocument/2006/relationships/image" Target="../media/image148.emf"/><Relationship Id="rId2" Type="http://schemas.openxmlformats.org/officeDocument/2006/relationships/image" Target="../media/image138.emf"/><Relationship Id="rId16" Type="http://schemas.openxmlformats.org/officeDocument/2006/relationships/image" Target="../media/image152.emf"/><Relationship Id="rId1" Type="http://schemas.openxmlformats.org/officeDocument/2006/relationships/image" Target="../media/image137.emf"/><Relationship Id="rId6" Type="http://schemas.openxmlformats.org/officeDocument/2006/relationships/image" Target="../media/image142.emf"/><Relationship Id="rId11" Type="http://schemas.openxmlformats.org/officeDocument/2006/relationships/image" Target="../media/image147.emf"/><Relationship Id="rId5" Type="http://schemas.openxmlformats.org/officeDocument/2006/relationships/image" Target="../media/image141.emf"/><Relationship Id="rId15" Type="http://schemas.openxmlformats.org/officeDocument/2006/relationships/image" Target="../media/image151.emf"/><Relationship Id="rId10" Type="http://schemas.openxmlformats.org/officeDocument/2006/relationships/image" Target="../media/image146.emf"/><Relationship Id="rId4" Type="http://schemas.openxmlformats.org/officeDocument/2006/relationships/image" Target="../media/image140.emf"/><Relationship Id="rId9" Type="http://schemas.openxmlformats.org/officeDocument/2006/relationships/image" Target="../media/image145.emf"/><Relationship Id="rId14" Type="http://schemas.openxmlformats.org/officeDocument/2006/relationships/image" Target="../media/image150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3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4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5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6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7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1.emf"/><Relationship Id="rId2" Type="http://schemas.openxmlformats.org/officeDocument/2006/relationships/image" Target="../media/image160.emf"/><Relationship Id="rId1" Type="http://schemas.openxmlformats.org/officeDocument/2006/relationships/image" Target="../media/image159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3.emf"/><Relationship Id="rId1" Type="http://schemas.openxmlformats.org/officeDocument/2006/relationships/image" Target="../media/image162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5.emf"/><Relationship Id="rId1" Type="http://schemas.openxmlformats.org/officeDocument/2006/relationships/image" Target="../media/image164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7.emf"/><Relationship Id="rId1" Type="http://schemas.openxmlformats.org/officeDocument/2006/relationships/image" Target="../media/image166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0.emf"/><Relationship Id="rId2" Type="http://schemas.openxmlformats.org/officeDocument/2006/relationships/image" Target="../media/image169.emf"/><Relationship Id="rId1" Type="http://schemas.openxmlformats.org/officeDocument/2006/relationships/image" Target="../media/image168.emf"/><Relationship Id="rId4" Type="http://schemas.openxmlformats.org/officeDocument/2006/relationships/image" Target="../media/image171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4.emf"/><Relationship Id="rId2" Type="http://schemas.openxmlformats.org/officeDocument/2006/relationships/image" Target="../media/image173.emf"/><Relationship Id="rId1" Type="http://schemas.openxmlformats.org/officeDocument/2006/relationships/image" Target="../media/image172.emf"/><Relationship Id="rId5" Type="http://schemas.openxmlformats.org/officeDocument/2006/relationships/image" Target="../media/image176.emf"/><Relationship Id="rId4" Type="http://schemas.openxmlformats.org/officeDocument/2006/relationships/image" Target="../media/image175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1.emf"/><Relationship Id="rId1" Type="http://schemas.openxmlformats.org/officeDocument/2006/relationships/image" Target="../media/image180.emf"/></Relationships>
</file>

<file path=xl/drawings/_rels/vmlDrawing3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2.emf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3.emf"/></Relationships>
</file>

<file path=xl/drawings/_rels/vmlDrawing4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4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6.emf"/><Relationship Id="rId1" Type="http://schemas.openxmlformats.org/officeDocument/2006/relationships/image" Target="../media/image185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9.emf"/><Relationship Id="rId2" Type="http://schemas.openxmlformats.org/officeDocument/2006/relationships/image" Target="../media/image188.emf"/><Relationship Id="rId1" Type="http://schemas.openxmlformats.org/officeDocument/2006/relationships/image" Target="../media/image187.emf"/><Relationship Id="rId4" Type="http://schemas.openxmlformats.org/officeDocument/2006/relationships/image" Target="../media/image190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3.emf"/><Relationship Id="rId2" Type="http://schemas.openxmlformats.org/officeDocument/2006/relationships/image" Target="../media/image192.emf"/><Relationship Id="rId1" Type="http://schemas.openxmlformats.org/officeDocument/2006/relationships/image" Target="../media/image191.emf"/><Relationship Id="rId4" Type="http://schemas.openxmlformats.org/officeDocument/2006/relationships/image" Target="../media/image194.emf"/></Relationships>
</file>

<file path=xl/drawings/_rels/vmlDrawing4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5.emf"/></Relationships>
</file>

<file path=xl/drawings/_rels/vmlDrawing4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6.emf"/></Relationships>
</file>

<file path=xl/drawings/_rels/vmlDrawing4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7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9.emf"/><Relationship Id="rId1" Type="http://schemas.openxmlformats.org/officeDocument/2006/relationships/image" Target="../media/image198.emf"/></Relationships>
</file>

<file path=xl/drawings/_rels/vmlDrawing4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0.emf"/></Relationships>
</file>

<file path=xl/drawings/_rels/vmlDrawing5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1.emf"/></Relationships>
</file>

<file path=xl/drawings/_rels/vmlDrawing5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2.emf"/></Relationships>
</file>

<file path=xl/drawings/_rels/vmlDrawing5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3.emf"/></Relationships>
</file>

<file path=xl/drawings/_rels/vmlDrawing5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4.emf"/></Relationships>
</file>

<file path=xl/drawings/_rels/vmlDrawing5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5.emf"/></Relationships>
</file>

<file path=xl/drawings/_rels/vmlDrawing5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6.emf"/></Relationships>
</file>

<file path=xl/drawings/_rels/vmlDrawing5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7.emf"/></Relationships>
</file>

<file path=xl/drawings/_rels/vmlDrawing5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8.emf"/></Relationships>
</file>

<file path=xl/drawings/_rels/vmlDrawing5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9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1</xdr:row>
      <xdr:rowOff>57150</xdr:rowOff>
    </xdr:from>
    <xdr:to>
      <xdr:col>8</xdr:col>
      <xdr:colOff>180975</xdr:colOff>
      <xdr:row>3</xdr:row>
      <xdr:rowOff>19050</xdr:rowOff>
    </xdr:to>
    <xdr:sp macro="" textlink="">
      <xdr:nvSpPr>
        <xdr:cNvPr id="80966" name="Rectangle 70"/>
        <xdr:cNvSpPr>
          <a:spLocks noChangeArrowheads="1"/>
        </xdr:cNvSpPr>
      </xdr:nvSpPr>
      <xdr:spPr bwMode="auto">
        <a:xfrm>
          <a:off x="4848225" y="381000"/>
          <a:ext cx="15049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Type of Data</a:t>
          </a:r>
        </a:p>
      </xdr:txBody>
    </xdr:sp>
    <xdr:clientData/>
  </xdr:twoCellAnchor>
  <xdr:twoCellAnchor>
    <xdr:from>
      <xdr:col>3</xdr:col>
      <xdr:colOff>209550</xdr:colOff>
      <xdr:row>3</xdr:row>
      <xdr:rowOff>66675</xdr:rowOff>
    </xdr:from>
    <xdr:to>
      <xdr:col>7</xdr:col>
      <xdr:colOff>276225</xdr:colOff>
      <xdr:row>6</xdr:row>
      <xdr:rowOff>123825</xdr:rowOff>
    </xdr:to>
    <xdr:sp macro="" textlink="">
      <xdr:nvSpPr>
        <xdr:cNvPr id="80967" name="Line 71"/>
        <xdr:cNvSpPr>
          <a:spLocks noChangeShapeType="1"/>
        </xdr:cNvSpPr>
      </xdr:nvSpPr>
      <xdr:spPr bwMode="auto">
        <a:xfrm flipH="1">
          <a:off x="2266950" y="714375"/>
          <a:ext cx="3571875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419100</xdr:colOff>
      <xdr:row>3</xdr:row>
      <xdr:rowOff>66675</xdr:rowOff>
    </xdr:from>
    <xdr:to>
      <xdr:col>11</xdr:col>
      <xdr:colOff>657225</xdr:colOff>
      <xdr:row>7</xdr:row>
      <xdr:rowOff>19050</xdr:rowOff>
    </xdr:to>
    <xdr:sp macro="" textlink="">
      <xdr:nvSpPr>
        <xdr:cNvPr id="80968" name="Line 72"/>
        <xdr:cNvSpPr>
          <a:spLocks noChangeShapeType="1"/>
        </xdr:cNvSpPr>
      </xdr:nvSpPr>
      <xdr:spPr bwMode="auto">
        <a:xfrm>
          <a:off x="5981700" y="714375"/>
          <a:ext cx="3362325" cy="600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533400</xdr:colOff>
      <xdr:row>7</xdr:row>
      <xdr:rowOff>114300</xdr:rowOff>
    </xdr:from>
    <xdr:to>
      <xdr:col>4</xdr:col>
      <xdr:colOff>342900</xdr:colOff>
      <xdr:row>12</xdr:row>
      <xdr:rowOff>47625</xdr:rowOff>
    </xdr:to>
    <xdr:sp macro="" textlink="">
      <xdr:nvSpPr>
        <xdr:cNvPr id="80969" name="Rectangle 73"/>
        <xdr:cNvSpPr>
          <a:spLocks noChangeArrowheads="1"/>
        </xdr:cNvSpPr>
      </xdr:nvSpPr>
      <xdr:spPr bwMode="auto">
        <a:xfrm>
          <a:off x="1314450" y="1409700"/>
          <a:ext cx="2162175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Categorical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Defect, Defective or Contingency?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209550</xdr:colOff>
      <xdr:row>7</xdr:row>
      <xdr:rowOff>133350</xdr:rowOff>
    </xdr:from>
    <xdr:to>
      <xdr:col>13</xdr:col>
      <xdr:colOff>190500</xdr:colOff>
      <xdr:row>12</xdr:row>
      <xdr:rowOff>9525</xdr:rowOff>
    </xdr:to>
    <xdr:sp macro="" textlink="">
      <xdr:nvSpPr>
        <xdr:cNvPr id="80970" name="Rectangle 74"/>
        <xdr:cNvSpPr>
          <a:spLocks noChangeArrowheads="1"/>
        </xdr:cNvSpPr>
      </xdr:nvSpPr>
      <xdr:spPr bwMode="auto">
        <a:xfrm>
          <a:off x="8334375" y="1428750"/>
          <a:ext cx="1809750" cy="685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Continuous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Relationship of Difference?</a:t>
          </a:r>
        </a:p>
      </xdr:txBody>
    </xdr:sp>
    <xdr:clientData/>
  </xdr:twoCellAnchor>
  <xdr:twoCellAnchor>
    <xdr:from>
      <xdr:col>0</xdr:col>
      <xdr:colOff>76200</xdr:colOff>
      <xdr:row>14</xdr:row>
      <xdr:rowOff>133350</xdr:rowOff>
    </xdr:from>
    <xdr:to>
      <xdr:col>2</xdr:col>
      <xdr:colOff>847725</xdr:colOff>
      <xdr:row>19</xdr:row>
      <xdr:rowOff>66675</xdr:rowOff>
    </xdr:to>
    <xdr:sp macro="" textlink="">
      <xdr:nvSpPr>
        <xdr:cNvPr id="80971" name="Rectangle 75"/>
        <xdr:cNvSpPr>
          <a:spLocks noChangeArrowheads="1"/>
        </xdr:cNvSpPr>
      </xdr:nvSpPr>
      <xdr:spPr bwMode="auto">
        <a:xfrm>
          <a:off x="76200" y="2562225"/>
          <a:ext cx="1552575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Defect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495300</xdr:colOff>
      <xdr:row>12</xdr:row>
      <xdr:rowOff>57150</xdr:rowOff>
    </xdr:from>
    <xdr:to>
      <xdr:col>2</xdr:col>
      <xdr:colOff>1466850</xdr:colOff>
      <xdr:row>14</xdr:row>
      <xdr:rowOff>0</xdr:rowOff>
    </xdr:to>
    <xdr:sp macro="" textlink="">
      <xdr:nvSpPr>
        <xdr:cNvPr id="80972" name="Line 76"/>
        <xdr:cNvSpPr>
          <a:spLocks noChangeShapeType="1"/>
        </xdr:cNvSpPr>
      </xdr:nvSpPr>
      <xdr:spPr bwMode="auto">
        <a:xfrm flipH="1">
          <a:off x="1276350" y="2162175"/>
          <a:ext cx="7810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1371600</xdr:colOff>
      <xdr:row>14</xdr:row>
      <xdr:rowOff>133350</xdr:rowOff>
    </xdr:from>
    <xdr:to>
      <xdr:col>4</xdr:col>
      <xdr:colOff>390525</xdr:colOff>
      <xdr:row>19</xdr:row>
      <xdr:rowOff>66675</xdr:rowOff>
    </xdr:to>
    <xdr:sp macro="" textlink="">
      <xdr:nvSpPr>
        <xdr:cNvPr id="80973" name="Rectangle 77"/>
        <xdr:cNvSpPr>
          <a:spLocks noChangeArrowheads="1"/>
        </xdr:cNvSpPr>
      </xdr:nvSpPr>
      <xdr:spPr bwMode="auto">
        <a:xfrm>
          <a:off x="2057400" y="2562225"/>
          <a:ext cx="1466850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Defective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Is the defective rate &gt; .05?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1104900</xdr:colOff>
      <xdr:row>14</xdr:row>
      <xdr:rowOff>133350</xdr:rowOff>
    </xdr:from>
    <xdr:to>
      <xdr:col>7</xdr:col>
      <xdr:colOff>228600</xdr:colOff>
      <xdr:row>19</xdr:row>
      <xdr:rowOff>66675</xdr:rowOff>
    </xdr:to>
    <xdr:sp macro="" textlink="">
      <xdr:nvSpPr>
        <xdr:cNvPr id="80974" name="Rectangle 78"/>
        <xdr:cNvSpPr>
          <a:spLocks noChangeArrowheads="1"/>
        </xdr:cNvSpPr>
      </xdr:nvSpPr>
      <xdr:spPr bwMode="auto">
        <a:xfrm>
          <a:off x="4238625" y="2562225"/>
          <a:ext cx="1552575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Contingency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Sample Size 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&gt; 30?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38100</xdr:colOff>
      <xdr:row>12</xdr:row>
      <xdr:rowOff>57150</xdr:rowOff>
    </xdr:from>
    <xdr:to>
      <xdr:col>3</xdr:col>
      <xdr:colOff>647700</xdr:colOff>
      <xdr:row>14</xdr:row>
      <xdr:rowOff>104775</xdr:rowOff>
    </xdr:to>
    <xdr:sp macro="" textlink="">
      <xdr:nvSpPr>
        <xdr:cNvPr id="80975" name="Line 79"/>
        <xdr:cNvSpPr>
          <a:spLocks noChangeShapeType="1"/>
        </xdr:cNvSpPr>
      </xdr:nvSpPr>
      <xdr:spPr bwMode="auto">
        <a:xfrm>
          <a:off x="2095500" y="2162175"/>
          <a:ext cx="60960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342900</xdr:colOff>
      <xdr:row>12</xdr:row>
      <xdr:rowOff>66675</xdr:rowOff>
    </xdr:from>
    <xdr:to>
      <xdr:col>4</xdr:col>
      <xdr:colOff>1152525</xdr:colOff>
      <xdr:row>14</xdr:row>
      <xdr:rowOff>114300</xdr:rowOff>
    </xdr:to>
    <xdr:sp macro="" textlink="">
      <xdr:nvSpPr>
        <xdr:cNvPr id="80976" name="Line 80"/>
        <xdr:cNvSpPr>
          <a:spLocks noChangeShapeType="1"/>
        </xdr:cNvSpPr>
      </xdr:nvSpPr>
      <xdr:spPr bwMode="auto">
        <a:xfrm>
          <a:off x="2400300" y="2171700"/>
          <a:ext cx="188595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1371600</xdr:colOff>
      <xdr:row>20</xdr:row>
      <xdr:rowOff>0</xdr:rowOff>
    </xdr:from>
    <xdr:to>
      <xdr:col>4</xdr:col>
      <xdr:colOff>390525</xdr:colOff>
      <xdr:row>22</xdr:row>
      <xdr:rowOff>0</xdr:rowOff>
    </xdr:to>
    <xdr:sp macro="" textlink="">
      <xdr:nvSpPr>
        <xdr:cNvPr id="80981" name="Rectangle 85"/>
        <xdr:cNvSpPr>
          <a:spLocks noChangeArrowheads="1"/>
        </xdr:cNvSpPr>
      </xdr:nvSpPr>
      <xdr:spPr bwMode="auto">
        <a:xfrm>
          <a:off x="2057400" y="3400425"/>
          <a:ext cx="14668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0</xdr:colOff>
      <xdr:row>25</xdr:row>
      <xdr:rowOff>66675</xdr:rowOff>
    </xdr:from>
    <xdr:to>
      <xdr:col>4</xdr:col>
      <xdr:colOff>400050</xdr:colOff>
      <xdr:row>27</xdr:row>
      <xdr:rowOff>47625</xdr:rowOff>
    </xdr:to>
    <xdr:sp macro="" textlink="">
      <xdr:nvSpPr>
        <xdr:cNvPr id="80982" name="Rectangle 86"/>
        <xdr:cNvSpPr>
          <a:spLocks noChangeArrowheads="1"/>
        </xdr:cNvSpPr>
      </xdr:nvSpPr>
      <xdr:spPr bwMode="auto">
        <a:xfrm>
          <a:off x="2057400" y="4276725"/>
          <a:ext cx="1476375" cy="304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1123950</xdr:colOff>
      <xdr:row>20</xdr:row>
      <xdr:rowOff>9525</xdr:rowOff>
    </xdr:from>
    <xdr:to>
      <xdr:col>7</xdr:col>
      <xdr:colOff>228600</xdr:colOff>
      <xdr:row>22</xdr:row>
      <xdr:rowOff>9525</xdr:rowOff>
    </xdr:to>
    <xdr:sp macro="" textlink="">
      <xdr:nvSpPr>
        <xdr:cNvPr id="80985" name="Rectangle 89"/>
        <xdr:cNvSpPr>
          <a:spLocks noChangeArrowheads="1"/>
        </xdr:cNvSpPr>
      </xdr:nvSpPr>
      <xdr:spPr bwMode="auto">
        <a:xfrm>
          <a:off x="4257675" y="3409950"/>
          <a:ext cx="153352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1152525</xdr:colOff>
      <xdr:row>25</xdr:row>
      <xdr:rowOff>57150</xdr:rowOff>
    </xdr:from>
    <xdr:to>
      <xdr:col>7</xdr:col>
      <xdr:colOff>247650</xdr:colOff>
      <xdr:row>27</xdr:row>
      <xdr:rowOff>57150</xdr:rowOff>
    </xdr:to>
    <xdr:sp macro="" textlink="">
      <xdr:nvSpPr>
        <xdr:cNvPr id="80986" name="Rectangle 90"/>
        <xdr:cNvSpPr>
          <a:spLocks noChangeArrowheads="1"/>
        </xdr:cNvSpPr>
      </xdr:nvSpPr>
      <xdr:spPr bwMode="auto">
        <a:xfrm>
          <a:off x="4286250" y="4267200"/>
          <a:ext cx="152400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152400</xdr:colOff>
      <xdr:row>14</xdr:row>
      <xdr:rowOff>104775</xdr:rowOff>
    </xdr:from>
    <xdr:to>
      <xdr:col>10</xdr:col>
      <xdr:colOff>333375</xdr:colOff>
      <xdr:row>16</xdr:row>
      <xdr:rowOff>123825</xdr:rowOff>
    </xdr:to>
    <xdr:sp macro="" textlink="">
      <xdr:nvSpPr>
        <xdr:cNvPr id="80989" name="Rectangle 93"/>
        <xdr:cNvSpPr>
          <a:spLocks noChangeArrowheads="1"/>
        </xdr:cNvSpPr>
      </xdr:nvSpPr>
      <xdr:spPr bwMode="auto">
        <a:xfrm>
          <a:off x="6934200" y="2533650"/>
          <a:ext cx="1524000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Relationship</a:t>
          </a:r>
        </a:p>
      </xdr:txBody>
    </xdr:sp>
    <xdr:clientData/>
  </xdr:twoCellAnchor>
  <xdr:twoCellAnchor>
    <xdr:from>
      <xdr:col>12</xdr:col>
      <xdr:colOff>381000</xdr:colOff>
      <xdr:row>14</xdr:row>
      <xdr:rowOff>85725</xdr:rowOff>
    </xdr:from>
    <xdr:to>
      <xdr:col>15</xdr:col>
      <xdr:colOff>0</xdr:colOff>
      <xdr:row>19</xdr:row>
      <xdr:rowOff>19050</xdr:rowOff>
    </xdr:to>
    <xdr:sp macro="" textlink="">
      <xdr:nvSpPr>
        <xdr:cNvPr id="80990" name="Rectangle 94"/>
        <xdr:cNvSpPr>
          <a:spLocks noChangeArrowheads="1"/>
        </xdr:cNvSpPr>
      </xdr:nvSpPr>
      <xdr:spPr bwMode="auto">
        <a:xfrm>
          <a:off x="9725025" y="2514600"/>
          <a:ext cx="1866900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Difference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Difference between Mean or Variance?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952500</xdr:colOff>
      <xdr:row>12</xdr:row>
      <xdr:rowOff>38100</xdr:rowOff>
    </xdr:from>
    <xdr:to>
      <xdr:col>10</xdr:col>
      <xdr:colOff>419100</xdr:colOff>
      <xdr:row>14</xdr:row>
      <xdr:rowOff>57150</xdr:rowOff>
    </xdr:to>
    <xdr:sp macro="" textlink="">
      <xdr:nvSpPr>
        <xdr:cNvPr id="80991" name="Line 95"/>
        <xdr:cNvSpPr>
          <a:spLocks noChangeShapeType="1"/>
        </xdr:cNvSpPr>
      </xdr:nvSpPr>
      <xdr:spPr bwMode="auto">
        <a:xfrm flipH="1">
          <a:off x="7734300" y="2143125"/>
          <a:ext cx="809625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952500</xdr:colOff>
      <xdr:row>12</xdr:row>
      <xdr:rowOff>57150</xdr:rowOff>
    </xdr:from>
    <xdr:to>
      <xdr:col>13</xdr:col>
      <xdr:colOff>581025</xdr:colOff>
      <xdr:row>14</xdr:row>
      <xdr:rowOff>57150</xdr:rowOff>
    </xdr:to>
    <xdr:sp macro="" textlink="">
      <xdr:nvSpPr>
        <xdr:cNvPr id="80992" name="Line 96"/>
        <xdr:cNvSpPr>
          <a:spLocks noChangeShapeType="1"/>
        </xdr:cNvSpPr>
      </xdr:nvSpPr>
      <xdr:spPr bwMode="auto">
        <a:xfrm>
          <a:off x="9953625" y="2162175"/>
          <a:ext cx="5810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257175</xdr:colOff>
      <xdr:row>33</xdr:row>
      <xdr:rowOff>66675</xdr:rowOff>
    </xdr:from>
    <xdr:to>
      <xdr:col>10</xdr:col>
      <xdr:colOff>438150</xdr:colOff>
      <xdr:row>38</xdr:row>
      <xdr:rowOff>0</xdr:rowOff>
    </xdr:to>
    <xdr:sp macro="" textlink="">
      <xdr:nvSpPr>
        <xdr:cNvPr id="80994" name="Rectangle 98"/>
        <xdr:cNvSpPr>
          <a:spLocks noChangeArrowheads="1"/>
        </xdr:cNvSpPr>
      </xdr:nvSpPr>
      <xdr:spPr bwMode="auto">
        <a:xfrm>
          <a:off x="7038975" y="5572125"/>
          <a:ext cx="1524000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Means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Do you have more than two groups?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904875</xdr:colOff>
      <xdr:row>33</xdr:row>
      <xdr:rowOff>47625</xdr:rowOff>
    </xdr:from>
    <xdr:to>
      <xdr:col>15</xdr:col>
      <xdr:colOff>152400</xdr:colOff>
      <xdr:row>37</xdr:row>
      <xdr:rowOff>142875</xdr:rowOff>
    </xdr:to>
    <xdr:sp macro="" textlink="">
      <xdr:nvSpPr>
        <xdr:cNvPr id="80995" name="Rectangle 99"/>
        <xdr:cNvSpPr>
          <a:spLocks noChangeArrowheads="1"/>
        </xdr:cNvSpPr>
      </xdr:nvSpPr>
      <xdr:spPr bwMode="auto">
        <a:xfrm>
          <a:off x="9953625" y="5553075"/>
          <a:ext cx="1790700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Variance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Do you have more than two groups?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1123950</xdr:colOff>
      <xdr:row>19</xdr:row>
      <xdr:rowOff>66675</xdr:rowOff>
    </xdr:from>
    <xdr:to>
      <xdr:col>14</xdr:col>
      <xdr:colOff>19050</xdr:colOff>
      <xdr:row>32</xdr:row>
      <xdr:rowOff>142875</xdr:rowOff>
    </xdr:to>
    <xdr:sp macro="" textlink="">
      <xdr:nvSpPr>
        <xdr:cNvPr id="80996" name="Line 100"/>
        <xdr:cNvSpPr>
          <a:spLocks noChangeShapeType="1"/>
        </xdr:cNvSpPr>
      </xdr:nvSpPr>
      <xdr:spPr bwMode="auto">
        <a:xfrm flipH="1">
          <a:off x="7905750" y="3305175"/>
          <a:ext cx="2676525" cy="2181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142875</xdr:colOff>
      <xdr:row>19</xdr:row>
      <xdr:rowOff>76200</xdr:rowOff>
    </xdr:from>
    <xdr:to>
      <xdr:col>14</xdr:col>
      <xdr:colOff>152400</xdr:colOff>
      <xdr:row>32</xdr:row>
      <xdr:rowOff>95250</xdr:rowOff>
    </xdr:to>
    <xdr:sp macro="" textlink="">
      <xdr:nvSpPr>
        <xdr:cNvPr id="80997" name="Line 101"/>
        <xdr:cNvSpPr>
          <a:spLocks noChangeShapeType="1"/>
        </xdr:cNvSpPr>
      </xdr:nvSpPr>
      <xdr:spPr bwMode="auto">
        <a:xfrm>
          <a:off x="10706100" y="3314700"/>
          <a:ext cx="9525" cy="2124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228600</xdr:colOff>
      <xdr:row>45</xdr:row>
      <xdr:rowOff>0</xdr:rowOff>
    </xdr:from>
    <xdr:to>
      <xdr:col>2</xdr:col>
      <xdr:colOff>1552575</xdr:colOff>
      <xdr:row>51</xdr:row>
      <xdr:rowOff>0</xdr:rowOff>
    </xdr:to>
    <xdr:sp macro="" textlink="">
      <xdr:nvSpPr>
        <xdr:cNvPr id="80998" name="Rectangle 102"/>
        <xdr:cNvSpPr>
          <a:spLocks noChangeArrowheads="1"/>
        </xdr:cNvSpPr>
      </xdr:nvSpPr>
      <xdr:spPr bwMode="auto">
        <a:xfrm>
          <a:off x="781050" y="7448550"/>
          <a:ext cx="127635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Is population normally distributed? (Anderson-Darling Test)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752475</xdr:colOff>
      <xdr:row>45</xdr:row>
      <xdr:rowOff>0</xdr:rowOff>
    </xdr:from>
    <xdr:to>
      <xdr:col>7</xdr:col>
      <xdr:colOff>209550</xdr:colOff>
      <xdr:row>51</xdr:row>
      <xdr:rowOff>0</xdr:rowOff>
    </xdr:to>
    <xdr:sp macro="" textlink="">
      <xdr:nvSpPr>
        <xdr:cNvPr id="80999" name="Rectangle 103"/>
        <xdr:cNvSpPr>
          <a:spLocks noChangeArrowheads="1"/>
        </xdr:cNvSpPr>
      </xdr:nvSpPr>
      <xdr:spPr bwMode="auto">
        <a:xfrm>
          <a:off x="3886200" y="7448550"/>
          <a:ext cx="188595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Is population normally distributed? (Anderson-Darling Test)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180975</xdr:colOff>
      <xdr:row>45</xdr:row>
      <xdr:rowOff>0</xdr:rowOff>
    </xdr:from>
    <xdr:to>
      <xdr:col>15</xdr:col>
      <xdr:colOff>142875</xdr:colOff>
      <xdr:row>51</xdr:row>
      <xdr:rowOff>0</xdr:rowOff>
    </xdr:to>
    <xdr:sp macro="" textlink="">
      <xdr:nvSpPr>
        <xdr:cNvPr id="81000" name="Rectangle 104"/>
        <xdr:cNvSpPr>
          <a:spLocks noChangeArrowheads="1"/>
        </xdr:cNvSpPr>
      </xdr:nvSpPr>
      <xdr:spPr bwMode="auto">
        <a:xfrm>
          <a:off x="10134600" y="7448550"/>
          <a:ext cx="16002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Is population normally distributed? (Anderson-Darling Test)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885825</xdr:colOff>
      <xdr:row>45</xdr:row>
      <xdr:rowOff>38100</xdr:rowOff>
    </xdr:from>
    <xdr:to>
      <xdr:col>11</xdr:col>
      <xdr:colOff>790575</xdr:colOff>
      <xdr:row>51</xdr:row>
      <xdr:rowOff>38100</xdr:rowOff>
    </xdr:to>
    <xdr:sp macro="" textlink="">
      <xdr:nvSpPr>
        <xdr:cNvPr id="81001" name="Rectangle 105"/>
        <xdr:cNvSpPr>
          <a:spLocks noChangeArrowheads="1"/>
        </xdr:cNvSpPr>
      </xdr:nvSpPr>
      <xdr:spPr bwMode="auto">
        <a:xfrm>
          <a:off x="7667625" y="7486650"/>
          <a:ext cx="1676400" cy="971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Is population normally distributed? (Anderson-Darling Test)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695325</xdr:colOff>
      <xdr:row>38</xdr:row>
      <xdr:rowOff>47625</xdr:rowOff>
    </xdr:from>
    <xdr:to>
      <xdr:col>9</xdr:col>
      <xdr:colOff>657225</xdr:colOff>
      <xdr:row>44</xdr:row>
      <xdr:rowOff>85725</xdr:rowOff>
    </xdr:to>
    <xdr:sp macro="" textlink="">
      <xdr:nvSpPr>
        <xdr:cNvPr id="81002" name="Line 106"/>
        <xdr:cNvSpPr>
          <a:spLocks noChangeShapeType="1"/>
        </xdr:cNvSpPr>
      </xdr:nvSpPr>
      <xdr:spPr bwMode="auto">
        <a:xfrm flipH="1">
          <a:off x="1476375" y="6362700"/>
          <a:ext cx="5962650" cy="1009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76200</xdr:colOff>
      <xdr:row>38</xdr:row>
      <xdr:rowOff>57150</xdr:rowOff>
    </xdr:from>
    <xdr:to>
      <xdr:col>9</xdr:col>
      <xdr:colOff>800100</xdr:colOff>
      <xdr:row>44</xdr:row>
      <xdr:rowOff>114300</xdr:rowOff>
    </xdr:to>
    <xdr:sp macro="" textlink="">
      <xdr:nvSpPr>
        <xdr:cNvPr id="81003" name="Line 107"/>
        <xdr:cNvSpPr>
          <a:spLocks noChangeShapeType="1"/>
        </xdr:cNvSpPr>
      </xdr:nvSpPr>
      <xdr:spPr bwMode="auto">
        <a:xfrm flipH="1">
          <a:off x="4933950" y="6372225"/>
          <a:ext cx="2647950" cy="1028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581025</xdr:colOff>
      <xdr:row>38</xdr:row>
      <xdr:rowOff>47625</xdr:rowOff>
    </xdr:from>
    <xdr:to>
      <xdr:col>14</xdr:col>
      <xdr:colOff>495300</xdr:colOff>
      <xdr:row>44</xdr:row>
      <xdr:rowOff>114300</xdr:rowOff>
    </xdr:to>
    <xdr:sp macro="" textlink="">
      <xdr:nvSpPr>
        <xdr:cNvPr id="81004" name="Line 108"/>
        <xdr:cNvSpPr>
          <a:spLocks noChangeShapeType="1"/>
        </xdr:cNvSpPr>
      </xdr:nvSpPr>
      <xdr:spPr bwMode="auto">
        <a:xfrm>
          <a:off x="10534650" y="6362700"/>
          <a:ext cx="523875" cy="1038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504825</xdr:colOff>
      <xdr:row>38</xdr:row>
      <xdr:rowOff>19050</xdr:rowOff>
    </xdr:from>
    <xdr:to>
      <xdr:col>13</xdr:col>
      <xdr:colOff>504825</xdr:colOff>
      <xdr:row>44</xdr:row>
      <xdr:rowOff>142875</xdr:rowOff>
    </xdr:to>
    <xdr:sp macro="" textlink="">
      <xdr:nvSpPr>
        <xdr:cNvPr id="81005" name="Line 109"/>
        <xdr:cNvSpPr>
          <a:spLocks noChangeShapeType="1"/>
        </xdr:cNvSpPr>
      </xdr:nvSpPr>
      <xdr:spPr bwMode="auto">
        <a:xfrm flipH="1">
          <a:off x="8629650" y="6334125"/>
          <a:ext cx="1828800" cy="1095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104775</xdr:colOff>
      <xdr:row>56</xdr:row>
      <xdr:rowOff>133350</xdr:rowOff>
    </xdr:from>
    <xdr:to>
      <xdr:col>2</xdr:col>
      <xdr:colOff>742950</xdr:colOff>
      <xdr:row>58</xdr:row>
      <xdr:rowOff>142875</xdr:rowOff>
    </xdr:to>
    <xdr:sp macro="" textlink="">
      <xdr:nvSpPr>
        <xdr:cNvPr id="81006" name="Rectangle 110"/>
        <xdr:cNvSpPr>
          <a:spLocks noChangeArrowheads="1"/>
        </xdr:cNvSpPr>
      </xdr:nvSpPr>
      <xdr:spPr bwMode="auto">
        <a:xfrm>
          <a:off x="104775" y="9363075"/>
          <a:ext cx="1419225" cy="3333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1123950</xdr:colOff>
      <xdr:row>56</xdr:row>
      <xdr:rowOff>123825</xdr:rowOff>
    </xdr:from>
    <xdr:to>
      <xdr:col>4</xdr:col>
      <xdr:colOff>238125</xdr:colOff>
      <xdr:row>61</xdr:row>
      <xdr:rowOff>66675</xdr:rowOff>
    </xdr:to>
    <xdr:sp macro="" textlink="">
      <xdr:nvSpPr>
        <xdr:cNvPr id="81007" name="Rectangle 111"/>
        <xdr:cNvSpPr>
          <a:spLocks noChangeArrowheads="1"/>
        </xdr:cNvSpPr>
      </xdr:nvSpPr>
      <xdr:spPr bwMode="auto">
        <a:xfrm>
          <a:off x="1905000" y="9353550"/>
          <a:ext cx="1466850" cy="752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Do samples contain outliers?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466725</xdr:colOff>
      <xdr:row>51</xdr:row>
      <xdr:rowOff>57150</xdr:rowOff>
    </xdr:from>
    <xdr:to>
      <xdr:col>2</xdr:col>
      <xdr:colOff>514350</xdr:colOff>
      <xdr:row>56</xdr:row>
      <xdr:rowOff>57150</xdr:rowOff>
    </xdr:to>
    <xdr:sp macro="" textlink="">
      <xdr:nvSpPr>
        <xdr:cNvPr id="81009" name="Line 113"/>
        <xdr:cNvSpPr>
          <a:spLocks noChangeShapeType="1"/>
        </xdr:cNvSpPr>
      </xdr:nvSpPr>
      <xdr:spPr bwMode="auto">
        <a:xfrm flipH="1">
          <a:off x="781050" y="8477250"/>
          <a:ext cx="51435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1266825</xdr:colOff>
      <xdr:row>51</xdr:row>
      <xdr:rowOff>38100</xdr:rowOff>
    </xdr:from>
    <xdr:to>
      <xdr:col>3</xdr:col>
      <xdr:colOff>257175</xdr:colOff>
      <xdr:row>56</xdr:row>
      <xdr:rowOff>38100</xdr:rowOff>
    </xdr:to>
    <xdr:sp macro="" textlink="">
      <xdr:nvSpPr>
        <xdr:cNvPr id="81010" name="Line 114"/>
        <xdr:cNvSpPr>
          <a:spLocks noChangeShapeType="1"/>
        </xdr:cNvSpPr>
      </xdr:nvSpPr>
      <xdr:spPr bwMode="auto">
        <a:xfrm>
          <a:off x="2047875" y="8458200"/>
          <a:ext cx="266700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1133475</xdr:colOff>
      <xdr:row>61</xdr:row>
      <xdr:rowOff>114300</xdr:rowOff>
    </xdr:from>
    <xdr:to>
      <xdr:col>4</xdr:col>
      <xdr:colOff>238125</xdr:colOff>
      <xdr:row>63</xdr:row>
      <xdr:rowOff>114300</xdr:rowOff>
    </xdr:to>
    <xdr:sp macro="" textlink="">
      <xdr:nvSpPr>
        <xdr:cNvPr id="81011" name="Rectangle 115"/>
        <xdr:cNvSpPr>
          <a:spLocks noChangeArrowheads="1"/>
        </xdr:cNvSpPr>
      </xdr:nvSpPr>
      <xdr:spPr bwMode="auto">
        <a:xfrm>
          <a:off x="1914525" y="10153650"/>
          <a:ext cx="145732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1104900</xdr:colOff>
      <xdr:row>66</xdr:row>
      <xdr:rowOff>114300</xdr:rowOff>
    </xdr:from>
    <xdr:to>
      <xdr:col>4</xdr:col>
      <xdr:colOff>228600</xdr:colOff>
      <xdr:row>68</xdr:row>
      <xdr:rowOff>114300</xdr:rowOff>
    </xdr:to>
    <xdr:sp macro="" textlink="">
      <xdr:nvSpPr>
        <xdr:cNvPr id="81012" name="Rectangle 116"/>
        <xdr:cNvSpPr>
          <a:spLocks noChangeArrowheads="1"/>
        </xdr:cNvSpPr>
      </xdr:nvSpPr>
      <xdr:spPr bwMode="auto">
        <a:xfrm>
          <a:off x="1885950" y="10963275"/>
          <a:ext cx="14763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533400</xdr:colOff>
      <xdr:row>56</xdr:row>
      <xdr:rowOff>114300</xdr:rowOff>
    </xdr:from>
    <xdr:to>
      <xdr:col>6</xdr:col>
      <xdr:colOff>238125</xdr:colOff>
      <xdr:row>61</xdr:row>
      <xdr:rowOff>85725</xdr:rowOff>
    </xdr:to>
    <xdr:sp macro="" textlink="">
      <xdr:nvSpPr>
        <xdr:cNvPr id="81015" name="Rectangle 119"/>
        <xdr:cNvSpPr>
          <a:spLocks noChangeArrowheads="1"/>
        </xdr:cNvSpPr>
      </xdr:nvSpPr>
      <xdr:spPr bwMode="auto">
        <a:xfrm>
          <a:off x="3667125" y="9344025"/>
          <a:ext cx="1428750" cy="7810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Are the samples dependent?</a:t>
          </a:r>
        </a:p>
      </xdr:txBody>
    </xdr:sp>
    <xdr:clientData/>
  </xdr:twoCellAnchor>
  <xdr:twoCellAnchor>
    <xdr:from>
      <xdr:col>7</xdr:col>
      <xdr:colOff>0</xdr:colOff>
      <xdr:row>56</xdr:row>
      <xdr:rowOff>114300</xdr:rowOff>
    </xdr:from>
    <xdr:to>
      <xdr:col>9</xdr:col>
      <xdr:colOff>247650</xdr:colOff>
      <xdr:row>61</xdr:row>
      <xdr:rowOff>85725</xdr:rowOff>
    </xdr:to>
    <xdr:sp macro="" textlink="">
      <xdr:nvSpPr>
        <xdr:cNvPr id="81016" name="Rectangle 120"/>
        <xdr:cNvSpPr>
          <a:spLocks noChangeArrowheads="1"/>
        </xdr:cNvSpPr>
      </xdr:nvSpPr>
      <xdr:spPr bwMode="auto">
        <a:xfrm>
          <a:off x="5562600" y="9344025"/>
          <a:ext cx="1466850" cy="7810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 or 2 samples?</a:t>
          </a:r>
        </a:p>
      </xdr:txBody>
    </xdr:sp>
    <xdr:clientData/>
  </xdr:twoCellAnchor>
  <xdr:twoCellAnchor>
    <xdr:from>
      <xdr:col>4</xdr:col>
      <xdr:colOff>1247775</xdr:colOff>
      <xdr:row>51</xdr:row>
      <xdr:rowOff>38100</xdr:rowOff>
    </xdr:from>
    <xdr:to>
      <xdr:col>5</xdr:col>
      <xdr:colOff>228600</xdr:colOff>
      <xdr:row>56</xdr:row>
      <xdr:rowOff>19050</xdr:rowOff>
    </xdr:to>
    <xdr:sp macro="" textlink="">
      <xdr:nvSpPr>
        <xdr:cNvPr id="81017" name="Line 121"/>
        <xdr:cNvSpPr>
          <a:spLocks noChangeShapeType="1"/>
        </xdr:cNvSpPr>
      </xdr:nvSpPr>
      <xdr:spPr bwMode="auto">
        <a:xfrm flipH="1">
          <a:off x="4381500" y="8458200"/>
          <a:ext cx="400050" cy="790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371475</xdr:colOff>
      <xdr:row>51</xdr:row>
      <xdr:rowOff>57150</xdr:rowOff>
    </xdr:from>
    <xdr:to>
      <xdr:col>7</xdr:col>
      <xdr:colOff>695325</xdr:colOff>
      <xdr:row>56</xdr:row>
      <xdr:rowOff>76200</xdr:rowOff>
    </xdr:to>
    <xdr:sp macro="" textlink="">
      <xdr:nvSpPr>
        <xdr:cNvPr id="81018" name="Line 122"/>
        <xdr:cNvSpPr>
          <a:spLocks noChangeShapeType="1"/>
        </xdr:cNvSpPr>
      </xdr:nvSpPr>
      <xdr:spPr bwMode="auto">
        <a:xfrm>
          <a:off x="4857750" y="8477250"/>
          <a:ext cx="1314450" cy="828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0</xdr:colOff>
      <xdr:row>61</xdr:row>
      <xdr:rowOff>133350</xdr:rowOff>
    </xdr:from>
    <xdr:to>
      <xdr:col>9</xdr:col>
      <xdr:colOff>257175</xdr:colOff>
      <xdr:row>63</xdr:row>
      <xdr:rowOff>133350</xdr:rowOff>
    </xdr:to>
    <xdr:sp macro="" textlink="">
      <xdr:nvSpPr>
        <xdr:cNvPr id="81019" name="Rectangle 123"/>
        <xdr:cNvSpPr>
          <a:spLocks noChangeArrowheads="1"/>
        </xdr:cNvSpPr>
      </xdr:nvSpPr>
      <xdr:spPr bwMode="auto">
        <a:xfrm>
          <a:off x="5562600" y="10172700"/>
          <a:ext cx="14763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1 Sample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7</xdr:col>
      <xdr:colOff>0</xdr:colOff>
      <xdr:row>66</xdr:row>
      <xdr:rowOff>142875</xdr:rowOff>
    </xdr:from>
    <xdr:to>
      <xdr:col>9</xdr:col>
      <xdr:colOff>257175</xdr:colOff>
      <xdr:row>68</xdr:row>
      <xdr:rowOff>142875</xdr:rowOff>
    </xdr:to>
    <xdr:sp macro="" textlink="">
      <xdr:nvSpPr>
        <xdr:cNvPr id="81020" name="Rectangle 124"/>
        <xdr:cNvSpPr>
          <a:spLocks noChangeArrowheads="1"/>
        </xdr:cNvSpPr>
      </xdr:nvSpPr>
      <xdr:spPr bwMode="auto">
        <a:xfrm>
          <a:off x="5562600" y="10991850"/>
          <a:ext cx="14763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2 Sample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</xdr:col>
      <xdr:colOff>676275</xdr:colOff>
      <xdr:row>76</xdr:row>
      <xdr:rowOff>57150</xdr:rowOff>
    </xdr:from>
    <xdr:to>
      <xdr:col>4</xdr:col>
      <xdr:colOff>1095375</xdr:colOff>
      <xdr:row>78</xdr:row>
      <xdr:rowOff>57150</xdr:rowOff>
    </xdr:to>
    <xdr:sp macro="" textlink="">
      <xdr:nvSpPr>
        <xdr:cNvPr id="81023" name="Rectangle 127"/>
        <xdr:cNvSpPr>
          <a:spLocks noChangeArrowheads="1"/>
        </xdr:cNvSpPr>
      </xdr:nvSpPr>
      <xdr:spPr bwMode="auto">
        <a:xfrm>
          <a:off x="2733675" y="12525375"/>
          <a:ext cx="149542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0</xdr:colOff>
      <xdr:row>76</xdr:row>
      <xdr:rowOff>38100</xdr:rowOff>
    </xdr:from>
    <xdr:to>
      <xdr:col>8</xdr:col>
      <xdr:colOff>66675</xdr:colOff>
      <xdr:row>80</xdr:row>
      <xdr:rowOff>142875</xdr:rowOff>
    </xdr:to>
    <xdr:sp macro="" textlink="">
      <xdr:nvSpPr>
        <xdr:cNvPr id="81025" name="Rectangle 129"/>
        <xdr:cNvSpPr>
          <a:spLocks noChangeArrowheads="1"/>
        </xdr:cNvSpPr>
      </xdr:nvSpPr>
      <xdr:spPr bwMode="auto">
        <a:xfrm>
          <a:off x="4857750" y="12506325"/>
          <a:ext cx="1381125" cy="752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Sample Size </a:t>
          </a:r>
        </a:p>
        <a:p>
          <a:pPr algn="ctr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&gt; 30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0</xdr:colOff>
      <xdr:row>81</xdr:row>
      <xdr:rowOff>19050</xdr:rowOff>
    </xdr:from>
    <xdr:to>
      <xdr:col>8</xdr:col>
      <xdr:colOff>66675</xdr:colOff>
      <xdr:row>83</xdr:row>
      <xdr:rowOff>19050</xdr:rowOff>
    </xdr:to>
    <xdr:sp macro="" textlink="">
      <xdr:nvSpPr>
        <xdr:cNvPr id="81026" name="Rectangle 130"/>
        <xdr:cNvSpPr>
          <a:spLocks noChangeArrowheads="1"/>
        </xdr:cNvSpPr>
      </xdr:nvSpPr>
      <xdr:spPr bwMode="auto">
        <a:xfrm>
          <a:off x="4857750" y="13296900"/>
          <a:ext cx="138112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0</xdr:colOff>
      <xdr:row>86</xdr:row>
      <xdr:rowOff>19050</xdr:rowOff>
    </xdr:from>
    <xdr:to>
      <xdr:col>8</xdr:col>
      <xdr:colOff>57150</xdr:colOff>
      <xdr:row>88</xdr:row>
      <xdr:rowOff>19050</xdr:rowOff>
    </xdr:to>
    <xdr:sp macro="" textlink="">
      <xdr:nvSpPr>
        <xdr:cNvPr id="81027" name="Rectangle 131"/>
        <xdr:cNvSpPr>
          <a:spLocks noChangeArrowheads="1"/>
        </xdr:cNvSpPr>
      </xdr:nvSpPr>
      <xdr:spPr bwMode="auto">
        <a:xfrm>
          <a:off x="4857750" y="14106525"/>
          <a:ext cx="137160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4</xdr:col>
      <xdr:colOff>371475</xdr:colOff>
      <xdr:row>61</xdr:row>
      <xdr:rowOff>133350</xdr:rowOff>
    </xdr:from>
    <xdr:to>
      <xdr:col>4</xdr:col>
      <xdr:colOff>1162050</xdr:colOff>
      <xdr:row>76</xdr:row>
      <xdr:rowOff>9525</xdr:rowOff>
    </xdr:to>
    <xdr:sp macro="" textlink="">
      <xdr:nvSpPr>
        <xdr:cNvPr id="81030" name="Line 134"/>
        <xdr:cNvSpPr>
          <a:spLocks noChangeShapeType="1"/>
        </xdr:cNvSpPr>
      </xdr:nvSpPr>
      <xdr:spPr bwMode="auto">
        <a:xfrm flipH="1">
          <a:off x="3505200" y="10172700"/>
          <a:ext cx="790575" cy="2305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1285875</xdr:colOff>
      <xdr:row>62</xdr:row>
      <xdr:rowOff>0</xdr:rowOff>
    </xdr:from>
    <xdr:to>
      <xdr:col>6</xdr:col>
      <xdr:colOff>466725</xdr:colOff>
      <xdr:row>75</xdr:row>
      <xdr:rowOff>104775</xdr:rowOff>
    </xdr:to>
    <xdr:sp macro="" textlink="">
      <xdr:nvSpPr>
        <xdr:cNvPr id="81031" name="Line 135"/>
        <xdr:cNvSpPr>
          <a:spLocks noChangeShapeType="1"/>
        </xdr:cNvSpPr>
      </xdr:nvSpPr>
      <xdr:spPr bwMode="auto">
        <a:xfrm>
          <a:off x="4419600" y="10201275"/>
          <a:ext cx="904875" cy="2209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11</xdr:col>
      <xdr:colOff>228600</xdr:colOff>
      <xdr:row>54</xdr:row>
      <xdr:rowOff>47625</xdr:rowOff>
    </xdr:from>
    <xdr:to>
      <xdr:col>13</xdr:col>
      <xdr:colOff>304800</xdr:colOff>
      <xdr:row>56</xdr:row>
      <xdr:rowOff>47625</xdr:rowOff>
    </xdr:to>
    <xdr:sp macro="" textlink="">
      <xdr:nvSpPr>
        <xdr:cNvPr id="81032" name="Rectangle 136"/>
        <xdr:cNvSpPr>
          <a:spLocks noChangeArrowheads="1"/>
        </xdr:cNvSpPr>
      </xdr:nvSpPr>
      <xdr:spPr bwMode="auto">
        <a:xfrm>
          <a:off x="8963025" y="8953500"/>
          <a:ext cx="129540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504825</xdr:colOff>
      <xdr:row>54</xdr:row>
      <xdr:rowOff>47625</xdr:rowOff>
    </xdr:from>
    <xdr:to>
      <xdr:col>10</xdr:col>
      <xdr:colOff>542925</xdr:colOff>
      <xdr:row>56</xdr:row>
      <xdr:rowOff>47625</xdr:rowOff>
    </xdr:to>
    <xdr:sp macro="" textlink="">
      <xdr:nvSpPr>
        <xdr:cNvPr id="81033" name="Rectangle 137"/>
        <xdr:cNvSpPr>
          <a:spLocks noChangeArrowheads="1"/>
        </xdr:cNvSpPr>
      </xdr:nvSpPr>
      <xdr:spPr bwMode="auto">
        <a:xfrm>
          <a:off x="7286625" y="8953500"/>
          <a:ext cx="138112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561975</xdr:colOff>
      <xdr:row>54</xdr:row>
      <xdr:rowOff>38100</xdr:rowOff>
    </xdr:from>
    <xdr:to>
      <xdr:col>15</xdr:col>
      <xdr:colOff>161925</xdr:colOff>
      <xdr:row>56</xdr:row>
      <xdr:rowOff>38100</xdr:rowOff>
    </xdr:to>
    <xdr:sp macro="" textlink="">
      <xdr:nvSpPr>
        <xdr:cNvPr id="81034" name="Rectangle 138"/>
        <xdr:cNvSpPr>
          <a:spLocks noChangeArrowheads="1"/>
        </xdr:cNvSpPr>
      </xdr:nvSpPr>
      <xdr:spPr bwMode="auto">
        <a:xfrm>
          <a:off x="10515600" y="8943975"/>
          <a:ext cx="12382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142875</xdr:colOff>
      <xdr:row>51</xdr:row>
      <xdr:rowOff>66675</xdr:rowOff>
    </xdr:from>
    <xdr:to>
      <xdr:col>10</xdr:col>
      <xdr:colOff>361950</xdr:colOff>
      <xdr:row>53</xdr:row>
      <xdr:rowOff>133350</xdr:rowOff>
    </xdr:to>
    <xdr:sp macro="" textlink="">
      <xdr:nvSpPr>
        <xdr:cNvPr id="81035" name="Line 139"/>
        <xdr:cNvSpPr>
          <a:spLocks noChangeShapeType="1"/>
        </xdr:cNvSpPr>
      </xdr:nvSpPr>
      <xdr:spPr bwMode="auto">
        <a:xfrm flipH="1">
          <a:off x="8267700" y="8486775"/>
          <a:ext cx="219075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457200</xdr:colOff>
      <xdr:row>51</xdr:row>
      <xdr:rowOff>114300</xdr:rowOff>
    </xdr:from>
    <xdr:to>
      <xdr:col>12</xdr:col>
      <xdr:colOff>304800</xdr:colOff>
      <xdr:row>53</xdr:row>
      <xdr:rowOff>123825</xdr:rowOff>
    </xdr:to>
    <xdr:sp macro="" textlink="">
      <xdr:nvSpPr>
        <xdr:cNvPr id="81036" name="Line 140"/>
        <xdr:cNvSpPr>
          <a:spLocks noChangeShapeType="1"/>
        </xdr:cNvSpPr>
      </xdr:nvSpPr>
      <xdr:spPr bwMode="auto">
        <a:xfrm>
          <a:off x="8582025" y="8534400"/>
          <a:ext cx="1066800" cy="333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13</xdr:col>
      <xdr:colOff>38100</xdr:colOff>
      <xdr:row>51</xdr:row>
      <xdr:rowOff>38100</xdr:rowOff>
    </xdr:from>
    <xdr:to>
      <xdr:col>14</xdr:col>
      <xdr:colOff>447675</xdr:colOff>
      <xdr:row>53</xdr:row>
      <xdr:rowOff>114300</xdr:rowOff>
    </xdr:to>
    <xdr:sp macro="" textlink="">
      <xdr:nvSpPr>
        <xdr:cNvPr id="81037" name="Line 141"/>
        <xdr:cNvSpPr>
          <a:spLocks noChangeShapeType="1"/>
        </xdr:cNvSpPr>
      </xdr:nvSpPr>
      <xdr:spPr bwMode="auto">
        <a:xfrm flipH="1">
          <a:off x="9991725" y="8458200"/>
          <a:ext cx="1019175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14</xdr:col>
      <xdr:colOff>552450</xdr:colOff>
      <xdr:row>51</xdr:row>
      <xdr:rowOff>57150</xdr:rowOff>
    </xdr:from>
    <xdr:to>
      <xdr:col>15</xdr:col>
      <xdr:colOff>171450</xdr:colOff>
      <xdr:row>53</xdr:row>
      <xdr:rowOff>142875</xdr:rowOff>
    </xdr:to>
    <xdr:sp macro="" textlink="">
      <xdr:nvSpPr>
        <xdr:cNvPr id="81038" name="Line 142"/>
        <xdr:cNvSpPr>
          <a:spLocks noChangeShapeType="1"/>
        </xdr:cNvSpPr>
      </xdr:nvSpPr>
      <xdr:spPr bwMode="auto">
        <a:xfrm>
          <a:off x="11115675" y="8477250"/>
          <a:ext cx="6477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1</xdr:row>
      <xdr:rowOff>57150</xdr:rowOff>
    </xdr:from>
    <xdr:to>
      <xdr:col>8</xdr:col>
      <xdr:colOff>180975</xdr:colOff>
      <xdr:row>3</xdr:row>
      <xdr:rowOff>19050</xdr:rowOff>
    </xdr:to>
    <xdr:sp macro="" textlink="">
      <xdr:nvSpPr>
        <xdr:cNvPr id="82945" name="Rectangle 1"/>
        <xdr:cNvSpPr>
          <a:spLocks noChangeArrowheads="1"/>
        </xdr:cNvSpPr>
      </xdr:nvSpPr>
      <xdr:spPr bwMode="auto">
        <a:xfrm>
          <a:off x="4848225" y="381000"/>
          <a:ext cx="150495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Type of Data</a:t>
          </a:r>
        </a:p>
      </xdr:txBody>
    </xdr:sp>
    <xdr:clientData/>
  </xdr:twoCellAnchor>
  <xdr:twoCellAnchor>
    <xdr:from>
      <xdr:col>3</xdr:col>
      <xdr:colOff>209550</xdr:colOff>
      <xdr:row>3</xdr:row>
      <xdr:rowOff>66675</xdr:rowOff>
    </xdr:from>
    <xdr:to>
      <xdr:col>7</xdr:col>
      <xdr:colOff>276225</xdr:colOff>
      <xdr:row>6</xdr:row>
      <xdr:rowOff>123825</xdr:rowOff>
    </xdr:to>
    <xdr:sp macro="" textlink="">
      <xdr:nvSpPr>
        <xdr:cNvPr id="82946" name="Line 2"/>
        <xdr:cNvSpPr>
          <a:spLocks noChangeShapeType="1"/>
        </xdr:cNvSpPr>
      </xdr:nvSpPr>
      <xdr:spPr bwMode="auto">
        <a:xfrm flipH="1">
          <a:off x="2266950" y="714375"/>
          <a:ext cx="3571875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419100</xdr:colOff>
      <xdr:row>3</xdr:row>
      <xdr:rowOff>66675</xdr:rowOff>
    </xdr:from>
    <xdr:to>
      <xdr:col>11</xdr:col>
      <xdr:colOff>657225</xdr:colOff>
      <xdr:row>7</xdr:row>
      <xdr:rowOff>19050</xdr:rowOff>
    </xdr:to>
    <xdr:sp macro="" textlink="">
      <xdr:nvSpPr>
        <xdr:cNvPr id="82947" name="Line 3"/>
        <xdr:cNvSpPr>
          <a:spLocks noChangeShapeType="1"/>
        </xdr:cNvSpPr>
      </xdr:nvSpPr>
      <xdr:spPr bwMode="auto">
        <a:xfrm>
          <a:off x="5981700" y="714375"/>
          <a:ext cx="3362325" cy="600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666750</xdr:colOff>
      <xdr:row>7</xdr:row>
      <xdr:rowOff>114300</xdr:rowOff>
    </xdr:from>
    <xdr:to>
      <xdr:col>3</xdr:col>
      <xdr:colOff>1038225</xdr:colOff>
      <xdr:row>12</xdr:row>
      <xdr:rowOff>47625</xdr:rowOff>
    </xdr:to>
    <xdr:sp macro="" textlink="">
      <xdr:nvSpPr>
        <xdr:cNvPr id="82948" name="Rectangle 4"/>
        <xdr:cNvSpPr>
          <a:spLocks noChangeArrowheads="1"/>
        </xdr:cNvSpPr>
      </xdr:nvSpPr>
      <xdr:spPr bwMode="auto">
        <a:xfrm>
          <a:off x="1447800" y="1409700"/>
          <a:ext cx="1647825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Categorical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Defect, Defective or Count?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209550</xdr:colOff>
      <xdr:row>7</xdr:row>
      <xdr:rowOff>133350</xdr:rowOff>
    </xdr:from>
    <xdr:to>
      <xdr:col>13</xdr:col>
      <xdr:colOff>190500</xdr:colOff>
      <xdr:row>12</xdr:row>
      <xdr:rowOff>9525</xdr:rowOff>
    </xdr:to>
    <xdr:sp macro="" textlink="">
      <xdr:nvSpPr>
        <xdr:cNvPr id="82949" name="Rectangle 5"/>
        <xdr:cNvSpPr>
          <a:spLocks noChangeArrowheads="1"/>
        </xdr:cNvSpPr>
      </xdr:nvSpPr>
      <xdr:spPr bwMode="auto">
        <a:xfrm>
          <a:off x="8334375" y="1428750"/>
          <a:ext cx="1809750" cy="685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Continuous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Is the distribution skewed or have outliers?</a:t>
          </a:r>
        </a:p>
      </xdr:txBody>
    </xdr:sp>
    <xdr:clientData/>
  </xdr:twoCellAnchor>
  <xdr:twoCellAnchor>
    <xdr:from>
      <xdr:col>0</xdr:col>
      <xdr:colOff>76200</xdr:colOff>
      <xdr:row>14</xdr:row>
      <xdr:rowOff>133350</xdr:rowOff>
    </xdr:from>
    <xdr:to>
      <xdr:col>2</xdr:col>
      <xdr:colOff>847725</xdr:colOff>
      <xdr:row>18</xdr:row>
      <xdr:rowOff>114300</xdr:rowOff>
    </xdr:to>
    <xdr:sp macro="" textlink="">
      <xdr:nvSpPr>
        <xdr:cNvPr id="82950" name="Rectangle 6"/>
        <xdr:cNvSpPr>
          <a:spLocks noChangeArrowheads="1"/>
        </xdr:cNvSpPr>
      </xdr:nvSpPr>
      <xdr:spPr bwMode="auto">
        <a:xfrm>
          <a:off x="76200" y="2562225"/>
          <a:ext cx="1552575" cy="628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Defect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Poisson Data sets Customer Service Calls</a:t>
          </a:r>
          <a:endParaRPr lang="en-US" sz="1400" b="0" i="0" u="sng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495300</xdr:colOff>
      <xdr:row>12</xdr:row>
      <xdr:rowOff>57150</xdr:rowOff>
    </xdr:from>
    <xdr:to>
      <xdr:col>2</xdr:col>
      <xdr:colOff>1466850</xdr:colOff>
      <xdr:row>14</xdr:row>
      <xdr:rowOff>0</xdr:rowOff>
    </xdr:to>
    <xdr:sp macro="" textlink="">
      <xdr:nvSpPr>
        <xdr:cNvPr id="82951" name="Line 7"/>
        <xdr:cNvSpPr>
          <a:spLocks noChangeShapeType="1"/>
        </xdr:cNvSpPr>
      </xdr:nvSpPr>
      <xdr:spPr bwMode="auto">
        <a:xfrm flipH="1">
          <a:off x="1276350" y="2162175"/>
          <a:ext cx="781050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0</xdr:colOff>
      <xdr:row>14</xdr:row>
      <xdr:rowOff>133350</xdr:rowOff>
    </xdr:from>
    <xdr:to>
      <xdr:col>4</xdr:col>
      <xdr:colOff>390525</xdr:colOff>
      <xdr:row>18</xdr:row>
      <xdr:rowOff>104775</xdr:rowOff>
    </xdr:to>
    <xdr:sp macro="" textlink="">
      <xdr:nvSpPr>
        <xdr:cNvPr id="82952" name="Rectangle 8"/>
        <xdr:cNvSpPr>
          <a:spLocks noChangeArrowheads="1"/>
        </xdr:cNvSpPr>
      </xdr:nvSpPr>
      <xdr:spPr bwMode="auto">
        <a:xfrm>
          <a:off x="2057400" y="2562225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Defective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Binomal Data sets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Two outcomes (P/F)</a:t>
          </a:r>
        </a:p>
      </xdr:txBody>
    </xdr:sp>
    <xdr:clientData/>
  </xdr:twoCellAnchor>
  <xdr:twoCellAnchor>
    <xdr:from>
      <xdr:col>3</xdr:col>
      <xdr:colOff>38100</xdr:colOff>
      <xdr:row>12</xdr:row>
      <xdr:rowOff>57150</xdr:rowOff>
    </xdr:from>
    <xdr:to>
      <xdr:col>3</xdr:col>
      <xdr:colOff>647700</xdr:colOff>
      <xdr:row>14</xdr:row>
      <xdr:rowOff>104775</xdr:rowOff>
    </xdr:to>
    <xdr:sp macro="" textlink="">
      <xdr:nvSpPr>
        <xdr:cNvPr id="82954" name="Line 10"/>
        <xdr:cNvSpPr>
          <a:spLocks noChangeShapeType="1"/>
        </xdr:cNvSpPr>
      </xdr:nvSpPr>
      <xdr:spPr bwMode="auto">
        <a:xfrm>
          <a:off x="2095500" y="2162175"/>
          <a:ext cx="609600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152400</xdr:colOff>
      <xdr:row>14</xdr:row>
      <xdr:rowOff>66675</xdr:rowOff>
    </xdr:from>
    <xdr:to>
      <xdr:col>10</xdr:col>
      <xdr:colOff>333375</xdr:colOff>
      <xdr:row>19</xdr:row>
      <xdr:rowOff>28575</xdr:rowOff>
    </xdr:to>
    <xdr:sp macro="" textlink="">
      <xdr:nvSpPr>
        <xdr:cNvPr id="82965" name="Rectangle 21"/>
        <xdr:cNvSpPr>
          <a:spLocks noChangeArrowheads="1"/>
        </xdr:cNvSpPr>
      </xdr:nvSpPr>
      <xdr:spPr bwMode="auto">
        <a:xfrm>
          <a:off x="6934200" y="2495550"/>
          <a:ext cx="1524000" cy="771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Skewed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Is the skew a results of multiple subgroups?</a:t>
          </a:r>
        </a:p>
      </xdr:txBody>
    </xdr:sp>
    <xdr:clientData/>
  </xdr:twoCellAnchor>
  <xdr:twoCellAnchor>
    <xdr:from>
      <xdr:col>12</xdr:col>
      <xdr:colOff>381000</xdr:colOff>
      <xdr:row>14</xdr:row>
      <xdr:rowOff>85725</xdr:rowOff>
    </xdr:from>
    <xdr:to>
      <xdr:col>15</xdr:col>
      <xdr:colOff>0</xdr:colOff>
      <xdr:row>19</xdr:row>
      <xdr:rowOff>19050</xdr:rowOff>
    </xdr:to>
    <xdr:sp macro="" textlink="">
      <xdr:nvSpPr>
        <xdr:cNvPr id="82966" name="Rectangle 22"/>
        <xdr:cNvSpPr>
          <a:spLocks noChangeArrowheads="1"/>
        </xdr:cNvSpPr>
      </xdr:nvSpPr>
      <xdr:spPr bwMode="auto">
        <a:xfrm>
          <a:off x="9725025" y="2514600"/>
          <a:ext cx="1866900" cy="7429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Normal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How many sample per subgroup?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952500</xdr:colOff>
      <xdr:row>12</xdr:row>
      <xdr:rowOff>38100</xdr:rowOff>
    </xdr:from>
    <xdr:to>
      <xdr:col>10</xdr:col>
      <xdr:colOff>419100</xdr:colOff>
      <xdr:row>14</xdr:row>
      <xdr:rowOff>57150</xdr:rowOff>
    </xdr:to>
    <xdr:sp macro="" textlink="">
      <xdr:nvSpPr>
        <xdr:cNvPr id="82967" name="Line 23"/>
        <xdr:cNvSpPr>
          <a:spLocks noChangeShapeType="1"/>
        </xdr:cNvSpPr>
      </xdr:nvSpPr>
      <xdr:spPr bwMode="auto">
        <a:xfrm flipH="1">
          <a:off x="7734300" y="2143125"/>
          <a:ext cx="809625" cy="342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952500</xdr:colOff>
      <xdr:row>12</xdr:row>
      <xdr:rowOff>57150</xdr:rowOff>
    </xdr:from>
    <xdr:to>
      <xdr:col>13</xdr:col>
      <xdr:colOff>581025</xdr:colOff>
      <xdr:row>14</xdr:row>
      <xdr:rowOff>57150</xdr:rowOff>
    </xdr:to>
    <xdr:sp macro="" textlink="">
      <xdr:nvSpPr>
        <xdr:cNvPr id="82968" name="Line 24"/>
        <xdr:cNvSpPr>
          <a:spLocks noChangeShapeType="1"/>
        </xdr:cNvSpPr>
      </xdr:nvSpPr>
      <xdr:spPr bwMode="auto">
        <a:xfrm>
          <a:off x="9953625" y="2162175"/>
          <a:ext cx="5810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923925</xdr:colOff>
      <xdr:row>14</xdr:row>
      <xdr:rowOff>133350</xdr:rowOff>
    </xdr:from>
    <xdr:to>
      <xdr:col>6</xdr:col>
      <xdr:colOff>666750</xdr:colOff>
      <xdr:row>18</xdr:row>
      <xdr:rowOff>104775</xdr:rowOff>
    </xdr:to>
    <xdr:sp macro="" textlink="">
      <xdr:nvSpPr>
        <xdr:cNvPr id="83021" name="Rectangle 77"/>
        <xdr:cNvSpPr>
          <a:spLocks noChangeArrowheads="1"/>
        </xdr:cNvSpPr>
      </xdr:nvSpPr>
      <xdr:spPr bwMode="auto">
        <a:xfrm>
          <a:off x="4057650" y="2562225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Count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Is the failure a rare failiure? (time)</a:t>
          </a:r>
        </a:p>
      </xdr:txBody>
    </xdr:sp>
    <xdr:clientData/>
  </xdr:twoCellAnchor>
  <xdr:twoCellAnchor>
    <xdr:from>
      <xdr:col>3</xdr:col>
      <xdr:colOff>771525</xdr:colOff>
      <xdr:row>12</xdr:row>
      <xdr:rowOff>104775</xdr:rowOff>
    </xdr:from>
    <xdr:to>
      <xdr:col>5</xdr:col>
      <xdr:colOff>9525</xdr:colOff>
      <xdr:row>14</xdr:row>
      <xdr:rowOff>104775</xdr:rowOff>
    </xdr:to>
    <xdr:sp macro="" textlink="">
      <xdr:nvSpPr>
        <xdr:cNvPr id="83022" name="Line 78"/>
        <xdr:cNvSpPr>
          <a:spLocks noChangeShapeType="1"/>
        </xdr:cNvSpPr>
      </xdr:nvSpPr>
      <xdr:spPr bwMode="auto">
        <a:xfrm>
          <a:off x="2828925" y="2209800"/>
          <a:ext cx="173355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76200</xdr:colOff>
      <xdr:row>22</xdr:row>
      <xdr:rowOff>38100</xdr:rowOff>
    </xdr:from>
    <xdr:to>
      <xdr:col>5</xdr:col>
      <xdr:colOff>123825</xdr:colOff>
      <xdr:row>26</xdr:row>
      <xdr:rowOff>9525</xdr:rowOff>
    </xdr:to>
    <xdr:sp macro="" textlink="">
      <xdr:nvSpPr>
        <xdr:cNvPr id="83028" name="Rectangle 84"/>
        <xdr:cNvSpPr>
          <a:spLocks noChangeArrowheads="1"/>
        </xdr:cNvSpPr>
      </xdr:nvSpPr>
      <xdr:spPr bwMode="auto">
        <a:xfrm>
          <a:off x="3209925" y="3762375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Random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NCRs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LaserCyte Flags</a:t>
          </a:r>
        </a:p>
      </xdr:txBody>
    </xdr:sp>
    <xdr:clientData/>
  </xdr:twoCellAnchor>
  <xdr:twoCellAnchor>
    <xdr:from>
      <xdr:col>6</xdr:col>
      <xdr:colOff>104775</xdr:colOff>
      <xdr:row>22</xdr:row>
      <xdr:rowOff>38100</xdr:rowOff>
    </xdr:from>
    <xdr:to>
      <xdr:col>8</xdr:col>
      <xdr:colOff>257175</xdr:colOff>
      <xdr:row>26</xdr:row>
      <xdr:rowOff>9525</xdr:rowOff>
    </xdr:to>
    <xdr:sp macro="" textlink="">
      <xdr:nvSpPr>
        <xdr:cNvPr id="83029" name="Rectangle 85"/>
        <xdr:cNvSpPr>
          <a:spLocks noChangeArrowheads="1"/>
        </xdr:cNvSpPr>
      </xdr:nvSpPr>
      <xdr:spPr bwMode="auto">
        <a:xfrm>
          <a:off x="4962525" y="3762375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Rare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Spot Fails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Slide Load Fails</a:t>
          </a:r>
        </a:p>
      </xdr:txBody>
    </xdr:sp>
    <xdr:clientData/>
  </xdr:twoCellAnchor>
  <xdr:twoCellAnchor>
    <xdr:from>
      <xdr:col>5</xdr:col>
      <xdr:colOff>238125</xdr:colOff>
      <xdr:row>18</xdr:row>
      <xdr:rowOff>152400</xdr:rowOff>
    </xdr:from>
    <xdr:to>
      <xdr:col>7</xdr:col>
      <xdr:colOff>161925</xdr:colOff>
      <xdr:row>21</xdr:row>
      <xdr:rowOff>152400</xdr:rowOff>
    </xdr:to>
    <xdr:sp macro="" textlink="">
      <xdr:nvSpPr>
        <xdr:cNvPr id="83030" name="Line 86"/>
        <xdr:cNvSpPr>
          <a:spLocks noChangeShapeType="1"/>
        </xdr:cNvSpPr>
      </xdr:nvSpPr>
      <xdr:spPr bwMode="auto">
        <a:xfrm>
          <a:off x="4791075" y="3228975"/>
          <a:ext cx="93345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933450</xdr:colOff>
      <xdr:row>19</xdr:row>
      <xdr:rowOff>9525</xdr:rowOff>
    </xdr:from>
    <xdr:to>
      <xdr:col>5</xdr:col>
      <xdr:colOff>266700</xdr:colOff>
      <xdr:row>21</xdr:row>
      <xdr:rowOff>152400</xdr:rowOff>
    </xdr:to>
    <xdr:sp macro="" textlink="">
      <xdr:nvSpPr>
        <xdr:cNvPr id="83031" name="Line 87"/>
        <xdr:cNvSpPr>
          <a:spLocks noChangeShapeType="1"/>
        </xdr:cNvSpPr>
      </xdr:nvSpPr>
      <xdr:spPr bwMode="auto">
        <a:xfrm flipH="1">
          <a:off x="4067175" y="3248025"/>
          <a:ext cx="752475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581025</xdr:colOff>
      <xdr:row>22</xdr:row>
      <xdr:rowOff>47625</xdr:rowOff>
    </xdr:from>
    <xdr:to>
      <xdr:col>10</xdr:col>
      <xdr:colOff>95250</xdr:colOff>
      <xdr:row>26</xdr:row>
      <xdr:rowOff>19050</xdr:rowOff>
    </xdr:to>
    <xdr:sp macro="" textlink="">
      <xdr:nvSpPr>
        <xdr:cNvPr id="83032" name="Rectangle 88"/>
        <xdr:cNvSpPr>
          <a:spLocks noChangeArrowheads="1"/>
        </xdr:cNvSpPr>
      </xdr:nvSpPr>
      <xdr:spPr bwMode="auto">
        <a:xfrm>
          <a:off x="6753225" y="3771900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No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Cycle Time</a:t>
          </a:r>
        </a:p>
      </xdr:txBody>
    </xdr:sp>
    <xdr:clientData/>
  </xdr:twoCellAnchor>
  <xdr:twoCellAnchor>
    <xdr:from>
      <xdr:col>10</xdr:col>
      <xdr:colOff>266700</xdr:colOff>
      <xdr:row>22</xdr:row>
      <xdr:rowOff>47625</xdr:rowOff>
    </xdr:from>
    <xdr:to>
      <xdr:col>12</xdr:col>
      <xdr:colOff>514350</xdr:colOff>
      <xdr:row>26</xdr:row>
      <xdr:rowOff>19050</xdr:rowOff>
    </xdr:to>
    <xdr:sp macro="" textlink="">
      <xdr:nvSpPr>
        <xdr:cNvPr id="83033" name="Rectangle 89"/>
        <xdr:cNvSpPr>
          <a:spLocks noChangeArrowheads="1"/>
        </xdr:cNvSpPr>
      </xdr:nvSpPr>
      <xdr:spPr bwMode="auto">
        <a:xfrm>
          <a:off x="8391525" y="3771900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Yes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Multiple Cavity Mold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Wells of ELISA Plate</a:t>
          </a:r>
        </a:p>
      </xdr:txBody>
    </xdr:sp>
    <xdr:clientData/>
  </xdr:twoCellAnchor>
  <xdr:twoCellAnchor>
    <xdr:from>
      <xdr:col>9</xdr:col>
      <xdr:colOff>1276350</xdr:colOff>
      <xdr:row>19</xdr:row>
      <xdr:rowOff>28575</xdr:rowOff>
    </xdr:from>
    <xdr:to>
      <xdr:col>11</xdr:col>
      <xdr:colOff>257175</xdr:colOff>
      <xdr:row>22</xdr:row>
      <xdr:rowOff>28575</xdr:rowOff>
    </xdr:to>
    <xdr:sp macro="" textlink="">
      <xdr:nvSpPr>
        <xdr:cNvPr id="83034" name="Line 90"/>
        <xdr:cNvSpPr>
          <a:spLocks noChangeShapeType="1"/>
        </xdr:cNvSpPr>
      </xdr:nvSpPr>
      <xdr:spPr bwMode="auto">
        <a:xfrm>
          <a:off x="8058150" y="3267075"/>
          <a:ext cx="93345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552450</xdr:colOff>
      <xdr:row>19</xdr:row>
      <xdr:rowOff>47625</xdr:rowOff>
    </xdr:from>
    <xdr:to>
      <xdr:col>9</xdr:col>
      <xdr:colOff>1304925</xdr:colOff>
      <xdr:row>22</xdr:row>
      <xdr:rowOff>28575</xdr:rowOff>
    </xdr:to>
    <xdr:sp macro="" textlink="">
      <xdr:nvSpPr>
        <xdr:cNvPr id="83035" name="Line 91"/>
        <xdr:cNvSpPr>
          <a:spLocks noChangeShapeType="1"/>
        </xdr:cNvSpPr>
      </xdr:nvSpPr>
      <xdr:spPr bwMode="auto">
        <a:xfrm flipH="1">
          <a:off x="7334250" y="3286125"/>
          <a:ext cx="752475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0</xdr:colOff>
      <xdr:row>32</xdr:row>
      <xdr:rowOff>142875</xdr:rowOff>
    </xdr:from>
    <xdr:to>
      <xdr:col>5</xdr:col>
      <xdr:colOff>47625</xdr:colOff>
      <xdr:row>36</xdr:row>
      <xdr:rowOff>114300</xdr:rowOff>
    </xdr:to>
    <xdr:sp macro="" textlink="">
      <xdr:nvSpPr>
        <xdr:cNvPr id="83038" name="Rectangle 94"/>
        <xdr:cNvSpPr>
          <a:spLocks noChangeArrowheads="1"/>
        </xdr:cNvSpPr>
      </xdr:nvSpPr>
      <xdr:spPr bwMode="auto">
        <a:xfrm>
          <a:off x="3133725" y="5486400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1 Unit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Inventory</a:t>
          </a:r>
        </a:p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RTY</a:t>
          </a:r>
        </a:p>
      </xdr:txBody>
    </xdr:sp>
    <xdr:clientData/>
  </xdr:twoCellAnchor>
  <xdr:twoCellAnchor>
    <xdr:from>
      <xdr:col>6</xdr:col>
      <xdr:colOff>142875</xdr:colOff>
      <xdr:row>32</xdr:row>
      <xdr:rowOff>152400</xdr:rowOff>
    </xdr:from>
    <xdr:to>
      <xdr:col>8</xdr:col>
      <xdr:colOff>295275</xdr:colOff>
      <xdr:row>36</xdr:row>
      <xdr:rowOff>123825</xdr:rowOff>
    </xdr:to>
    <xdr:sp macro="" textlink="">
      <xdr:nvSpPr>
        <xdr:cNvPr id="83039" name="Rectangle 95"/>
        <xdr:cNvSpPr>
          <a:spLocks noChangeArrowheads="1"/>
        </xdr:cNvSpPr>
      </xdr:nvSpPr>
      <xdr:spPr bwMode="auto">
        <a:xfrm>
          <a:off x="5000625" y="5495925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2 Unit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571500</xdr:colOff>
      <xdr:row>33</xdr:row>
      <xdr:rowOff>0</xdr:rowOff>
    </xdr:from>
    <xdr:to>
      <xdr:col>10</xdr:col>
      <xdr:colOff>85725</xdr:colOff>
      <xdr:row>36</xdr:row>
      <xdr:rowOff>133350</xdr:rowOff>
    </xdr:to>
    <xdr:sp macro="" textlink="">
      <xdr:nvSpPr>
        <xdr:cNvPr id="83040" name="Rectangle 96"/>
        <xdr:cNvSpPr>
          <a:spLocks noChangeArrowheads="1"/>
        </xdr:cNvSpPr>
      </xdr:nvSpPr>
      <xdr:spPr bwMode="auto">
        <a:xfrm>
          <a:off x="6743700" y="5505450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3 Unit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285750</xdr:colOff>
      <xdr:row>33</xdr:row>
      <xdr:rowOff>0</xdr:rowOff>
    </xdr:from>
    <xdr:to>
      <xdr:col>12</xdr:col>
      <xdr:colOff>533400</xdr:colOff>
      <xdr:row>36</xdr:row>
      <xdr:rowOff>133350</xdr:rowOff>
    </xdr:to>
    <xdr:sp macro="" textlink="">
      <xdr:nvSpPr>
        <xdr:cNvPr id="83041" name="Rectangle 97"/>
        <xdr:cNvSpPr>
          <a:spLocks noChangeArrowheads="1"/>
        </xdr:cNvSpPr>
      </xdr:nvSpPr>
      <xdr:spPr bwMode="auto">
        <a:xfrm>
          <a:off x="8410575" y="5505450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5 Unit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247650</xdr:colOff>
      <xdr:row>33</xdr:row>
      <xdr:rowOff>9525</xdr:rowOff>
    </xdr:from>
    <xdr:to>
      <xdr:col>15</xdr:col>
      <xdr:colOff>76200</xdr:colOff>
      <xdr:row>36</xdr:row>
      <xdr:rowOff>142875</xdr:rowOff>
    </xdr:to>
    <xdr:sp macro="" textlink="">
      <xdr:nvSpPr>
        <xdr:cNvPr id="83042" name="Rectangle 98"/>
        <xdr:cNvSpPr>
          <a:spLocks noChangeArrowheads="1"/>
        </xdr:cNvSpPr>
      </xdr:nvSpPr>
      <xdr:spPr bwMode="auto">
        <a:xfrm>
          <a:off x="10201275" y="5514975"/>
          <a:ext cx="1466850" cy="619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sng" strike="noStrike">
              <a:solidFill>
                <a:srgbClr val="000000"/>
              </a:solidFill>
              <a:latin typeface="Arial"/>
              <a:cs typeface="Arial"/>
            </a:rPr>
            <a:t>&gt; 6 Units</a:t>
          </a: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142875</xdr:colOff>
      <xdr:row>19</xdr:row>
      <xdr:rowOff>57150</xdr:rowOff>
    </xdr:from>
    <xdr:to>
      <xdr:col>14</xdr:col>
      <xdr:colOff>142875</xdr:colOff>
      <xdr:row>32</xdr:row>
      <xdr:rowOff>19050</xdr:rowOff>
    </xdr:to>
    <xdr:sp macro="" textlink="">
      <xdr:nvSpPr>
        <xdr:cNvPr id="83043" name="Line 99"/>
        <xdr:cNvSpPr>
          <a:spLocks noChangeShapeType="1"/>
        </xdr:cNvSpPr>
      </xdr:nvSpPr>
      <xdr:spPr bwMode="auto">
        <a:xfrm>
          <a:off x="10706100" y="3295650"/>
          <a:ext cx="0" cy="2066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1152525</xdr:colOff>
      <xdr:row>30</xdr:row>
      <xdr:rowOff>57150</xdr:rowOff>
    </xdr:from>
    <xdr:to>
      <xdr:col>14</xdr:col>
      <xdr:colOff>133350</xdr:colOff>
      <xdr:row>32</xdr:row>
      <xdr:rowOff>57150</xdr:rowOff>
    </xdr:to>
    <xdr:sp macro="" textlink="">
      <xdr:nvSpPr>
        <xdr:cNvPr id="83044" name="Line 100"/>
        <xdr:cNvSpPr>
          <a:spLocks noChangeShapeType="1"/>
        </xdr:cNvSpPr>
      </xdr:nvSpPr>
      <xdr:spPr bwMode="auto">
        <a:xfrm flipH="1">
          <a:off x="4286250" y="5076825"/>
          <a:ext cx="6410325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371475</xdr:colOff>
      <xdr:row>18</xdr:row>
      <xdr:rowOff>104775</xdr:rowOff>
    </xdr:from>
    <xdr:to>
      <xdr:col>14</xdr:col>
      <xdr:colOff>371475</xdr:colOff>
      <xdr:row>29</xdr:row>
      <xdr:rowOff>114300</xdr:rowOff>
    </xdr:to>
    <xdr:graphicFrame macro="">
      <xdr:nvGraphicFramePr>
        <xdr:cNvPr id="1024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314325</xdr:colOff>
      <xdr:row>6</xdr:row>
      <xdr:rowOff>66675</xdr:rowOff>
    </xdr:from>
    <xdr:to>
      <xdr:col>16</xdr:col>
      <xdr:colOff>219075</xdr:colOff>
      <xdr:row>33</xdr:row>
      <xdr:rowOff>0</xdr:rowOff>
    </xdr:to>
    <xdr:graphicFrame macro="">
      <xdr:nvGraphicFramePr>
        <xdr:cNvPr id="174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11</xdr:col>
      <xdr:colOff>0</xdr:colOff>
      <xdr:row>36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17410" name="Rectangle 2"/>
        <xdr:cNvSpPr>
          <a:spLocks noChangeArrowheads="1"/>
        </xdr:cNvSpPr>
      </xdr:nvSpPr>
      <xdr:spPr bwMode="auto">
        <a:xfrm>
          <a:off x="6981825" y="5915025"/>
          <a:ext cx="1914525" cy="381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</xdr:sp>
    <xdr:clientData/>
  </xdr:twoCellAnchor>
  <xdr:twoCellAnchor editAs="oneCell">
    <xdr:from>
      <xdr:col>17</xdr:col>
      <xdr:colOff>123825</xdr:colOff>
      <xdr:row>14</xdr:row>
      <xdr:rowOff>142875</xdr:rowOff>
    </xdr:from>
    <xdr:to>
      <xdr:col>18</xdr:col>
      <xdr:colOff>466725</xdr:colOff>
      <xdr:row>19</xdr:row>
      <xdr:rowOff>66675</xdr:rowOff>
    </xdr:to>
    <xdr:pic>
      <xdr:nvPicPr>
        <xdr:cNvPr id="1741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191875" y="2495550"/>
          <a:ext cx="942975" cy="733425"/>
        </a:xfrm>
        <a:prstGeom prst="rect">
          <a:avLst/>
        </a:prstGeom>
        <a:noFill/>
      </xdr:spPr>
    </xdr:pic>
    <xdr:clientData/>
  </xdr:twoCellAnchor>
  <xdr:twoCellAnchor editAs="oneCell">
    <xdr:from>
      <xdr:col>17</xdr:col>
      <xdr:colOff>123825</xdr:colOff>
      <xdr:row>20</xdr:row>
      <xdr:rowOff>114300</xdr:rowOff>
    </xdr:from>
    <xdr:to>
      <xdr:col>18</xdr:col>
      <xdr:colOff>542925</xdr:colOff>
      <xdr:row>24</xdr:row>
      <xdr:rowOff>142875</xdr:rowOff>
    </xdr:to>
    <xdr:pic>
      <xdr:nvPicPr>
        <xdr:cNvPr id="1741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191875" y="3438525"/>
          <a:ext cx="1019175" cy="676275"/>
        </a:xfrm>
        <a:prstGeom prst="rect">
          <a:avLst/>
        </a:prstGeom>
        <a:noFill/>
      </xdr:spPr>
    </xdr:pic>
    <xdr:clientData/>
  </xdr:twoCellAnchor>
  <xdr:twoCellAnchor>
    <xdr:from>
      <xdr:col>10</xdr:col>
      <xdr:colOff>523875</xdr:colOff>
      <xdr:row>43</xdr:row>
      <xdr:rowOff>28575</xdr:rowOff>
    </xdr:from>
    <xdr:to>
      <xdr:col>18</xdr:col>
      <xdr:colOff>104775</xdr:colOff>
      <xdr:row>53</xdr:row>
      <xdr:rowOff>152400</xdr:rowOff>
    </xdr:to>
    <xdr:graphicFrame macro="">
      <xdr:nvGraphicFramePr>
        <xdr:cNvPr id="1741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314325</xdr:colOff>
      <xdr:row>24</xdr:row>
      <xdr:rowOff>85725</xdr:rowOff>
    </xdr:from>
    <xdr:to>
      <xdr:col>26</xdr:col>
      <xdr:colOff>314325</xdr:colOff>
      <xdr:row>35</xdr:row>
      <xdr:rowOff>38100</xdr:rowOff>
    </xdr:to>
    <xdr:graphicFrame macro="">
      <xdr:nvGraphicFramePr>
        <xdr:cNvPr id="133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20</xdr:col>
      <xdr:colOff>342900</xdr:colOff>
      <xdr:row>7</xdr:row>
      <xdr:rowOff>200025</xdr:rowOff>
    </xdr:from>
    <xdr:to>
      <xdr:col>26</xdr:col>
      <xdr:colOff>342900</xdr:colOff>
      <xdr:row>21</xdr:row>
      <xdr:rowOff>95250</xdr:rowOff>
    </xdr:to>
    <xdr:graphicFrame macro="">
      <xdr:nvGraphicFramePr>
        <xdr:cNvPr id="133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37</xdr:col>
      <xdr:colOff>542925</xdr:colOff>
      <xdr:row>8</xdr:row>
      <xdr:rowOff>28575</xdr:rowOff>
    </xdr:from>
    <xdr:to>
      <xdr:col>41</xdr:col>
      <xdr:colOff>161925</xdr:colOff>
      <xdr:row>21</xdr:row>
      <xdr:rowOff>152400</xdr:rowOff>
    </xdr:to>
    <xdr:graphicFrame macro="">
      <xdr:nvGraphicFramePr>
        <xdr:cNvPr id="1331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600075</xdr:colOff>
      <xdr:row>8</xdr:row>
      <xdr:rowOff>28575</xdr:rowOff>
    </xdr:from>
    <xdr:to>
      <xdr:col>45</xdr:col>
      <xdr:colOff>180975</xdr:colOff>
      <xdr:row>22</xdr:row>
      <xdr:rowOff>38100</xdr:rowOff>
    </xdr:to>
    <xdr:graphicFrame macro="">
      <xdr:nvGraphicFramePr>
        <xdr:cNvPr id="1331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504825</xdr:colOff>
      <xdr:row>27</xdr:row>
      <xdr:rowOff>28575</xdr:rowOff>
    </xdr:from>
    <xdr:to>
      <xdr:col>41</xdr:col>
      <xdr:colOff>85725</xdr:colOff>
      <xdr:row>38</xdr:row>
      <xdr:rowOff>190500</xdr:rowOff>
    </xdr:to>
    <xdr:graphicFrame macro="">
      <xdr:nvGraphicFramePr>
        <xdr:cNvPr id="133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600075</xdr:colOff>
      <xdr:row>27</xdr:row>
      <xdr:rowOff>28575</xdr:rowOff>
    </xdr:from>
    <xdr:to>
      <xdr:col>45</xdr:col>
      <xdr:colOff>171450</xdr:colOff>
      <xdr:row>38</xdr:row>
      <xdr:rowOff>171450</xdr:rowOff>
    </xdr:to>
    <xdr:graphicFrame macro="">
      <xdr:nvGraphicFramePr>
        <xdr:cNvPr id="1331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485775</xdr:colOff>
      <xdr:row>8</xdr:row>
      <xdr:rowOff>0</xdr:rowOff>
    </xdr:from>
    <xdr:to>
      <xdr:col>35</xdr:col>
      <xdr:colOff>142875</xdr:colOff>
      <xdr:row>32</xdr:row>
      <xdr:rowOff>0</xdr:rowOff>
    </xdr:to>
    <xdr:graphicFrame macro="">
      <xdr:nvGraphicFramePr>
        <xdr:cNvPr id="1331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47</xdr:col>
      <xdr:colOff>66675</xdr:colOff>
      <xdr:row>8</xdr:row>
      <xdr:rowOff>28575</xdr:rowOff>
    </xdr:from>
    <xdr:to>
      <xdr:col>49</xdr:col>
      <xdr:colOff>552450</xdr:colOff>
      <xdr:row>20</xdr:row>
      <xdr:rowOff>19050</xdr:rowOff>
    </xdr:to>
    <xdr:graphicFrame macro="">
      <xdr:nvGraphicFramePr>
        <xdr:cNvPr id="133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51</xdr:col>
      <xdr:colOff>0</xdr:colOff>
      <xdr:row>8</xdr:row>
      <xdr:rowOff>28575</xdr:rowOff>
    </xdr:from>
    <xdr:to>
      <xdr:col>53</xdr:col>
      <xdr:colOff>495300</xdr:colOff>
      <xdr:row>20</xdr:row>
      <xdr:rowOff>38100</xdr:rowOff>
    </xdr:to>
    <xdr:graphicFrame macro="">
      <xdr:nvGraphicFramePr>
        <xdr:cNvPr id="1332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47</xdr:col>
      <xdr:colOff>66675</xdr:colOff>
      <xdr:row>22</xdr:row>
      <xdr:rowOff>66675</xdr:rowOff>
    </xdr:from>
    <xdr:to>
      <xdr:col>49</xdr:col>
      <xdr:colOff>561975</xdr:colOff>
      <xdr:row>33</xdr:row>
      <xdr:rowOff>180975</xdr:rowOff>
    </xdr:to>
    <xdr:graphicFrame macro="">
      <xdr:nvGraphicFramePr>
        <xdr:cNvPr id="1332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51</xdr:col>
      <xdr:colOff>9525</xdr:colOff>
      <xdr:row>22</xdr:row>
      <xdr:rowOff>66675</xdr:rowOff>
    </xdr:from>
    <xdr:to>
      <xdr:col>53</xdr:col>
      <xdr:colOff>495300</xdr:colOff>
      <xdr:row>33</xdr:row>
      <xdr:rowOff>219075</xdr:rowOff>
    </xdr:to>
    <xdr:graphicFrame macro="">
      <xdr:nvGraphicFramePr>
        <xdr:cNvPr id="13323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47</xdr:col>
      <xdr:colOff>76200</xdr:colOff>
      <xdr:row>35</xdr:row>
      <xdr:rowOff>9525</xdr:rowOff>
    </xdr:from>
    <xdr:to>
      <xdr:col>49</xdr:col>
      <xdr:colOff>561975</xdr:colOff>
      <xdr:row>44</xdr:row>
      <xdr:rowOff>76200</xdr:rowOff>
    </xdr:to>
    <xdr:graphicFrame macro="">
      <xdr:nvGraphicFramePr>
        <xdr:cNvPr id="13324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51</xdr:col>
      <xdr:colOff>9525</xdr:colOff>
      <xdr:row>35</xdr:row>
      <xdr:rowOff>28575</xdr:rowOff>
    </xdr:from>
    <xdr:to>
      <xdr:col>53</xdr:col>
      <xdr:colOff>485775</xdr:colOff>
      <xdr:row>44</xdr:row>
      <xdr:rowOff>95250</xdr:rowOff>
    </xdr:to>
    <xdr:graphicFrame macro="">
      <xdr:nvGraphicFramePr>
        <xdr:cNvPr id="1332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0.61881</cdr:x>
      <cdr:y>0.3885</cdr:y>
    </cdr:from>
    <cdr:to>
      <cdr:x>1</cdr:x>
      <cdr:y>0.48671</cdr:y>
    </cdr:to>
    <cdr:sp macro="" textlink="'GR&amp;R Reproducibility'!$B$11">
      <cdr:nvSpPr>
        <cdr:cNvPr id="1433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70535" y="765991"/>
          <a:ext cx="649922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fld id="{54323828-C0E1-49A1-89E3-8FF64F5133EB}" type="TxLink"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Operator 1</a:t>
          </a:fld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7</xdr:row>
      <xdr:rowOff>9525</xdr:rowOff>
    </xdr:from>
    <xdr:to>
      <xdr:col>17</xdr:col>
      <xdr:colOff>447675</xdr:colOff>
      <xdr:row>18</xdr:row>
      <xdr:rowOff>38100</xdr:rowOff>
    </xdr:to>
    <xdr:graphicFrame macro="">
      <xdr:nvGraphicFramePr>
        <xdr:cNvPr id="153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20</xdr:col>
      <xdr:colOff>47625</xdr:colOff>
      <xdr:row>7</xdr:row>
      <xdr:rowOff>28575</xdr:rowOff>
    </xdr:from>
    <xdr:to>
      <xdr:col>26</xdr:col>
      <xdr:colOff>523875</xdr:colOff>
      <xdr:row>30</xdr:row>
      <xdr:rowOff>19050</xdr:rowOff>
    </xdr:to>
    <xdr:graphicFrame macro="">
      <xdr:nvGraphicFramePr>
        <xdr:cNvPr id="1536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381000</xdr:colOff>
      <xdr:row>20</xdr:row>
      <xdr:rowOff>114300</xdr:rowOff>
    </xdr:from>
    <xdr:to>
      <xdr:col>17</xdr:col>
      <xdr:colOff>371475</xdr:colOff>
      <xdr:row>39</xdr:row>
      <xdr:rowOff>142875</xdr:rowOff>
    </xdr:to>
    <xdr:graphicFrame macro="">
      <xdr:nvGraphicFramePr>
        <xdr:cNvPr id="1536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485775</xdr:colOff>
      <xdr:row>2</xdr:row>
      <xdr:rowOff>9525</xdr:rowOff>
    </xdr:from>
    <xdr:to>
      <xdr:col>42</xdr:col>
      <xdr:colOff>247650</xdr:colOff>
      <xdr:row>18</xdr:row>
      <xdr:rowOff>57150</xdr:rowOff>
    </xdr:to>
    <xdr:graphicFrame macro="">
      <xdr:nvGraphicFramePr>
        <xdr:cNvPr id="163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466725</xdr:colOff>
      <xdr:row>39</xdr:row>
      <xdr:rowOff>123825</xdr:rowOff>
    </xdr:from>
    <xdr:to>
      <xdr:col>42</xdr:col>
      <xdr:colOff>238125</xdr:colOff>
      <xdr:row>56</xdr:row>
      <xdr:rowOff>66675</xdr:rowOff>
    </xdr:to>
    <xdr:graphicFrame macro="">
      <xdr:nvGraphicFramePr>
        <xdr:cNvPr id="163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466725</xdr:colOff>
      <xdr:row>20</xdr:row>
      <xdr:rowOff>152400</xdr:rowOff>
    </xdr:from>
    <xdr:to>
      <xdr:col>42</xdr:col>
      <xdr:colOff>228600</xdr:colOff>
      <xdr:row>37</xdr:row>
      <xdr:rowOff>114300</xdr:rowOff>
    </xdr:to>
    <xdr:graphicFrame macro="">
      <xdr:nvGraphicFramePr>
        <xdr:cNvPr id="1638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0</xdr:row>
      <xdr:rowOff>85725</xdr:rowOff>
    </xdr:from>
    <xdr:to>
      <xdr:col>30</xdr:col>
      <xdr:colOff>419100</xdr:colOff>
      <xdr:row>19</xdr:row>
      <xdr:rowOff>76200</xdr:rowOff>
    </xdr:to>
    <xdr:graphicFrame macro="">
      <xdr:nvGraphicFramePr>
        <xdr:cNvPr id="1639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19</xdr:row>
      <xdr:rowOff>85725</xdr:rowOff>
    </xdr:from>
    <xdr:to>
      <xdr:col>30</xdr:col>
      <xdr:colOff>419100</xdr:colOff>
      <xdr:row>38</xdr:row>
      <xdr:rowOff>95250</xdr:rowOff>
    </xdr:to>
    <xdr:graphicFrame macro="">
      <xdr:nvGraphicFramePr>
        <xdr:cNvPr id="1639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0</xdr:colOff>
      <xdr:row>38</xdr:row>
      <xdr:rowOff>104775</xdr:rowOff>
    </xdr:from>
    <xdr:to>
      <xdr:col>30</xdr:col>
      <xdr:colOff>419100</xdr:colOff>
      <xdr:row>57</xdr:row>
      <xdr:rowOff>104775</xdr:rowOff>
    </xdr:to>
    <xdr:graphicFrame macro="">
      <xdr:nvGraphicFramePr>
        <xdr:cNvPr id="1639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22</xdr:row>
      <xdr:rowOff>0</xdr:rowOff>
    </xdr:from>
    <xdr:to>
      <xdr:col>5</xdr:col>
      <xdr:colOff>85725</xdr:colOff>
      <xdr:row>37</xdr:row>
      <xdr:rowOff>76200</xdr:rowOff>
    </xdr:to>
    <xdr:graphicFrame macro="">
      <xdr:nvGraphicFramePr>
        <xdr:cNvPr id="204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0.23493</cdr:x>
      <cdr:y>0.09014</cdr:y>
    </cdr:from>
    <cdr:to>
      <cdr:x>0.25611</cdr:x>
      <cdr:y>0.16975</cdr:y>
    </cdr:to>
    <cdr:sp macro="" textlink="">
      <cdr:nvSpPr>
        <cdr:cNvPr id="2150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51279" y="229832"/>
          <a:ext cx="76445" cy="20020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  <cdr:relSizeAnchor xmlns:cdr="http://schemas.openxmlformats.org/drawingml/2006/chartDrawing">
    <cdr:from>
      <cdr:x>0.2325</cdr:x>
      <cdr:y>0.11732</cdr:y>
    </cdr:from>
    <cdr:to>
      <cdr:x>0.25368</cdr:x>
      <cdr:y>0.19693</cdr:y>
    </cdr:to>
    <cdr:sp macro="" textlink="'Chi Square'!$B$3">
      <cdr:nvSpPr>
        <cdr:cNvPr id="2150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842492" y="298179"/>
          <a:ext cx="76445" cy="20020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D4BFD7AB-7385-49A9-8602-D7D1436C1F8F}" type="TxLink">
            <a:rPr lang="en-US"/>
            <a:pPr/>
            <a:t> </a:t>
          </a:fld>
          <a:endParaRPr lang="en-US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16</xdr:row>
      <xdr:rowOff>114300</xdr:rowOff>
    </xdr:from>
    <xdr:to>
      <xdr:col>5</xdr:col>
      <xdr:colOff>504825</xdr:colOff>
      <xdr:row>32</xdr:row>
      <xdr:rowOff>0</xdr:rowOff>
    </xdr:to>
    <xdr:graphicFrame macro="">
      <xdr:nvGraphicFramePr>
        <xdr:cNvPr id="2252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37</xdr:row>
      <xdr:rowOff>76200</xdr:rowOff>
    </xdr:from>
    <xdr:to>
      <xdr:col>7</xdr:col>
      <xdr:colOff>571500</xdr:colOff>
      <xdr:row>59</xdr:row>
      <xdr:rowOff>57150</xdr:rowOff>
    </xdr:to>
    <xdr:graphicFrame macro="">
      <xdr:nvGraphicFramePr>
        <xdr:cNvPr id="245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38</xdr:row>
      <xdr:rowOff>152400</xdr:rowOff>
    </xdr:from>
    <xdr:to>
      <xdr:col>12</xdr:col>
      <xdr:colOff>9525</xdr:colOff>
      <xdr:row>42</xdr:row>
      <xdr:rowOff>38100</xdr:rowOff>
    </xdr:to>
    <xdr:sp macro="" textlink="">
      <xdr:nvSpPr>
        <xdr:cNvPr id="24580" name="Text Box 4"/>
        <xdr:cNvSpPr txBox="1">
          <a:spLocks noChangeArrowheads="1"/>
        </xdr:cNvSpPr>
      </xdr:nvSpPr>
      <xdr:spPr bwMode="auto">
        <a:xfrm>
          <a:off x="6743700" y="3390900"/>
          <a:ext cx="3543300" cy="533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folowing equations are solved by iterating a value for the confidence limit (pLCL or pUCL) that yields a value of 1-a/2 for the lower confidence limit and a/2 for the upper confidence limit.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1352550</xdr:colOff>
      <xdr:row>14</xdr:row>
      <xdr:rowOff>104775</xdr:rowOff>
    </xdr:from>
    <xdr:to>
      <xdr:col>8</xdr:col>
      <xdr:colOff>428625</xdr:colOff>
      <xdr:row>38</xdr:row>
      <xdr:rowOff>28575</xdr:rowOff>
    </xdr:to>
    <xdr:graphicFrame macro="">
      <xdr:nvGraphicFramePr>
        <xdr:cNvPr id="26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12</xdr:row>
      <xdr:rowOff>9525</xdr:rowOff>
    </xdr:from>
    <xdr:to>
      <xdr:col>12</xdr:col>
      <xdr:colOff>419100</xdr:colOff>
      <xdr:row>34</xdr:row>
      <xdr:rowOff>123825</xdr:rowOff>
    </xdr:to>
    <xdr:graphicFrame macro="">
      <xdr:nvGraphicFramePr>
        <xdr:cNvPr id="276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0.41195</cdr:x>
      <cdr:y>0.15515</cdr:y>
    </cdr:from>
    <cdr:to>
      <cdr:x>0.42498</cdr:x>
      <cdr:y>0.20946</cdr:y>
    </cdr:to>
    <cdr:sp macro="" textlink="">
      <cdr:nvSpPr>
        <cdr:cNvPr id="286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31998" y="575075"/>
          <a:ext cx="76859" cy="200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  <cdr:relSizeAnchor xmlns:cdr="http://schemas.openxmlformats.org/drawingml/2006/chartDrawing">
    <cdr:from>
      <cdr:x>0.35464</cdr:x>
      <cdr:y>0.10059</cdr:y>
    </cdr:from>
    <cdr:to>
      <cdr:x>0.62421</cdr:x>
      <cdr:y>0.15539</cdr:y>
    </cdr:to>
    <cdr:sp macro="" textlink="'Poisson Exact'!$F$2">
      <cdr:nvSpPr>
        <cdr:cNvPr id="28674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094105" y="373983"/>
          <a:ext cx="1589399" cy="2019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A4F2C1EA-A218-416C-85A1-3253B7145376}" type="TxLink"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95% Confidence Interval</a:t>
          </a:fld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5</xdr:row>
      <xdr:rowOff>57150</xdr:rowOff>
    </xdr:from>
    <xdr:to>
      <xdr:col>11</xdr:col>
      <xdr:colOff>514350</xdr:colOff>
      <xdr:row>24</xdr:row>
      <xdr:rowOff>152400</xdr:rowOff>
    </xdr:to>
    <xdr:graphicFrame macro="">
      <xdr:nvGraphicFramePr>
        <xdr:cNvPr id="296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266700</xdr:colOff>
      <xdr:row>2</xdr:row>
      <xdr:rowOff>0</xdr:rowOff>
    </xdr:from>
    <xdr:to>
      <xdr:col>0</xdr:col>
      <xdr:colOff>457200</xdr:colOff>
      <xdr:row>4</xdr:row>
      <xdr:rowOff>123825</xdr:rowOff>
    </xdr:to>
    <xdr:sp macro="" textlink="">
      <xdr:nvSpPr>
        <xdr:cNvPr id="29700" name="AutoShape 4"/>
        <xdr:cNvSpPr>
          <a:spLocks noChangeArrowheads="1"/>
        </xdr:cNvSpPr>
      </xdr:nvSpPr>
      <xdr:spPr bwMode="auto">
        <a:xfrm>
          <a:off x="266700" y="323850"/>
          <a:ext cx="190500" cy="447675"/>
        </a:xfrm>
        <a:prstGeom prst="downArrow">
          <a:avLst>
            <a:gd name="adj1" fmla="val 50000"/>
            <a:gd name="adj2" fmla="val 5875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419100</xdr:colOff>
      <xdr:row>6</xdr:row>
      <xdr:rowOff>76200</xdr:rowOff>
    </xdr:from>
    <xdr:to>
      <xdr:col>2</xdr:col>
      <xdr:colOff>76200</xdr:colOff>
      <xdr:row>7</xdr:row>
      <xdr:rowOff>142875</xdr:rowOff>
    </xdr:to>
    <xdr:sp macro="" textlink="">
      <xdr:nvSpPr>
        <xdr:cNvPr id="29701" name="AutoShape 5"/>
        <xdr:cNvSpPr>
          <a:spLocks noChangeArrowheads="1"/>
        </xdr:cNvSpPr>
      </xdr:nvSpPr>
      <xdr:spPr bwMode="auto">
        <a:xfrm>
          <a:off x="1028700" y="1047750"/>
          <a:ext cx="314325" cy="228600"/>
        </a:xfrm>
        <a:custGeom>
          <a:avLst/>
          <a:gdLst>
            <a:gd name="G0" fmla="+- 9257 0 0"/>
            <a:gd name="G1" fmla="+- 18514 0 0"/>
            <a:gd name="G2" fmla="+- 7200 0 0"/>
            <a:gd name="G3" fmla="*/ 9257 1 2"/>
            <a:gd name="G4" fmla="+- G3 10800 0"/>
            <a:gd name="G5" fmla="+- 21600 9257 18514"/>
            <a:gd name="G6" fmla="+- 18514 7200 0"/>
            <a:gd name="G7" fmla="*/ G6 1 2"/>
            <a:gd name="G8" fmla="*/ 18514 2 1"/>
            <a:gd name="G9" fmla="+- G8 0 21600"/>
            <a:gd name="G10" fmla="*/ 21600 G0 G1"/>
            <a:gd name="G11" fmla="*/ 21600 G4 G1"/>
            <a:gd name="G12" fmla="*/ 21600 G5 G1"/>
            <a:gd name="G13" fmla="*/ 21600 G7 G1"/>
            <a:gd name="G14" fmla="*/ 18514 1 2"/>
            <a:gd name="G15" fmla="+- G5 0 G4"/>
            <a:gd name="G16" fmla="+- G0 0 G4"/>
            <a:gd name="G17" fmla="*/ G2 G15 G16"/>
            <a:gd name="T0" fmla="*/ 15429 w 21600"/>
            <a:gd name="T1" fmla="*/ 0 h 21600"/>
            <a:gd name="T2" fmla="*/ 9257 w 21600"/>
            <a:gd name="T3" fmla="*/ 7200 h 21600"/>
            <a:gd name="T4" fmla="*/ 0 w 21600"/>
            <a:gd name="T5" fmla="*/ 18001 h 21600"/>
            <a:gd name="T6" fmla="*/ 9257 w 21600"/>
            <a:gd name="T7" fmla="*/ 21600 h 21600"/>
            <a:gd name="T8" fmla="*/ 18514 w 21600"/>
            <a:gd name="T9" fmla="*/ 15000 h 21600"/>
            <a:gd name="T10" fmla="*/ 21600 w 21600"/>
            <a:gd name="T11" fmla="*/ 720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G12 h 21600"/>
            <a:gd name="T20" fmla="*/ G1 w 21600"/>
            <a:gd name="T21" fmla="*/ 2160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9</xdr:col>
      <xdr:colOff>133350</xdr:colOff>
      <xdr:row>25</xdr:row>
      <xdr:rowOff>66675</xdr:rowOff>
    </xdr:from>
    <xdr:to>
      <xdr:col>11</xdr:col>
      <xdr:colOff>276225</xdr:colOff>
      <xdr:row>27</xdr:row>
      <xdr:rowOff>19050</xdr:rowOff>
    </xdr:to>
    <xdr:sp macro="" textlink="$F$10">
      <xdr:nvSpPr>
        <xdr:cNvPr id="29702" name="Text Box 6"/>
        <xdr:cNvSpPr txBox="1">
          <a:spLocks noChangeArrowheads="1" noTextEdit="1"/>
        </xdr:cNvSpPr>
      </xdr:nvSpPr>
      <xdr:spPr bwMode="auto">
        <a:xfrm>
          <a:off x="5524500" y="4152900"/>
          <a:ext cx="1362075" cy="276225"/>
        </a:xfrm>
        <a:prstGeom prst="rect">
          <a:avLst/>
        </a:prstGeom>
        <a:solidFill>
          <a:srgbClr val="FFFFFF">
            <a:alpha val="50000"/>
          </a:srgbClr>
        </a:solidFill>
        <a:ln w="9525">
          <a:noFill/>
          <a:miter lim="800000"/>
          <a:headEnd/>
          <a:tailEnd/>
        </a:ln>
      </xdr:spPr>
      <xdr:txBody>
        <a:bodyPr/>
        <a:lstStyle/>
        <a:p>
          <a:fld id="{80CE415C-815D-4E8B-8169-25B7DE014916}" type="TxLink">
            <a:rPr lang="en-US"/>
            <a:pPr/>
            <a:t>A 5 Sigma level equals a ppm of 233</a:t>
          </a:fld>
          <a:endParaRPr lang="en-US"/>
        </a:p>
      </xdr:txBody>
    </xdr:sp>
    <xdr:clientData/>
  </xdr:twoCellAnchor>
  <xdr:twoCellAnchor editAs="absolute">
    <xdr:from>
      <xdr:col>3</xdr:col>
      <xdr:colOff>485775</xdr:colOff>
      <xdr:row>19</xdr:row>
      <xdr:rowOff>152400</xdr:rowOff>
    </xdr:from>
    <xdr:to>
      <xdr:col>6</xdr:col>
      <xdr:colOff>19050</xdr:colOff>
      <xdr:row>21</xdr:row>
      <xdr:rowOff>104775</xdr:rowOff>
    </xdr:to>
    <xdr:sp macro="" textlink="$F$9">
      <xdr:nvSpPr>
        <xdr:cNvPr id="29703" name="Text Box 7"/>
        <xdr:cNvSpPr txBox="1">
          <a:spLocks noChangeArrowheads="1" noTextEdit="1"/>
        </xdr:cNvSpPr>
      </xdr:nvSpPr>
      <xdr:spPr bwMode="auto">
        <a:xfrm>
          <a:off x="2219325" y="3267075"/>
          <a:ext cx="1362075" cy="276225"/>
        </a:xfrm>
        <a:prstGeom prst="rect">
          <a:avLst/>
        </a:prstGeom>
        <a:solidFill>
          <a:srgbClr val="FFFFFF">
            <a:alpha val="5000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fld id="{5BB3C378-B8E6-4D18-B69D-59EAC92A8F09}" type="TxLink">
            <a:rPr lang="en-US" sz="800" b="1" i="0" strike="noStrike">
              <a:solidFill>
                <a:srgbClr val="000000"/>
              </a:solidFill>
              <a:latin typeface="Times New Roman"/>
              <a:cs typeface="Times New Roman"/>
            </a:rPr>
            <a:pPr algn="l" rtl="0">
              <a:defRPr sz="1000"/>
            </a:pPr>
            <a:t> </a:t>
          </a:fld>
          <a:endParaRPr lang="en-US" sz="8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4</xdr:row>
      <xdr:rowOff>0</xdr:rowOff>
    </xdr:from>
    <xdr:to>
      <xdr:col>11</xdr:col>
      <xdr:colOff>342900</xdr:colOff>
      <xdr:row>21</xdr:row>
      <xdr:rowOff>0</xdr:rowOff>
    </xdr:to>
    <xdr:graphicFrame macro="">
      <xdr:nvGraphicFramePr>
        <xdr:cNvPr id="317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</xdr:row>
      <xdr:rowOff>123825</xdr:rowOff>
    </xdr:from>
    <xdr:to>
      <xdr:col>13</xdr:col>
      <xdr:colOff>533400</xdr:colOff>
      <xdr:row>23</xdr:row>
      <xdr:rowOff>85725</xdr:rowOff>
    </xdr:to>
    <xdr:graphicFrame macro="">
      <xdr:nvGraphicFramePr>
        <xdr:cNvPr id="327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0.37971</cdr:x>
      <cdr:y>0.10081</cdr:y>
    </cdr:from>
    <cdr:to>
      <cdr:x>0.64735</cdr:x>
      <cdr:y>0.14873</cdr:y>
    </cdr:to>
    <cdr:sp macro="" textlink="'Sample Plan Generator'!$R$5">
      <cdr:nvSpPr>
        <cdr:cNvPr id="33793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260014" y="359408"/>
          <a:ext cx="1590751" cy="1693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733C04AB-D9E4-44AE-8907-E7A7F8D83F2E}" type="TxLink">
            <a:rPr lang="en-US" sz="1000" b="1" i="0" strike="noStrike">
              <a:solidFill>
                <a:srgbClr val="000000"/>
              </a:solidFill>
              <a:latin typeface="Times New Roman"/>
              <a:cs typeface="Times New Roman"/>
            </a:rPr>
            <a:pPr algn="ctr" rtl="0">
              <a:defRPr sz="1000"/>
            </a:pPr>
            <a:t>#DIV/0!</a:t>
          </a:fld>
          <a:endParaRPr lang="en-US" sz="1000" b="1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5</xdr:row>
      <xdr:rowOff>0</xdr:rowOff>
    </xdr:from>
    <xdr:to>
      <xdr:col>8</xdr:col>
      <xdr:colOff>304800</xdr:colOff>
      <xdr:row>15</xdr:row>
      <xdr:rowOff>0</xdr:rowOff>
    </xdr:to>
    <xdr:graphicFrame macro="">
      <xdr:nvGraphicFramePr>
        <xdr:cNvPr id="348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</xdr:colOff>
      <xdr:row>4</xdr:row>
      <xdr:rowOff>152400</xdr:rowOff>
    </xdr:from>
    <xdr:to>
      <xdr:col>14</xdr:col>
      <xdr:colOff>66675</xdr:colOff>
      <xdr:row>15</xdr:row>
      <xdr:rowOff>0</xdr:rowOff>
    </xdr:to>
    <xdr:graphicFrame macro="">
      <xdr:nvGraphicFramePr>
        <xdr:cNvPr id="3482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5</xdr:row>
      <xdr:rowOff>152400</xdr:rowOff>
    </xdr:from>
    <xdr:to>
      <xdr:col>8</xdr:col>
      <xdr:colOff>352425</xdr:colOff>
      <xdr:row>15</xdr:row>
      <xdr:rowOff>152400</xdr:rowOff>
    </xdr:to>
    <xdr:graphicFrame macro="">
      <xdr:nvGraphicFramePr>
        <xdr:cNvPr id="358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38100</xdr:colOff>
      <xdr:row>18</xdr:row>
      <xdr:rowOff>38100</xdr:rowOff>
    </xdr:from>
    <xdr:to>
      <xdr:col>3</xdr:col>
      <xdr:colOff>152400</xdr:colOff>
      <xdr:row>18</xdr:row>
      <xdr:rowOff>38100</xdr:rowOff>
    </xdr:to>
    <xdr:sp macro="" textlink="">
      <xdr:nvSpPr>
        <xdr:cNvPr id="35842" name="Line 2"/>
        <xdr:cNvSpPr>
          <a:spLocks noChangeShapeType="1"/>
        </xdr:cNvSpPr>
      </xdr:nvSpPr>
      <xdr:spPr bwMode="auto">
        <a:xfrm>
          <a:off x="1714500" y="29527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18</xdr:row>
      <xdr:rowOff>123825</xdr:rowOff>
    </xdr:from>
    <xdr:to>
      <xdr:col>13</xdr:col>
      <xdr:colOff>142875</xdr:colOff>
      <xdr:row>22</xdr:row>
      <xdr:rowOff>28575</xdr:rowOff>
    </xdr:to>
    <xdr:sp macro="" textlink="">
      <xdr:nvSpPr>
        <xdr:cNvPr id="36865" name="AutoShape 1"/>
        <xdr:cNvSpPr>
          <a:spLocks/>
        </xdr:cNvSpPr>
      </xdr:nvSpPr>
      <xdr:spPr bwMode="auto">
        <a:xfrm>
          <a:off x="7200900" y="2895600"/>
          <a:ext cx="76200" cy="514350"/>
        </a:xfrm>
        <a:prstGeom prst="rightBrace">
          <a:avLst>
            <a:gd name="adj1" fmla="val 56250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8</xdr:row>
      <xdr:rowOff>142875</xdr:rowOff>
    </xdr:from>
    <xdr:to>
      <xdr:col>4</xdr:col>
      <xdr:colOff>180975</xdr:colOff>
      <xdr:row>16</xdr:row>
      <xdr:rowOff>0</xdr:rowOff>
    </xdr:to>
    <xdr:pic>
      <xdr:nvPicPr>
        <xdr:cNvPr id="3789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3825" y="1362075"/>
          <a:ext cx="2971800" cy="11525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4</xdr:row>
      <xdr:rowOff>0</xdr:rowOff>
    </xdr:from>
    <xdr:to>
      <xdr:col>8</xdr:col>
      <xdr:colOff>590550</xdr:colOff>
      <xdr:row>19</xdr:row>
      <xdr:rowOff>0</xdr:rowOff>
    </xdr:to>
    <xdr:graphicFrame macro="">
      <xdr:nvGraphicFramePr>
        <xdr:cNvPr id="389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1</xdr:row>
      <xdr:rowOff>95250</xdr:rowOff>
    </xdr:from>
    <xdr:to>
      <xdr:col>12</xdr:col>
      <xdr:colOff>0</xdr:colOff>
      <xdr:row>8</xdr:row>
      <xdr:rowOff>123825</xdr:rowOff>
    </xdr:to>
    <xdr:pic>
      <xdr:nvPicPr>
        <xdr:cNvPr id="399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57750" y="257175"/>
          <a:ext cx="1543050" cy="11620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9525</xdr:rowOff>
    </xdr:from>
    <xdr:to>
      <xdr:col>11</xdr:col>
      <xdr:colOff>466725</xdr:colOff>
      <xdr:row>10</xdr:row>
      <xdr:rowOff>9525</xdr:rowOff>
    </xdr:to>
    <xdr:sp macro="" textlink="">
      <xdr:nvSpPr>
        <xdr:cNvPr id="41990" name="Rectangle 6"/>
        <xdr:cNvSpPr>
          <a:spLocks noChangeArrowheads="1"/>
        </xdr:cNvSpPr>
      </xdr:nvSpPr>
      <xdr:spPr bwMode="auto">
        <a:xfrm>
          <a:off x="3657600" y="495300"/>
          <a:ext cx="3486150" cy="1143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58</xdr:row>
      <xdr:rowOff>95250</xdr:rowOff>
    </xdr:from>
    <xdr:to>
      <xdr:col>10</xdr:col>
      <xdr:colOff>114300</xdr:colOff>
      <xdr:row>60</xdr:row>
      <xdr:rowOff>142875</xdr:rowOff>
    </xdr:to>
    <xdr:sp macro="" textlink="">
      <xdr:nvSpPr>
        <xdr:cNvPr id="43024" name="Text 19"/>
        <xdr:cNvSpPr txBox="1">
          <a:spLocks noChangeArrowheads="1"/>
        </xdr:cNvSpPr>
      </xdr:nvSpPr>
      <xdr:spPr bwMode="auto">
        <a:xfrm>
          <a:off x="3143250" y="9544050"/>
          <a:ext cx="3124200" cy="37147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OR use Avg &amp; s of individual values:  dpo =1- Normsdist(3*Ppk)</a:t>
          </a:r>
        </a:p>
        <a:p>
          <a:pPr algn="l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dpu = dpo * #opp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0</xdr:row>
      <xdr:rowOff>0</xdr:rowOff>
    </xdr:from>
    <xdr:to>
      <xdr:col>19</xdr:col>
      <xdr:colOff>0</xdr:colOff>
      <xdr:row>20</xdr:row>
      <xdr:rowOff>0</xdr:rowOff>
    </xdr:to>
    <xdr:graphicFrame macro="">
      <xdr:nvGraphicFramePr>
        <xdr:cNvPr id="44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466725</xdr:colOff>
      <xdr:row>35</xdr:row>
      <xdr:rowOff>47625</xdr:rowOff>
    </xdr:from>
    <xdr:to>
      <xdr:col>14</xdr:col>
      <xdr:colOff>142875</xdr:colOff>
      <xdr:row>36</xdr:row>
      <xdr:rowOff>123825</xdr:rowOff>
    </xdr:to>
    <xdr:sp macro="" textlink="">
      <xdr:nvSpPr>
        <xdr:cNvPr id="44034" name="AutoShape 2"/>
        <xdr:cNvSpPr>
          <a:spLocks noChangeArrowheads="1"/>
        </xdr:cNvSpPr>
      </xdr:nvSpPr>
      <xdr:spPr bwMode="auto">
        <a:xfrm>
          <a:off x="9010650" y="5991225"/>
          <a:ext cx="285750" cy="238125"/>
        </a:xfrm>
        <a:prstGeom prst="upArrow">
          <a:avLst>
            <a:gd name="adj1" fmla="val 50000"/>
            <a:gd name="adj2" fmla="val 25000"/>
          </a:avLst>
        </a:prstGeom>
        <a:solidFill>
          <a:srgbClr val="E3E3E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4</xdr:row>
      <xdr:rowOff>19050</xdr:rowOff>
    </xdr:from>
    <xdr:to>
      <xdr:col>16</xdr:col>
      <xdr:colOff>495300</xdr:colOff>
      <xdr:row>23</xdr:row>
      <xdr:rowOff>57150</xdr:rowOff>
    </xdr:to>
    <xdr:graphicFrame macro="">
      <xdr:nvGraphicFramePr>
        <xdr:cNvPr id="450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0.50982</cdr:x>
      <cdr:y>0.94025</cdr:y>
    </cdr:from>
    <cdr:to>
      <cdr:x>0.5243</cdr:x>
      <cdr:y>1</cdr:y>
    </cdr:to>
    <cdr:sp macro="" textlink="'2 Parts'!$B$4">
      <cdr:nvSpPr>
        <cdr:cNvPr id="46081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678843" y="5323969"/>
          <a:ext cx="76007" cy="1997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A212DF90-1564-4A9F-A27C-D2DEE6B9838B}" type="TxLink">
            <a:rPr lang="en-US"/>
            <a:pPr/>
            <a:t> </a:t>
          </a:fld>
          <a:endParaRPr lang="en-US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19050</xdr:colOff>
      <xdr:row>0</xdr:row>
      <xdr:rowOff>190500</xdr:rowOff>
    </xdr:from>
    <xdr:to>
      <xdr:col>20</xdr:col>
      <xdr:colOff>581025</xdr:colOff>
      <xdr:row>21</xdr:row>
      <xdr:rowOff>28575</xdr:rowOff>
    </xdr:to>
    <xdr:graphicFrame macro="">
      <xdr:nvGraphicFramePr>
        <xdr:cNvPr id="47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152400</xdr:colOff>
      <xdr:row>39</xdr:row>
      <xdr:rowOff>152400</xdr:rowOff>
    </xdr:from>
    <xdr:to>
      <xdr:col>7</xdr:col>
      <xdr:colOff>133350</xdr:colOff>
      <xdr:row>41</xdr:row>
      <xdr:rowOff>114300</xdr:rowOff>
    </xdr:to>
    <xdr:sp macro="" textlink="">
      <xdr:nvSpPr>
        <xdr:cNvPr id="47106" name="AutoShape 2"/>
        <xdr:cNvSpPr>
          <a:spLocks noChangeArrowheads="1"/>
        </xdr:cNvSpPr>
      </xdr:nvSpPr>
      <xdr:spPr bwMode="auto">
        <a:xfrm>
          <a:off x="4448175" y="6734175"/>
          <a:ext cx="581025" cy="295275"/>
        </a:xfrm>
        <a:prstGeom prst="downArrow">
          <a:avLst>
            <a:gd name="adj1" fmla="val 50000"/>
            <a:gd name="adj2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6</xdr:row>
      <xdr:rowOff>76200</xdr:rowOff>
    </xdr:from>
    <xdr:to>
      <xdr:col>10</xdr:col>
      <xdr:colOff>523875</xdr:colOff>
      <xdr:row>11</xdr:row>
      <xdr:rowOff>0</xdr:rowOff>
    </xdr:to>
    <xdr:sp macro="" textlink="">
      <xdr:nvSpPr>
        <xdr:cNvPr id="48129" name="Text 1"/>
        <xdr:cNvSpPr txBox="1">
          <a:spLocks noChangeArrowheads="1"/>
        </xdr:cNvSpPr>
      </xdr:nvSpPr>
      <xdr:spPr bwMode="auto">
        <a:xfrm>
          <a:off x="2733675" y="1047750"/>
          <a:ext cx="3200400" cy="771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Endcount is used to determine the statistical significance of the largest contrasts.  This is a non-parametric test.  </a:t>
          </a:r>
          <a:r>
            <a:rPr lang="en-US" sz="1000" b="0" i="1" strike="noStrike">
              <a:solidFill>
                <a:srgbClr val="000000"/>
              </a:solidFill>
              <a:latin typeface="Times New Roman"/>
              <a:cs typeface="Times New Roman"/>
            </a:rPr>
            <a:t>i.e.</a:t>
          </a:r>
          <a:r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t>it is not based on the Normal distribution.   In addition, it provides an overall confidence level for all contrasts combined.  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7</xdr:col>
      <xdr:colOff>85725</xdr:colOff>
      <xdr:row>18</xdr:row>
      <xdr:rowOff>66675</xdr:rowOff>
    </xdr:from>
    <xdr:to>
      <xdr:col>11</xdr:col>
      <xdr:colOff>114300</xdr:colOff>
      <xdr:row>22</xdr:row>
      <xdr:rowOff>114300</xdr:rowOff>
    </xdr:to>
    <xdr:pic>
      <xdr:nvPicPr>
        <xdr:cNvPr id="4813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95725" y="3048000"/>
          <a:ext cx="2162175" cy="695325"/>
        </a:xfrm>
        <a:prstGeom prst="rect">
          <a:avLst/>
        </a:prstGeom>
        <a:noFill/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2</xdr:row>
      <xdr:rowOff>57150</xdr:rowOff>
    </xdr:from>
    <xdr:to>
      <xdr:col>30</xdr:col>
      <xdr:colOff>400050</xdr:colOff>
      <xdr:row>16</xdr:row>
      <xdr:rowOff>9525</xdr:rowOff>
    </xdr:to>
    <xdr:graphicFrame macro="">
      <xdr:nvGraphicFramePr>
        <xdr:cNvPr id="512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20</xdr:row>
      <xdr:rowOff>19050</xdr:rowOff>
    </xdr:from>
    <xdr:to>
      <xdr:col>25</xdr:col>
      <xdr:colOff>419100</xdr:colOff>
      <xdr:row>30</xdr:row>
      <xdr:rowOff>0</xdr:rowOff>
    </xdr:to>
    <xdr:graphicFrame macro="">
      <xdr:nvGraphicFramePr>
        <xdr:cNvPr id="5120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19050</xdr:colOff>
      <xdr:row>20</xdr:row>
      <xdr:rowOff>0</xdr:rowOff>
    </xdr:from>
    <xdr:to>
      <xdr:col>30</xdr:col>
      <xdr:colOff>276225</xdr:colOff>
      <xdr:row>30</xdr:row>
      <xdr:rowOff>0</xdr:rowOff>
    </xdr:to>
    <xdr:graphicFrame macro="">
      <xdr:nvGraphicFramePr>
        <xdr:cNvPr id="5120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152400</xdr:colOff>
      <xdr:row>2</xdr:row>
      <xdr:rowOff>95250</xdr:rowOff>
    </xdr:from>
    <xdr:to>
      <xdr:col>40</xdr:col>
      <xdr:colOff>352425</xdr:colOff>
      <xdr:row>17</xdr:row>
      <xdr:rowOff>57150</xdr:rowOff>
    </xdr:to>
    <xdr:graphicFrame macro="">
      <xdr:nvGraphicFramePr>
        <xdr:cNvPr id="5120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43</xdr:col>
      <xdr:colOff>333375</xdr:colOff>
      <xdr:row>5</xdr:row>
      <xdr:rowOff>142875</xdr:rowOff>
    </xdr:from>
    <xdr:to>
      <xdr:col>48</xdr:col>
      <xdr:colOff>180975</xdr:colOff>
      <xdr:row>17</xdr:row>
      <xdr:rowOff>142875</xdr:rowOff>
    </xdr:to>
    <xdr:graphicFrame macro="">
      <xdr:nvGraphicFramePr>
        <xdr:cNvPr id="5120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314325</xdr:colOff>
      <xdr:row>20</xdr:row>
      <xdr:rowOff>104775</xdr:rowOff>
    </xdr:from>
    <xdr:to>
      <xdr:col>48</xdr:col>
      <xdr:colOff>200025</xdr:colOff>
      <xdr:row>32</xdr:row>
      <xdr:rowOff>133350</xdr:rowOff>
    </xdr:to>
    <xdr:graphicFrame macro="">
      <xdr:nvGraphicFramePr>
        <xdr:cNvPr id="5120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352425</xdr:colOff>
      <xdr:row>35</xdr:row>
      <xdr:rowOff>95250</xdr:rowOff>
    </xdr:from>
    <xdr:to>
      <xdr:col>48</xdr:col>
      <xdr:colOff>171450</xdr:colOff>
      <xdr:row>47</xdr:row>
      <xdr:rowOff>104775</xdr:rowOff>
    </xdr:to>
    <xdr:graphicFrame macro="">
      <xdr:nvGraphicFramePr>
        <xdr:cNvPr id="51209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523875</xdr:colOff>
      <xdr:row>4</xdr:row>
      <xdr:rowOff>95250</xdr:rowOff>
    </xdr:from>
    <xdr:to>
      <xdr:col>59</xdr:col>
      <xdr:colOff>19050</xdr:colOff>
      <xdr:row>16</xdr:row>
      <xdr:rowOff>142875</xdr:rowOff>
    </xdr:to>
    <xdr:graphicFrame macro="">
      <xdr:nvGraphicFramePr>
        <xdr:cNvPr id="51210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52</xdr:col>
      <xdr:colOff>504825</xdr:colOff>
      <xdr:row>34</xdr:row>
      <xdr:rowOff>114300</xdr:rowOff>
    </xdr:from>
    <xdr:to>
      <xdr:col>59</xdr:col>
      <xdr:colOff>28575</xdr:colOff>
      <xdr:row>47</xdr:row>
      <xdr:rowOff>66675</xdr:rowOff>
    </xdr:to>
    <xdr:graphicFrame macro="">
      <xdr:nvGraphicFramePr>
        <xdr:cNvPr id="51211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52</xdr:col>
      <xdr:colOff>523875</xdr:colOff>
      <xdr:row>19</xdr:row>
      <xdr:rowOff>95250</xdr:rowOff>
    </xdr:from>
    <xdr:to>
      <xdr:col>59</xdr:col>
      <xdr:colOff>66675</xdr:colOff>
      <xdr:row>32</xdr:row>
      <xdr:rowOff>28575</xdr:rowOff>
    </xdr:to>
    <xdr:graphicFrame macro="">
      <xdr:nvGraphicFramePr>
        <xdr:cNvPr id="51212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62</xdr:col>
      <xdr:colOff>219075</xdr:colOff>
      <xdr:row>4</xdr:row>
      <xdr:rowOff>114300</xdr:rowOff>
    </xdr:from>
    <xdr:to>
      <xdr:col>68</xdr:col>
      <xdr:colOff>257175</xdr:colOff>
      <xdr:row>16</xdr:row>
      <xdr:rowOff>152400</xdr:rowOff>
    </xdr:to>
    <xdr:graphicFrame macro="">
      <xdr:nvGraphicFramePr>
        <xdr:cNvPr id="51214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142875</xdr:colOff>
      <xdr:row>1</xdr:row>
      <xdr:rowOff>28575</xdr:rowOff>
    </xdr:from>
    <xdr:to>
      <xdr:col>51</xdr:col>
      <xdr:colOff>371475</xdr:colOff>
      <xdr:row>14</xdr:row>
      <xdr:rowOff>104775</xdr:rowOff>
    </xdr:to>
    <xdr:graphicFrame macro="">
      <xdr:nvGraphicFramePr>
        <xdr:cNvPr id="522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104775</xdr:colOff>
      <xdr:row>16</xdr:row>
      <xdr:rowOff>38100</xdr:rowOff>
    </xdr:from>
    <xdr:to>
      <xdr:col>51</xdr:col>
      <xdr:colOff>523875</xdr:colOff>
      <xdr:row>27</xdr:row>
      <xdr:rowOff>114300</xdr:rowOff>
    </xdr:to>
    <xdr:graphicFrame macro="">
      <xdr:nvGraphicFramePr>
        <xdr:cNvPr id="522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66675</xdr:colOff>
      <xdr:row>26</xdr:row>
      <xdr:rowOff>114300</xdr:rowOff>
    </xdr:from>
    <xdr:to>
      <xdr:col>51</xdr:col>
      <xdr:colOff>495300</xdr:colOff>
      <xdr:row>38</xdr:row>
      <xdr:rowOff>38100</xdr:rowOff>
    </xdr:to>
    <xdr:graphicFrame macro="">
      <xdr:nvGraphicFramePr>
        <xdr:cNvPr id="522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104775</xdr:colOff>
      <xdr:row>38</xdr:row>
      <xdr:rowOff>28575</xdr:rowOff>
    </xdr:from>
    <xdr:to>
      <xdr:col>51</xdr:col>
      <xdr:colOff>476250</xdr:colOff>
      <xdr:row>49</xdr:row>
      <xdr:rowOff>0</xdr:rowOff>
    </xdr:to>
    <xdr:graphicFrame macro="">
      <xdr:nvGraphicFramePr>
        <xdr:cNvPr id="5222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62</xdr:col>
      <xdr:colOff>152400</xdr:colOff>
      <xdr:row>5</xdr:row>
      <xdr:rowOff>114300</xdr:rowOff>
    </xdr:from>
    <xdr:to>
      <xdr:col>66</xdr:col>
      <xdr:colOff>476250</xdr:colOff>
      <xdr:row>17</xdr:row>
      <xdr:rowOff>28575</xdr:rowOff>
    </xdr:to>
    <xdr:graphicFrame macro="">
      <xdr:nvGraphicFramePr>
        <xdr:cNvPr id="522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67</xdr:col>
      <xdr:colOff>76200</xdr:colOff>
      <xdr:row>5</xdr:row>
      <xdr:rowOff>114300</xdr:rowOff>
    </xdr:from>
    <xdr:to>
      <xdr:col>71</xdr:col>
      <xdr:colOff>419100</xdr:colOff>
      <xdr:row>17</xdr:row>
      <xdr:rowOff>47625</xdr:rowOff>
    </xdr:to>
    <xdr:graphicFrame macro="">
      <xdr:nvGraphicFramePr>
        <xdr:cNvPr id="522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152400</xdr:colOff>
      <xdr:row>20</xdr:row>
      <xdr:rowOff>95250</xdr:rowOff>
    </xdr:from>
    <xdr:to>
      <xdr:col>66</xdr:col>
      <xdr:colOff>485775</xdr:colOff>
      <xdr:row>32</xdr:row>
      <xdr:rowOff>47625</xdr:rowOff>
    </xdr:to>
    <xdr:graphicFrame macro="">
      <xdr:nvGraphicFramePr>
        <xdr:cNvPr id="52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67</xdr:col>
      <xdr:colOff>76200</xdr:colOff>
      <xdr:row>20</xdr:row>
      <xdr:rowOff>76200</xdr:rowOff>
    </xdr:from>
    <xdr:to>
      <xdr:col>71</xdr:col>
      <xdr:colOff>419100</xdr:colOff>
      <xdr:row>32</xdr:row>
      <xdr:rowOff>9525</xdr:rowOff>
    </xdr:to>
    <xdr:graphicFrame macro="">
      <xdr:nvGraphicFramePr>
        <xdr:cNvPr id="5223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114300</xdr:colOff>
      <xdr:row>32</xdr:row>
      <xdr:rowOff>85725</xdr:rowOff>
    </xdr:from>
    <xdr:to>
      <xdr:col>89</xdr:col>
      <xdr:colOff>495300</xdr:colOff>
      <xdr:row>45</xdr:row>
      <xdr:rowOff>0</xdr:rowOff>
    </xdr:to>
    <xdr:graphicFrame macro="">
      <xdr:nvGraphicFramePr>
        <xdr:cNvPr id="52235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73</xdr:col>
      <xdr:colOff>381000</xdr:colOff>
      <xdr:row>5</xdr:row>
      <xdr:rowOff>38100</xdr:rowOff>
    </xdr:from>
    <xdr:to>
      <xdr:col>79</xdr:col>
      <xdr:colOff>228600</xdr:colOff>
      <xdr:row>17</xdr:row>
      <xdr:rowOff>76200</xdr:rowOff>
    </xdr:to>
    <xdr:graphicFrame macro="">
      <xdr:nvGraphicFramePr>
        <xdr:cNvPr id="52236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73</xdr:col>
      <xdr:colOff>352425</xdr:colOff>
      <xdr:row>17</xdr:row>
      <xdr:rowOff>152400</xdr:rowOff>
    </xdr:from>
    <xdr:to>
      <xdr:col>79</xdr:col>
      <xdr:colOff>200025</xdr:colOff>
      <xdr:row>30</xdr:row>
      <xdr:rowOff>66675</xdr:rowOff>
    </xdr:to>
    <xdr:graphicFrame macro="">
      <xdr:nvGraphicFramePr>
        <xdr:cNvPr id="52237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73</xdr:col>
      <xdr:colOff>352425</xdr:colOff>
      <xdr:row>31</xdr:row>
      <xdr:rowOff>9525</xdr:rowOff>
    </xdr:from>
    <xdr:to>
      <xdr:col>79</xdr:col>
      <xdr:colOff>200025</xdr:colOff>
      <xdr:row>43</xdr:row>
      <xdr:rowOff>85725</xdr:rowOff>
    </xdr:to>
    <xdr:graphicFrame macro="">
      <xdr:nvGraphicFramePr>
        <xdr:cNvPr id="52238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84</xdr:col>
      <xdr:colOff>104775</xdr:colOff>
      <xdr:row>5</xdr:row>
      <xdr:rowOff>28575</xdr:rowOff>
    </xdr:from>
    <xdr:to>
      <xdr:col>89</xdr:col>
      <xdr:colOff>476250</xdr:colOff>
      <xdr:row>17</xdr:row>
      <xdr:rowOff>66675</xdr:rowOff>
    </xdr:to>
    <xdr:graphicFrame macro="">
      <xdr:nvGraphicFramePr>
        <xdr:cNvPr id="52239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84</xdr:col>
      <xdr:colOff>114300</xdr:colOff>
      <xdr:row>18</xdr:row>
      <xdr:rowOff>114300</xdr:rowOff>
    </xdr:from>
    <xdr:to>
      <xdr:col>89</xdr:col>
      <xdr:colOff>495300</xdr:colOff>
      <xdr:row>31</xdr:row>
      <xdr:rowOff>28575</xdr:rowOff>
    </xdr:to>
    <xdr:graphicFrame macro="">
      <xdr:nvGraphicFramePr>
        <xdr:cNvPr id="52240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28575</xdr:colOff>
      <xdr:row>20</xdr:row>
      <xdr:rowOff>95250</xdr:rowOff>
    </xdr:from>
    <xdr:to>
      <xdr:col>24</xdr:col>
      <xdr:colOff>600075</xdr:colOff>
      <xdr:row>36</xdr:row>
      <xdr:rowOff>76200</xdr:rowOff>
    </xdr:to>
    <xdr:graphicFrame macro="">
      <xdr:nvGraphicFramePr>
        <xdr:cNvPr id="532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9</xdr:col>
      <xdr:colOff>361950</xdr:colOff>
      <xdr:row>11</xdr:row>
      <xdr:rowOff>114300</xdr:rowOff>
    </xdr:from>
    <xdr:to>
      <xdr:col>10</xdr:col>
      <xdr:colOff>0</xdr:colOff>
      <xdr:row>13</xdr:row>
      <xdr:rowOff>76200</xdr:rowOff>
    </xdr:to>
    <xdr:sp macro="" textlink="">
      <xdr:nvSpPr>
        <xdr:cNvPr id="53250" name="AutoShape 2"/>
        <xdr:cNvSpPr>
          <a:spLocks noChangeArrowheads="1"/>
        </xdr:cNvSpPr>
      </xdr:nvSpPr>
      <xdr:spPr bwMode="auto">
        <a:xfrm>
          <a:off x="6315075" y="1952625"/>
          <a:ext cx="247650" cy="285750"/>
        </a:xfrm>
        <a:prstGeom prst="rightArrow">
          <a:avLst>
            <a:gd name="adj1" fmla="val 50000"/>
            <a:gd name="adj2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38100</xdr:colOff>
      <xdr:row>11</xdr:row>
      <xdr:rowOff>114300</xdr:rowOff>
    </xdr:from>
    <xdr:to>
      <xdr:col>13</xdr:col>
      <xdr:colOff>285750</xdr:colOff>
      <xdr:row>13</xdr:row>
      <xdr:rowOff>76200</xdr:rowOff>
    </xdr:to>
    <xdr:sp macro="" textlink="">
      <xdr:nvSpPr>
        <xdr:cNvPr id="53251" name="AutoShape 3"/>
        <xdr:cNvSpPr>
          <a:spLocks noChangeArrowheads="1"/>
        </xdr:cNvSpPr>
      </xdr:nvSpPr>
      <xdr:spPr bwMode="auto">
        <a:xfrm flipH="1">
          <a:off x="8429625" y="1952625"/>
          <a:ext cx="247650" cy="285750"/>
        </a:xfrm>
        <a:prstGeom prst="rightArrow">
          <a:avLst>
            <a:gd name="adj1" fmla="val 50000"/>
            <a:gd name="adj2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28575</xdr:colOff>
      <xdr:row>5</xdr:row>
      <xdr:rowOff>66675</xdr:rowOff>
    </xdr:from>
    <xdr:to>
      <xdr:col>24</xdr:col>
      <xdr:colOff>571500</xdr:colOff>
      <xdr:row>20</xdr:row>
      <xdr:rowOff>47625</xdr:rowOff>
    </xdr:to>
    <xdr:graphicFrame macro="">
      <xdr:nvGraphicFramePr>
        <xdr:cNvPr id="532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0.13998</cdr:x>
      <cdr:y>0.80712</cdr:y>
    </cdr:from>
    <cdr:to>
      <cdr:x>0.25517</cdr:x>
      <cdr:y>0.88089</cdr:y>
    </cdr:to>
    <cdr:sp macro="" textlink="'Stability and Capability'!$B$8">
      <cdr:nvSpPr>
        <cdr:cNvPr id="5529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680493" y="1986623"/>
          <a:ext cx="557355" cy="1812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FE4F4F0F-1855-4F79-9C7F-929F3DB7676B}" type="TxLink">
            <a:rPr lang="en-US"/>
            <a:pPr/>
            <a:t> </a:t>
          </a:fld>
          <a:endParaRPr lang="en-US"/>
        </a:p>
      </cdr:txBody>
    </cdr:sp>
  </cdr:relSizeAnchor>
  <cdr:relSizeAnchor xmlns:cdr="http://schemas.openxmlformats.org/drawingml/2006/chartDrawing">
    <cdr:from>
      <cdr:x>0.28703</cdr:x>
      <cdr:y>0.80712</cdr:y>
    </cdr:from>
    <cdr:to>
      <cdr:x>0.40221</cdr:x>
      <cdr:y>0.88089</cdr:y>
    </cdr:to>
    <cdr:sp macro="" textlink="'Stability and Capability'!$C$8">
      <cdr:nvSpPr>
        <cdr:cNvPr id="55298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392010" y="1986623"/>
          <a:ext cx="557356" cy="1812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5F1395DC-5F71-466F-9C2D-2ED78396126E}" type="TxLink">
            <a:rPr lang="en-US"/>
            <a:pPr/>
            <a:t> </a:t>
          </a:fld>
          <a:endParaRPr lang="en-US"/>
        </a:p>
      </cdr:txBody>
    </cdr:sp>
  </cdr:relSizeAnchor>
  <cdr:relSizeAnchor xmlns:cdr="http://schemas.openxmlformats.org/drawingml/2006/chartDrawing">
    <cdr:from>
      <cdr:x>0.41814</cdr:x>
      <cdr:y>0.80712</cdr:y>
    </cdr:from>
    <cdr:to>
      <cdr:x>0.53333</cdr:x>
      <cdr:y>0.88089</cdr:y>
    </cdr:to>
    <cdr:sp macro="" textlink="'Stability and Capability'!$D$8">
      <cdr:nvSpPr>
        <cdr:cNvPr id="55299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026447" y="1986623"/>
          <a:ext cx="557355" cy="1812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AB9680DC-2CC2-4755-9F39-F949539DDAA7}" type="TxLink">
            <a:rPr lang="en-US"/>
            <a:pPr/>
            <a:t> </a:t>
          </a:fld>
          <a:endParaRPr lang="en-US"/>
        </a:p>
      </cdr:txBody>
    </cdr:sp>
  </cdr:relSizeAnchor>
  <cdr:relSizeAnchor xmlns:cdr="http://schemas.openxmlformats.org/drawingml/2006/chartDrawing">
    <cdr:from>
      <cdr:x>0.562</cdr:x>
      <cdr:y>0.80712</cdr:y>
    </cdr:from>
    <cdr:to>
      <cdr:x>0.67719</cdr:x>
      <cdr:y>0.88089</cdr:y>
    </cdr:to>
    <cdr:sp macro="" textlink="'Stability and Capability'!$E$8">
      <cdr:nvSpPr>
        <cdr:cNvPr id="55300" name="Text Box 4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722548" y="1986623"/>
          <a:ext cx="557356" cy="1812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18163E02-1ECE-47F7-A943-DFE52E0741FC}" type="TxLink">
            <a:rPr lang="en-US"/>
            <a:pPr/>
            <a:t> </a:t>
          </a:fld>
          <a:endParaRPr lang="en-US"/>
        </a:p>
      </cdr:txBody>
    </cdr:sp>
  </cdr:relSizeAnchor>
  <cdr:relSizeAnchor xmlns:cdr="http://schemas.openxmlformats.org/drawingml/2006/chartDrawing">
    <cdr:from>
      <cdr:x>0.70832</cdr:x>
      <cdr:y>0.80712</cdr:y>
    </cdr:from>
    <cdr:to>
      <cdr:x>0.8235</cdr:x>
      <cdr:y>0.88089</cdr:y>
    </cdr:to>
    <cdr:sp macro="" textlink="'Stability and Capability'!$F$8">
      <cdr:nvSpPr>
        <cdr:cNvPr id="55301" name="Text Box 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430508" y="1986623"/>
          <a:ext cx="557356" cy="1812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4F1AE761-D89B-490C-8666-085A2BB056D0}" type="TxLink">
            <a:rPr lang="en-US"/>
            <a:pPr/>
            <a:t> </a:t>
          </a:fld>
          <a:endParaRPr lang="en-US"/>
        </a:p>
      </cdr:txBody>
    </cdr:sp>
  </cdr:relSizeAnchor>
  <cdr:relSizeAnchor xmlns:cdr="http://schemas.openxmlformats.org/drawingml/2006/chartDrawing">
    <cdr:from>
      <cdr:x>0.84188</cdr:x>
      <cdr:y>0.80712</cdr:y>
    </cdr:from>
    <cdr:to>
      <cdr:x>0.95707</cdr:x>
      <cdr:y>0.88089</cdr:y>
    </cdr:to>
    <cdr:sp macro="" textlink="'Stability and Capability'!$AY$8">
      <cdr:nvSpPr>
        <cdr:cNvPr id="55302" name="Text Box 6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076803" y="1986623"/>
          <a:ext cx="557356" cy="1812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5FC6CAE0-0E44-4B8F-A2B1-EB12B97FADF4}" type="TxLink">
            <a:rPr lang="en-US"/>
            <a:pPr/>
            <a:t> </a:t>
          </a:fld>
          <a:endParaRPr lang="en-US"/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123825</xdr:colOff>
      <xdr:row>47</xdr:row>
      <xdr:rowOff>123825</xdr:rowOff>
    </xdr:from>
    <xdr:ext cx="76200" cy="200025"/>
    <xdr:sp macro="" textlink="">
      <xdr:nvSpPr>
        <xdr:cNvPr id="58369" name="Text Box 1"/>
        <xdr:cNvSpPr txBox="1">
          <a:spLocks noChangeArrowheads="1"/>
        </xdr:cNvSpPr>
      </xdr:nvSpPr>
      <xdr:spPr bwMode="auto">
        <a:xfrm>
          <a:off x="2867025" y="78105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9</xdr:col>
      <xdr:colOff>476250</xdr:colOff>
      <xdr:row>9</xdr:row>
      <xdr:rowOff>161925</xdr:rowOff>
    </xdr:from>
    <xdr:to>
      <xdr:col>17</xdr:col>
      <xdr:colOff>266700</xdr:colOff>
      <xdr:row>25</xdr:row>
      <xdr:rowOff>28575</xdr:rowOff>
    </xdr:to>
    <xdr:graphicFrame macro="">
      <xdr:nvGraphicFramePr>
        <xdr:cNvPr id="583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123825</xdr:colOff>
      <xdr:row>21</xdr:row>
      <xdr:rowOff>123825</xdr:rowOff>
    </xdr:from>
    <xdr:ext cx="76200" cy="200025"/>
    <xdr:sp macro="" textlink="">
      <xdr:nvSpPr>
        <xdr:cNvPr id="59393" name="Text Box 1"/>
        <xdr:cNvSpPr txBox="1">
          <a:spLocks noChangeArrowheads="1"/>
        </xdr:cNvSpPr>
      </xdr:nvSpPr>
      <xdr:spPr bwMode="auto">
        <a:xfrm>
          <a:off x="2905125" y="35814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9</xdr:col>
      <xdr:colOff>476250</xdr:colOff>
      <xdr:row>9</xdr:row>
      <xdr:rowOff>161925</xdr:rowOff>
    </xdr:from>
    <xdr:to>
      <xdr:col>17</xdr:col>
      <xdr:colOff>266700</xdr:colOff>
      <xdr:row>24</xdr:row>
      <xdr:rowOff>28575</xdr:rowOff>
    </xdr:to>
    <xdr:graphicFrame macro="">
      <xdr:nvGraphicFramePr>
        <xdr:cNvPr id="59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4</xdr:row>
      <xdr:rowOff>0</xdr:rowOff>
    </xdr:from>
    <xdr:to>
      <xdr:col>17</xdr:col>
      <xdr:colOff>285750</xdr:colOff>
      <xdr:row>26</xdr:row>
      <xdr:rowOff>0</xdr:rowOff>
    </xdr:to>
    <xdr:graphicFrame macro="">
      <xdr:nvGraphicFramePr>
        <xdr:cNvPr id="604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22</xdr:col>
      <xdr:colOff>0</xdr:colOff>
      <xdr:row>2</xdr:row>
      <xdr:rowOff>0</xdr:rowOff>
    </xdr:from>
    <xdr:to>
      <xdr:col>34</xdr:col>
      <xdr:colOff>123825</xdr:colOff>
      <xdr:row>22</xdr:row>
      <xdr:rowOff>104775</xdr:rowOff>
    </xdr:to>
    <xdr:pic>
      <xdr:nvPicPr>
        <xdr:cNvPr id="6041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458575" y="361950"/>
          <a:ext cx="6448425" cy="3533775"/>
        </a:xfrm>
        <a:prstGeom prst="rect">
          <a:avLst/>
        </a:prstGeom>
        <a:noFill/>
      </xdr:spPr>
    </xdr:pic>
    <xdr:clientData/>
  </xdr:twoCellAnchor>
  <xdr:twoCellAnchor editAs="oneCell">
    <xdr:from>
      <xdr:col>21</xdr:col>
      <xdr:colOff>609600</xdr:colOff>
      <xdr:row>25</xdr:row>
      <xdr:rowOff>66675</xdr:rowOff>
    </xdr:from>
    <xdr:to>
      <xdr:col>28</xdr:col>
      <xdr:colOff>276225</xdr:colOff>
      <xdr:row>44</xdr:row>
      <xdr:rowOff>104775</xdr:rowOff>
    </xdr:to>
    <xdr:pic>
      <xdr:nvPicPr>
        <xdr:cNvPr id="6042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430000" y="4343400"/>
          <a:ext cx="3429000" cy="3114675"/>
        </a:xfrm>
        <a:prstGeom prst="rect">
          <a:avLst/>
        </a:prstGeom>
        <a:noFill/>
      </xdr:spPr>
    </xdr:pic>
    <xdr:clientData/>
  </xdr:twoCellAnchor>
  <xdr:twoCellAnchor editAs="oneCell">
    <xdr:from>
      <xdr:col>28</xdr:col>
      <xdr:colOff>504825</xdr:colOff>
      <xdr:row>25</xdr:row>
      <xdr:rowOff>66675</xdr:rowOff>
    </xdr:from>
    <xdr:to>
      <xdr:col>35</xdr:col>
      <xdr:colOff>200025</xdr:colOff>
      <xdr:row>44</xdr:row>
      <xdr:rowOff>95250</xdr:rowOff>
    </xdr:to>
    <xdr:pic>
      <xdr:nvPicPr>
        <xdr:cNvPr id="6042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5087600" y="4343400"/>
          <a:ext cx="3429000" cy="3105150"/>
        </a:xfrm>
        <a:prstGeom prst="rect">
          <a:avLst/>
        </a:prstGeom>
        <a:noFill/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361950</xdr:colOff>
      <xdr:row>5</xdr:row>
      <xdr:rowOff>57150</xdr:rowOff>
    </xdr:from>
    <xdr:to>
      <xdr:col>24</xdr:col>
      <xdr:colOff>361950</xdr:colOff>
      <xdr:row>18</xdr:row>
      <xdr:rowOff>57150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361950</xdr:colOff>
      <xdr:row>19</xdr:row>
      <xdr:rowOff>38100</xdr:rowOff>
    </xdr:from>
    <xdr:to>
      <xdr:col>24</xdr:col>
      <xdr:colOff>352425</xdr:colOff>
      <xdr:row>32</xdr:row>
      <xdr:rowOff>142875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0.42472</cdr:x>
      <cdr:y>0.26601</cdr:y>
    </cdr:from>
    <cdr:to>
      <cdr:x>0.59595</cdr:x>
      <cdr:y>0.35179</cdr:y>
    </cdr:to>
    <cdr:sp macro="" textlink="#REF!">
      <cdr:nvSpPr>
        <cdr:cNvPr id="4098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808320" y="600498"/>
          <a:ext cx="72904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fld id="{6BA70A00-3628-4C7A-A18D-F34C9E7A3FD6}" type="TxLink">
            <a:rPr lang="en-US" sz="1000" b="0" i="0" strike="noStrike">
              <a:solidFill>
                <a:srgbClr val="000000"/>
              </a:solidFill>
              <a:latin typeface="Times New Roman"/>
              <a:cs typeface="Times New Roman"/>
            </a:rPr>
            <a:pPr algn="ctr" rtl="0">
              <a:defRPr sz="1000"/>
            </a:pPr>
            <a:t>Endcount = 0</a:t>
          </a:fld>
          <a:endParaRPr lang="en-US" sz="1000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  <cdr:relSizeAnchor xmlns:cdr="http://schemas.openxmlformats.org/drawingml/2006/chartDrawing">
    <cdr:from>
      <cdr:x>0.43398</cdr:x>
      <cdr:y>0.41211</cdr:y>
    </cdr:from>
    <cdr:to>
      <cdr:x>0.62522</cdr:x>
      <cdr:y>0.52132</cdr:y>
    </cdr:to>
    <cdr:sp macro="" textlink="">
      <cdr:nvSpPr>
        <cdr:cNvPr id="4101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23563" y="937397"/>
          <a:ext cx="714066" cy="2475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  <cdr:relSizeAnchor xmlns:cdr="http://schemas.openxmlformats.org/drawingml/2006/chartDrawing">
    <cdr:from>
      <cdr:x>0.41376</cdr:x>
      <cdr:y>0.36588</cdr:y>
    </cdr:from>
    <cdr:to>
      <cdr:x>0.62547</cdr:x>
      <cdr:y>0.52563</cdr:y>
    </cdr:to>
    <cdr:sp macro="" textlink="#REF!">
      <cdr:nvSpPr>
        <cdr:cNvPr id="4102" name="Text Box 6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548063" y="832612"/>
          <a:ext cx="790475" cy="362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0B3DDB7C-BD40-4320-ADA1-AD2F1610D754}" type="TxLink">
            <a:rPr lang="en-US" sz="1000" b="1" i="0" strike="noStrike">
              <a:solidFill>
                <a:srgbClr val="000000"/>
              </a:solidFill>
              <a:latin typeface="Times New Roman"/>
              <a:cs typeface="Times New Roman"/>
            </a:rPr>
            <a:pPr algn="ctr" rtl="0">
              <a:defRPr sz="1000"/>
            </a:pPr>
            <a:t>Endcount is not sufficient</a:t>
          </a:fld>
          <a:endParaRPr lang="en-US" sz="1000" b="1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361950</xdr:colOff>
      <xdr:row>7</xdr:row>
      <xdr:rowOff>57150</xdr:rowOff>
    </xdr:from>
    <xdr:to>
      <xdr:col>31</xdr:col>
      <xdr:colOff>361950</xdr:colOff>
      <xdr:row>20</xdr:row>
      <xdr:rowOff>57150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361950</xdr:colOff>
      <xdr:row>21</xdr:row>
      <xdr:rowOff>38100</xdr:rowOff>
    </xdr:from>
    <xdr:to>
      <xdr:col>31</xdr:col>
      <xdr:colOff>352425</xdr:colOff>
      <xdr:row>35</xdr:row>
      <xdr:rowOff>161925</xdr:rowOff>
    </xdr:to>
    <xdr:graphicFrame macro="">
      <xdr:nvGraphicFramePr>
        <xdr:cNvPr id="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0.33458</cdr:x>
      <cdr:y>0.25836</cdr:y>
    </cdr:from>
    <cdr:to>
      <cdr:x>0.35504</cdr:x>
      <cdr:y>0.34075</cdr:y>
    </cdr:to>
    <cdr:sp macro="" textlink="#REF!">
      <cdr:nvSpPr>
        <cdr:cNvPr id="6150" name="Text Box 6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52431" y="630706"/>
          <a:ext cx="76410" cy="2001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B2DA4296-FF4C-458A-8CF1-2D917DD2AAA2}" type="TxLink">
            <a:rPr lang="en-US"/>
            <a:pPr/>
            <a:t> </a:t>
          </a:fld>
          <a:endParaRPr lang="en-US"/>
        </a:p>
      </cdr:txBody>
    </cdr:sp>
  </cdr:relSizeAnchor>
  <cdr:relSizeAnchor xmlns:cdr="http://schemas.openxmlformats.org/drawingml/2006/chartDrawing">
    <cdr:from>
      <cdr:x>0.35772</cdr:x>
      <cdr:y>0.33811</cdr:y>
    </cdr:from>
    <cdr:to>
      <cdr:x>0.61548</cdr:x>
      <cdr:y>0.49496</cdr:y>
    </cdr:to>
    <cdr:sp macro="" textlink="#REF!">
      <cdr:nvSpPr>
        <cdr:cNvPr id="6152" name="Text Box 8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338847" y="824397"/>
          <a:ext cx="962396" cy="3809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67B4CEE9-4AF9-464F-9D11-4E78F92F4CB0}" type="TxLink">
            <a:rPr lang="en-US" sz="800" b="0" i="0" strike="noStrike">
              <a:solidFill>
                <a:srgbClr val="000000"/>
              </a:solidFill>
              <a:latin typeface="Times New Roman"/>
              <a:cs typeface="Times New Roman"/>
            </a:rPr>
            <a:pPr algn="l" rtl="0">
              <a:defRPr sz="1000"/>
            </a:pPr>
            <a:t>Endcount is sufficient (&gt;/= 5)</a:t>
          </a:fld>
          <a:endParaRPr lang="en-US" sz="800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  <cdr:relSizeAnchor xmlns:cdr="http://schemas.openxmlformats.org/drawingml/2006/chartDrawing">
    <cdr:from>
      <cdr:x>0.35992</cdr:x>
      <cdr:y>0.27878</cdr:y>
    </cdr:from>
    <cdr:to>
      <cdr:x>0.51002</cdr:x>
      <cdr:y>0.34663</cdr:y>
    </cdr:to>
    <cdr:sp macro="" textlink="#REF!">
      <cdr:nvSpPr>
        <cdr:cNvPr id="6153" name="Text Box 9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532422" y="674466"/>
          <a:ext cx="639085" cy="1641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fld id="{A46777AD-D8A1-4313-BA2C-907BB4B4C871}" type="TxLink">
            <a:rPr lang="en-US" sz="800" b="0" i="0" strike="noStrike">
              <a:solidFill>
                <a:srgbClr val="000000"/>
              </a:solidFill>
              <a:latin typeface="Times New Roman"/>
              <a:cs typeface="Times New Roman"/>
            </a:rPr>
            <a:pPr algn="ctr" rtl="0">
              <a:defRPr sz="1000"/>
            </a:pPr>
            <a:t>End Count = 9</a:t>
          </a:fld>
          <a:endParaRPr lang="en-US" sz="800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361950</xdr:colOff>
      <xdr:row>6</xdr:row>
      <xdr:rowOff>57150</xdr:rowOff>
    </xdr:from>
    <xdr:to>
      <xdr:col>31</xdr:col>
      <xdr:colOff>361950</xdr:colOff>
      <xdr:row>19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361950</xdr:colOff>
      <xdr:row>20</xdr:row>
      <xdr:rowOff>38100</xdr:rowOff>
    </xdr:from>
    <xdr:to>
      <xdr:col>31</xdr:col>
      <xdr:colOff>352425</xdr:colOff>
      <xdr:row>34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0.35456</cdr:x>
      <cdr:y>0.37852</cdr:y>
    </cdr:from>
    <cdr:to>
      <cdr:x>0.61231</cdr:x>
      <cdr:y>0.53721</cdr:y>
    </cdr:to>
    <cdr:sp macro="" textlink="#REF!">
      <cdr:nvSpPr>
        <cdr:cNvPr id="266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327021" y="911736"/>
          <a:ext cx="962397" cy="3809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fld id="{F2BFB51A-6D7B-4F69-8CA4-07EE2AE0A60F}" type="TxLink">
            <a:rPr lang="en-US"/>
            <a:pPr/>
            <a:t> </a:t>
          </a:fld>
          <a:endParaRPr lang="en-US"/>
        </a:p>
      </cdr:txBody>
    </cdr:sp>
  </cdr:relSizeAnchor>
  <cdr:relSizeAnchor xmlns:cdr="http://schemas.openxmlformats.org/drawingml/2006/chartDrawing">
    <cdr:from>
      <cdr:x>0.38525</cdr:x>
      <cdr:y>0.28561</cdr:y>
    </cdr:from>
    <cdr:to>
      <cdr:x>0.53832</cdr:x>
      <cdr:y>0.36661</cdr:y>
    </cdr:to>
    <cdr:sp macro="" textlink="#REF!">
      <cdr:nvSpPr>
        <cdr:cNvPr id="26627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640269" y="682829"/>
          <a:ext cx="651717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fld id="{2C7F3BE0-4D28-46A2-A930-0EB40D1AA120}" type="TxLink">
            <a:rPr lang="en-US" sz="1000" b="1" i="0" strike="noStrike">
              <a:solidFill>
                <a:srgbClr val="000000"/>
              </a:solidFill>
              <a:latin typeface="Times New Roman"/>
              <a:cs typeface="Times New Roman"/>
            </a:rPr>
            <a:pPr algn="ctr" rtl="0">
              <a:defRPr sz="1000"/>
            </a:pPr>
            <a:t>Endount = </a:t>
          </a:fld>
          <a:endParaRPr lang="en-US" sz="1000" b="1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4</xdr:row>
      <xdr:rowOff>19050</xdr:rowOff>
    </xdr:from>
    <xdr:to>
      <xdr:col>3</xdr:col>
      <xdr:colOff>419100</xdr:colOff>
      <xdr:row>5</xdr:row>
      <xdr:rowOff>0</xdr:rowOff>
    </xdr:to>
    <xdr:sp macro="" textlink="">
      <xdr:nvSpPr>
        <xdr:cNvPr id="67586" name="AutoShape 2"/>
        <xdr:cNvSpPr>
          <a:spLocks noChangeArrowheads="1"/>
        </xdr:cNvSpPr>
      </xdr:nvSpPr>
      <xdr:spPr bwMode="auto">
        <a:xfrm>
          <a:off x="4200525" y="1000125"/>
          <a:ext cx="228600" cy="142875"/>
        </a:xfrm>
        <a:prstGeom prst="downArrow">
          <a:avLst>
            <a:gd name="adj1" fmla="val 50000"/>
            <a:gd name="adj2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28575</xdr:rowOff>
    </xdr:from>
    <xdr:to>
      <xdr:col>17</xdr:col>
      <xdr:colOff>447675</xdr:colOff>
      <xdr:row>21</xdr:row>
      <xdr:rowOff>19050</xdr:rowOff>
    </xdr:to>
    <xdr:graphicFrame macro="">
      <xdr:nvGraphicFramePr>
        <xdr:cNvPr id="686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336550</xdr:colOff>
      <xdr:row>0</xdr:row>
      <xdr:rowOff>123825</xdr:rowOff>
    </xdr:from>
    <xdr:to>
      <xdr:col>21</xdr:col>
      <xdr:colOff>396875</xdr:colOff>
      <xdr:row>25</xdr:row>
      <xdr:rowOff>123825</xdr:rowOff>
    </xdr:to>
    <xdr:graphicFrame macro="">
      <xdr:nvGraphicFramePr>
        <xdr:cNvPr id="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3</xdr:row>
      <xdr:rowOff>123825</xdr:rowOff>
    </xdr:from>
    <xdr:to>
      <xdr:col>15</xdr:col>
      <xdr:colOff>561975</xdr:colOff>
      <xdr:row>29</xdr:row>
      <xdr:rowOff>85725</xdr:rowOff>
    </xdr:to>
    <xdr:graphicFrame macro="">
      <xdr:nvGraphicFramePr>
        <xdr:cNvPr id="706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247650</xdr:colOff>
      <xdr:row>5</xdr:row>
      <xdr:rowOff>28575</xdr:rowOff>
    </xdr:from>
    <xdr:to>
      <xdr:col>3</xdr:col>
      <xdr:colOff>333375</xdr:colOff>
      <xdr:row>5</xdr:row>
      <xdr:rowOff>133350</xdr:rowOff>
    </xdr:to>
    <xdr:grpSp>
      <xdr:nvGrpSpPr>
        <xdr:cNvPr id="70658" name="Group 2"/>
        <xdr:cNvGrpSpPr>
          <a:grpSpLocks/>
        </xdr:cNvGrpSpPr>
      </xdr:nvGrpSpPr>
      <xdr:grpSpPr bwMode="auto">
        <a:xfrm>
          <a:off x="2428875" y="838200"/>
          <a:ext cx="85725" cy="104775"/>
          <a:chOff x="392" y="48"/>
          <a:chExt cx="9" cy="11"/>
        </a:xfrm>
      </xdr:grpSpPr>
      <xdr:sp macro="" textlink="">
        <xdr:nvSpPr>
          <xdr:cNvPr id="70659" name="Oval 3"/>
          <xdr:cNvSpPr>
            <a:spLocks noChangeArrowheads="1"/>
          </xdr:cNvSpPr>
        </xdr:nvSpPr>
        <xdr:spPr bwMode="auto">
          <a:xfrm>
            <a:off x="393" y="49"/>
            <a:ext cx="8" cy="8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0660" name="Line 4"/>
          <xdr:cNvSpPr>
            <a:spLocks noChangeShapeType="1"/>
          </xdr:cNvSpPr>
        </xdr:nvSpPr>
        <xdr:spPr bwMode="auto">
          <a:xfrm flipH="1">
            <a:off x="392" y="48"/>
            <a:ext cx="9" cy="1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9</xdr:col>
      <xdr:colOff>161925</xdr:colOff>
      <xdr:row>39</xdr:row>
      <xdr:rowOff>47625</xdr:rowOff>
    </xdr:to>
    <xdr:graphicFrame macro="">
      <xdr:nvGraphicFramePr>
        <xdr:cNvPr id="860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114300</xdr:colOff>
      <xdr:row>4</xdr:row>
      <xdr:rowOff>114300</xdr:rowOff>
    </xdr:from>
    <xdr:to>
      <xdr:col>19</xdr:col>
      <xdr:colOff>438150</xdr:colOff>
      <xdr:row>19</xdr:row>
      <xdr:rowOff>19050</xdr:rowOff>
    </xdr:to>
    <xdr:graphicFrame macro="">
      <xdr:nvGraphicFramePr>
        <xdr:cNvPr id="727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180975</xdr:colOff>
      <xdr:row>31</xdr:row>
      <xdr:rowOff>76200</xdr:rowOff>
    </xdr:from>
    <xdr:to>
      <xdr:col>19</xdr:col>
      <xdr:colOff>447675</xdr:colOff>
      <xdr:row>46</xdr:row>
      <xdr:rowOff>0</xdr:rowOff>
    </xdr:to>
    <xdr:graphicFrame macro="">
      <xdr:nvGraphicFramePr>
        <xdr:cNvPr id="7270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104775</xdr:colOff>
      <xdr:row>3</xdr:row>
      <xdr:rowOff>47625</xdr:rowOff>
    </xdr:from>
    <xdr:to>
      <xdr:col>24</xdr:col>
      <xdr:colOff>447675</xdr:colOff>
      <xdr:row>15</xdr:row>
      <xdr:rowOff>152400</xdr:rowOff>
    </xdr:to>
    <xdr:graphicFrame macro="">
      <xdr:nvGraphicFramePr>
        <xdr:cNvPr id="7270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104775</xdr:colOff>
      <xdr:row>3</xdr:row>
      <xdr:rowOff>47625</xdr:rowOff>
    </xdr:from>
    <xdr:to>
      <xdr:col>29</xdr:col>
      <xdr:colOff>438150</xdr:colOff>
      <xdr:row>15</xdr:row>
      <xdr:rowOff>142875</xdr:rowOff>
    </xdr:to>
    <xdr:graphicFrame macro="">
      <xdr:nvGraphicFramePr>
        <xdr:cNvPr id="7271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523875</xdr:colOff>
      <xdr:row>17</xdr:row>
      <xdr:rowOff>38100</xdr:rowOff>
    </xdr:from>
    <xdr:to>
      <xdr:col>28</xdr:col>
      <xdr:colOff>0</xdr:colOff>
      <xdr:row>29</xdr:row>
      <xdr:rowOff>76200</xdr:rowOff>
    </xdr:to>
    <xdr:graphicFrame macro="">
      <xdr:nvGraphicFramePr>
        <xdr:cNvPr id="7271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0.47397</cdr:x>
      <cdr:y>0.1832</cdr:y>
    </cdr:from>
    <cdr:to>
      <cdr:x>0.49337</cdr:x>
      <cdr:y>0.26312</cdr:y>
    </cdr:to>
    <cdr:sp macro="" textlink="">
      <cdr:nvSpPr>
        <cdr:cNvPr id="7372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49388" y="439420"/>
          <a:ext cx="104218" cy="190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95250</xdr:colOff>
      <xdr:row>1</xdr:row>
      <xdr:rowOff>0</xdr:rowOff>
    </xdr:from>
    <xdr:to>
      <xdr:col>33</xdr:col>
      <xdr:colOff>0</xdr:colOff>
      <xdr:row>13</xdr:row>
      <xdr:rowOff>142875</xdr:rowOff>
    </xdr:to>
    <xdr:graphicFrame macro="">
      <xdr:nvGraphicFramePr>
        <xdr:cNvPr id="7476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9</xdr:row>
      <xdr:rowOff>28575</xdr:rowOff>
    </xdr:from>
    <xdr:to>
      <xdr:col>17</xdr:col>
      <xdr:colOff>495300</xdr:colOff>
      <xdr:row>22</xdr:row>
      <xdr:rowOff>85725</xdr:rowOff>
    </xdr:to>
    <xdr:graphicFrame macro="">
      <xdr:nvGraphicFramePr>
        <xdr:cNvPr id="757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95250</xdr:colOff>
      <xdr:row>23</xdr:row>
      <xdr:rowOff>9525</xdr:rowOff>
    </xdr:from>
    <xdr:to>
      <xdr:col>17</xdr:col>
      <xdr:colOff>504825</xdr:colOff>
      <xdr:row>37</xdr:row>
      <xdr:rowOff>85725</xdr:rowOff>
    </xdr:to>
    <xdr:graphicFrame macro="">
      <xdr:nvGraphicFramePr>
        <xdr:cNvPr id="7577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9</xdr:row>
      <xdr:rowOff>114300</xdr:rowOff>
    </xdr:from>
    <xdr:to>
      <xdr:col>16</xdr:col>
      <xdr:colOff>476250</xdr:colOff>
      <xdr:row>23</xdr:row>
      <xdr:rowOff>9525</xdr:rowOff>
    </xdr:to>
    <xdr:graphicFrame macro="">
      <xdr:nvGraphicFramePr>
        <xdr:cNvPr id="768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85725</xdr:colOff>
      <xdr:row>23</xdr:row>
      <xdr:rowOff>47625</xdr:rowOff>
    </xdr:from>
    <xdr:to>
      <xdr:col>16</xdr:col>
      <xdr:colOff>495300</xdr:colOff>
      <xdr:row>37</xdr:row>
      <xdr:rowOff>123825</xdr:rowOff>
    </xdr:to>
    <xdr:graphicFrame macro="">
      <xdr:nvGraphicFramePr>
        <xdr:cNvPr id="7680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228600</xdr:colOff>
      <xdr:row>7</xdr:row>
      <xdr:rowOff>133350</xdr:rowOff>
    </xdr:from>
    <xdr:to>
      <xdr:col>4</xdr:col>
      <xdr:colOff>409575</xdr:colOff>
      <xdr:row>9</xdr:row>
      <xdr:rowOff>47625</xdr:rowOff>
    </xdr:to>
    <xdr:grpSp>
      <xdr:nvGrpSpPr>
        <xdr:cNvPr id="76803" name="Group 3"/>
        <xdr:cNvGrpSpPr>
          <a:grpSpLocks/>
        </xdr:cNvGrpSpPr>
      </xdr:nvGrpSpPr>
      <xdr:grpSpPr bwMode="auto">
        <a:xfrm>
          <a:off x="2981325" y="1266825"/>
          <a:ext cx="180975" cy="409575"/>
          <a:chOff x="282" y="138"/>
          <a:chExt cx="19" cy="43"/>
        </a:xfrm>
      </xdr:grpSpPr>
      <xdr:sp macro="" textlink="">
        <xdr:nvSpPr>
          <xdr:cNvPr id="76804" name="Text Box 4"/>
          <xdr:cNvSpPr txBox="1">
            <a:spLocks noChangeArrowheads="1"/>
          </xdr:cNvSpPr>
        </xdr:nvSpPr>
        <xdr:spPr bwMode="auto">
          <a:xfrm>
            <a:off x="282" y="138"/>
            <a:ext cx="19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27432" bIns="0" anchor="t" upright="1">
            <a:spAutoFit/>
          </a:bodyPr>
          <a:lstStyle/>
          <a:p>
            <a:pPr algn="ctr" rtl="0">
              <a:defRPr sz="1000"/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_</a:t>
            </a:r>
          </a:p>
        </xdr:txBody>
      </xdr:sp>
      <xdr:sp macro="" textlink="">
        <xdr:nvSpPr>
          <xdr:cNvPr id="76805" name="Text Box 5"/>
          <xdr:cNvSpPr txBox="1">
            <a:spLocks noChangeArrowheads="1"/>
          </xdr:cNvSpPr>
        </xdr:nvSpPr>
        <xdr:spPr bwMode="auto">
          <a:xfrm>
            <a:off x="282" y="157"/>
            <a:ext cx="18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1100" b="1" i="0" strike="noStrike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</xdr:grpSp>
    <xdr:clientData/>
  </xdr:twoCellAnchor>
  <xdr:twoCellAnchor>
    <xdr:from>
      <xdr:col>6</xdr:col>
      <xdr:colOff>180975</xdr:colOff>
      <xdr:row>7</xdr:row>
      <xdr:rowOff>123825</xdr:rowOff>
    </xdr:from>
    <xdr:to>
      <xdr:col>6</xdr:col>
      <xdr:colOff>485775</xdr:colOff>
      <xdr:row>9</xdr:row>
      <xdr:rowOff>47625</xdr:rowOff>
    </xdr:to>
    <xdr:grpSp>
      <xdr:nvGrpSpPr>
        <xdr:cNvPr id="76806" name="Group 6"/>
        <xdr:cNvGrpSpPr>
          <a:grpSpLocks/>
        </xdr:cNvGrpSpPr>
      </xdr:nvGrpSpPr>
      <xdr:grpSpPr bwMode="auto">
        <a:xfrm>
          <a:off x="4152900" y="1257300"/>
          <a:ext cx="304800" cy="419100"/>
          <a:chOff x="412" y="135"/>
          <a:chExt cx="32" cy="44"/>
        </a:xfrm>
      </xdr:grpSpPr>
      <xdr:sp macro="" textlink="">
        <xdr:nvSpPr>
          <xdr:cNvPr id="76807" name="Text Box 7"/>
          <xdr:cNvSpPr txBox="1">
            <a:spLocks noChangeArrowheads="1"/>
          </xdr:cNvSpPr>
        </xdr:nvSpPr>
        <xdr:spPr bwMode="auto">
          <a:xfrm>
            <a:off x="413" y="135"/>
            <a:ext cx="28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27432" bIns="0" anchor="t" upright="1">
            <a:spAutoFit/>
          </a:bodyPr>
          <a:lstStyle/>
          <a:p>
            <a:pPr algn="ctr" rtl="0">
              <a:defRPr sz="1000"/>
            </a:pPr>
            <a:r>
              <a:rPr lang="en-US" sz="1200" b="1" i="0" strike="noStrike">
                <a:solidFill>
                  <a:srgbClr val="000000"/>
                </a:solidFill>
                <a:latin typeface="Arial"/>
                <a:cs typeface="Arial"/>
              </a:rPr>
              <a:t>__</a:t>
            </a:r>
          </a:p>
        </xdr:txBody>
      </xdr:sp>
      <xdr:sp macro="" textlink="">
        <xdr:nvSpPr>
          <xdr:cNvPr id="76808" name="Text Box 8"/>
          <xdr:cNvSpPr txBox="1">
            <a:spLocks noChangeArrowheads="1"/>
          </xdr:cNvSpPr>
        </xdr:nvSpPr>
        <xdr:spPr bwMode="auto">
          <a:xfrm>
            <a:off x="412" y="155"/>
            <a:ext cx="32" cy="2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1100" b="1" i="0" strike="noStrike">
                <a:solidFill>
                  <a:srgbClr val="000000"/>
                </a:solidFill>
                <a:latin typeface="Arial"/>
                <a:cs typeface="Arial"/>
              </a:rPr>
              <a:t>MR</a:t>
            </a:r>
          </a:p>
        </xdr:txBody>
      </xdr:sp>
    </xdr:grp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457200</xdr:colOff>
      <xdr:row>11</xdr:row>
      <xdr:rowOff>28575</xdr:rowOff>
    </xdr:from>
    <xdr:to>
      <xdr:col>19</xdr:col>
      <xdr:colOff>247650</xdr:colOff>
      <xdr:row>25</xdr:row>
      <xdr:rowOff>95250</xdr:rowOff>
    </xdr:to>
    <xdr:graphicFrame macro="">
      <xdr:nvGraphicFramePr>
        <xdr:cNvPr id="778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428625</xdr:colOff>
      <xdr:row>25</xdr:row>
      <xdr:rowOff>123825</xdr:rowOff>
    </xdr:from>
    <xdr:to>
      <xdr:col>19</xdr:col>
      <xdr:colOff>228600</xdr:colOff>
      <xdr:row>40</xdr:row>
      <xdr:rowOff>38100</xdr:rowOff>
    </xdr:to>
    <xdr:graphicFrame macro="">
      <xdr:nvGraphicFramePr>
        <xdr:cNvPr id="778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66675</xdr:colOff>
      <xdr:row>10</xdr:row>
      <xdr:rowOff>180975</xdr:rowOff>
    </xdr:from>
    <xdr:to>
      <xdr:col>19</xdr:col>
      <xdr:colOff>466725</xdr:colOff>
      <xdr:row>25</xdr:row>
      <xdr:rowOff>57150</xdr:rowOff>
    </xdr:to>
    <xdr:graphicFrame macro="">
      <xdr:nvGraphicFramePr>
        <xdr:cNvPr id="788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85725</xdr:colOff>
      <xdr:row>25</xdr:row>
      <xdr:rowOff>123825</xdr:rowOff>
    </xdr:from>
    <xdr:to>
      <xdr:col>19</xdr:col>
      <xdr:colOff>495300</xdr:colOff>
      <xdr:row>40</xdr:row>
      <xdr:rowOff>38100</xdr:rowOff>
    </xdr:to>
    <xdr:graphicFrame macro="">
      <xdr:nvGraphicFramePr>
        <xdr:cNvPr id="788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10</xdr:row>
      <xdr:rowOff>9525</xdr:rowOff>
    </xdr:from>
    <xdr:to>
      <xdr:col>25</xdr:col>
      <xdr:colOff>514350</xdr:colOff>
      <xdr:row>24</xdr:row>
      <xdr:rowOff>76200</xdr:rowOff>
    </xdr:to>
    <xdr:graphicFrame macro="">
      <xdr:nvGraphicFramePr>
        <xdr:cNvPr id="798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114300</xdr:colOff>
      <xdr:row>25</xdr:row>
      <xdr:rowOff>0</xdr:rowOff>
    </xdr:from>
    <xdr:to>
      <xdr:col>25</xdr:col>
      <xdr:colOff>523875</xdr:colOff>
      <xdr:row>39</xdr:row>
      <xdr:rowOff>76200</xdr:rowOff>
    </xdr:to>
    <xdr:graphicFrame macro="">
      <xdr:nvGraphicFramePr>
        <xdr:cNvPr id="798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2</xdr:row>
      <xdr:rowOff>76200</xdr:rowOff>
    </xdr:from>
    <xdr:to>
      <xdr:col>6</xdr:col>
      <xdr:colOff>276225</xdr:colOff>
      <xdr:row>14</xdr:row>
      <xdr:rowOff>85725</xdr:rowOff>
    </xdr:to>
    <xdr:graphicFrame macro="">
      <xdr:nvGraphicFramePr>
        <xdr:cNvPr id="84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238125</xdr:colOff>
      <xdr:row>18</xdr:row>
      <xdr:rowOff>19050</xdr:rowOff>
    </xdr:from>
    <xdr:to>
      <xdr:col>6</xdr:col>
      <xdr:colOff>247650</xdr:colOff>
      <xdr:row>28</xdr:row>
      <xdr:rowOff>28575</xdr:rowOff>
    </xdr:to>
    <xdr:graphicFrame macro="">
      <xdr:nvGraphicFramePr>
        <xdr:cNvPr id="849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0</xdr:row>
      <xdr:rowOff>133350</xdr:rowOff>
    </xdr:from>
    <xdr:to>
      <xdr:col>15</xdr:col>
      <xdr:colOff>495300</xdr:colOff>
      <xdr:row>22</xdr:row>
      <xdr:rowOff>114300</xdr:rowOff>
    </xdr:to>
    <xdr:graphicFrame macro="">
      <xdr:nvGraphicFramePr>
        <xdr:cNvPr id="839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29" Type="http://schemas.openxmlformats.org/officeDocument/2006/relationships/control" Target="../activeX/activeX27.xml"/><Relationship Id="rId41" Type="http://schemas.openxmlformats.org/officeDocument/2006/relationships/control" Target="../activeX/activeX3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61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64.xml"/><Relationship Id="rId7" Type="http://schemas.openxmlformats.org/officeDocument/2006/relationships/control" Target="../activeX/activeX50.xml"/><Relationship Id="rId12" Type="http://schemas.openxmlformats.org/officeDocument/2006/relationships/control" Target="../activeX/activeX55.xml"/><Relationship Id="rId17" Type="http://schemas.openxmlformats.org/officeDocument/2006/relationships/control" Target="../activeX/activeX60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9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7.xml"/><Relationship Id="rId5" Type="http://schemas.openxmlformats.org/officeDocument/2006/relationships/control" Target="../activeX/activeX48.xml"/><Relationship Id="rId15" Type="http://schemas.openxmlformats.org/officeDocument/2006/relationships/control" Target="../activeX/activeX58.xml"/><Relationship Id="rId23" Type="http://schemas.openxmlformats.org/officeDocument/2006/relationships/control" Target="../activeX/activeX66.xml"/><Relationship Id="rId10" Type="http://schemas.openxmlformats.org/officeDocument/2006/relationships/control" Target="../activeX/activeX53.xml"/><Relationship Id="rId19" Type="http://schemas.openxmlformats.org/officeDocument/2006/relationships/control" Target="../activeX/activeX62.xml"/><Relationship Id="rId4" Type="http://schemas.openxmlformats.org/officeDocument/2006/relationships/control" Target="../activeX/activeX47.xml"/><Relationship Id="rId9" Type="http://schemas.openxmlformats.org/officeDocument/2006/relationships/control" Target="../activeX/activeX52.xml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control" Target="../activeX/activeX79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control" Target="../activeX/activeX7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8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3.bin"/><Relationship Id="rId5" Type="http://schemas.openxmlformats.org/officeDocument/2006/relationships/oleObject" Target="../embeddings/oleObject2.bin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ntrol" Target="../activeX/activeX8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ntrol" Target="../activeX/activeX8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ntrol" Target="../activeX/activeX8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ntrol" Target="../activeX/activeX8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ntrol" Target="../activeX/activeX8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ntrol" Target="../activeX/activeX8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7" Type="http://schemas.openxmlformats.org/officeDocument/2006/relationships/control" Target="../activeX/activeX8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tl.nist.gov/div898/handbook/prc/section2/prc241.htm" TargetMode="External"/><Relationship Id="rId6" Type="http://schemas.openxmlformats.org/officeDocument/2006/relationships/oleObject" Target="../embeddings/oleObject7.bin"/><Relationship Id="rId5" Type="http://schemas.openxmlformats.org/officeDocument/2006/relationships/oleObject" Target="../embeddings/oleObject6.bin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90.xml"/><Relationship Id="rId5" Type="http://schemas.openxmlformats.org/officeDocument/2006/relationships/oleObject" Target="../embeddings/oleObject9.bin"/><Relationship Id="rId4" Type="http://schemas.openxmlformats.org/officeDocument/2006/relationships/oleObject" Target="../embeddings/oleObject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control" Target="../activeX/activeX9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control" Target="../activeX/activeX9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5" Type="http://schemas.openxmlformats.org/officeDocument/2006/relationships/control" Target="../activeX/activeX93.xml"/><Relationship Id="rId4" Type="http://schemas.openxmlformats.org/officeDocument/2006/relationships/oleObject" Target="../embeddings/oleObject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4.xml"/><Relationship Id="rId5" Type="http://schemas.openxmlformats.org/officeDocument/2006/relationships/oleObject" Target="../embeddings/oleObject12.bin"/><Relationship Id="rId4" Type="http://schemas.openxmlformats.org/officeDocument/2006/relationships/oleObject" Target="../embeddings/oleObject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5" Type="http://schemas.openxmlformats.org/officeDocument/2006/relationships/control" Target="../activeX/activeX95.xml"/><Relationship Id="rId4" Type="http://schemas.openxmlformats.org/officeDocument/2006/relationships/oleObject" Target="../embeddings/oleObject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control" Target="../activeX/activeX9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ontrol" Target="../activeX/activeX9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6" Type="http://schemas.openxmlformats.org/officeDocument/2006/relationships/oleObject" Target="../embeddings/oleObject16.bin"/><Relationship Id="rId5" Type="http://schemas.openxmlformats.org/officeDocument/2006/relationships/oleObject" Target="../embeddings/oleObject15.bin"/><Relationship Id="rId4" Type="http://schemas.openxmlformats.org/officeDocument/2006/relationships/oleObject" Target="../embeddings/oleObject1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control" Target="../activeX/activeX9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ontrol" Target="../activeX/activeX9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6" Type="http://schemas.openxmlformats.org/officeDocument/2006/relationships/oleObject" Target="../embeddings/oleObject19.bin"/><Relationship Id="rId5" Type="http://schemas.openxmlformats.org/officeDocument/2006/relationships/oleObject" Target="../embeddings/oleObject18.bin"/><Relationship Id="rId4" Type="http://schemas.openxmlformats.org/officeDocument/2006/relationships/oleObject" Target="../embeddings/oleObject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0.xml"/><Relationship Id="rId3" Type="http://schemas.openxmlformats.org/officeDocument/2006/relationships/oleObject" Target="../embeddings/oleObject20.bin"/><Relationship Id="rId7" Type="http://schemas.openxmlformats.org/officeDocument/2006/relationships/oleObject" Target="../embeddings/oleObject24.bin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4.bin"/><Relationship Id="rId6" Type="http://schemas.openxmlformats.org/officeDocument/2006/relationships/oleObject" Target="../embeddings/oleObject23.bin"/><Relationship Id="rId5" Type="http://schemas.openxmlformats.org/officeDocument/2006/relationships/oleObject" Target="../embeddings/oleObject22.bin"/><Relationship Id="rId4" Type="http://schemas.openxmlformats.org/officeDocument/2006/relationships/oleObject" Target="../embeddings/oleObject21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29.bin"/><Relationship Id="rId3" Type="http://schemas.openxmlformats.org/officeDocument/2006/relationships/vmlDrawing" Target="../drawings/vmlDrawing25.vml"/><Relationship Id="rId7" Type="http://schemas.openxmlformats.org/officeDocument/2006/relationships/oleObject" Target="../embeddings/oleObject28.bin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Relationship Id="rId6" Type="http://schemas.openxmlformats.org/officeDocument/2006/relationships/oleObject" Target="../embeddings/oleObject27.bin"/><Relationship Id="rId11" Type="http://schemas.openxmlformats.org/officeDocument/2006/relationships/control" Target="../activeX/activeX101.xml"/><Relationship Id="rId5" Type="http://schemas.openxmlformats.org/officeDocument/2006/relationships/oleObject" Target="../embeddings/oleObject26.bin"/><Relationship Id="rId10" Type="http://schemas.openxmlformats.org/officeDocument/2006/relationships/oleObject" Target="../embeddings/oleObject31.bin"/><Relationship Id="rId4" Type="http://schemas.openxmlformats.org/officeDocument/2006/relationships/oleObject" Target="../embeddings/oleObject25.bin"/><Relationship Id="rId9" Type="http://schemas.openxmlformats.org/officeDocument/2006/relationships/oleObject" Target="../embeddings/oleObject30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6.bin"/><Relationship Id="rId13" Type="http://schemas.openxmlformats.org/officeDocument/2006/relationships/oleObject" Target="../embeddings/oleObject41.bin"/><Relationship Id="rId18" Type="http://schemas.openxmlformats.org/officeDocument/2006/relationships/oleObject" Target="../embeddings/oleObject46.bin"/><Relationship Id="rId3" Type="http://schemas.openxmlformats.org/officeDocument/2006/relationships/vmlDrawing" Target="../drawings/vmlDrawing26.vml"/><Relationship Id="rId7" Type="http://schemas.openxmlformats.org/officeDocument/2006/relationships/oleObject" Target="../embeddings/oleObject35.bin"/><Relationship Id="rId12" Type="http://schemas.openxmlformats.org/officeDocument/2006/relationships/oleObject" Target="../embeddings/oleObject40.bin"/><Relationship Id="rId17" Type="http://schemas.openxmlformats.org/officeDocument/2006/relationships/oleObject" Target="../embeddings/oleObject45.bin"/><Relationship Id="rId2" Type="http://schemas.openxmlformats.org/officeDocument/2006/relationships/drawing" Target="../drawings/drawing27.xml"/><Relationship Id="rId16" Type="http://schemas.openxmlformats.org/officeDocument/2006/relationships/oleObject" Target="../embeddings/oleObject44.bin"/><Relationship Id="rId1" Type="http://schemas.openxmlformats.org/officeDocument/2006/relationships/printerSettings" Target="../printerSettings/printerSettings26.bin"/><Relationship Id="rId6" Type="http://schemas.openxmlformats.org/officeDocument/2006/relationships/oleObject" Target="../embeddings/oleObject34.bin"/><Relationship Id="rId11" Type="http://schemas.openxmlformats.org/officeDocument/2006/relationships/oleObject" Target="../embeddings/oleObject39.bin"/><Relationship Id="rId5" Type="http://schemas.openxmlformats.org/officeDocument/2006/relationships/oleObject" Target="../embeddings/oleObject33.bin"/><Relationship Id="rId15" Type="http://schemas.openxmlformats.org/officeDocument/2006/relationships/oleObject" Target="../embeddings/oleObject43.bin"/><Relationship Id="rId10" Type="http://schemas.openxmlformats.org/officeDocument/2006/relationships/oleObject" Target="../embeddings/oleObject38.bin"/><Relationship Id="rId19" Type="http://schemas.openxmlformats.org/officeDocument/2006/relationships/control" Target="../activeX/activeX102.xml"/><Relationship Id="rId4" Type="http://schemas.openxmlformats.org/officeDocument/2006/relationships/oleObject" Target="../embeddings/oleObject32.bin"/><Relationship Id="rId9" Type="http://schemas.openxmlformats.org/officeDocument/2006/relationships/oleObject" Target="../embeddings/oleObject37.bin"/><Relationship Id="rId14" Type="http://schemas.openxmlformats.org/officeDocument/2006/relationships/oleObject" Target="../embeddings/oleObject4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3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ontrol" Target="../activeX/activeX10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ontrol" Target="../activeX/activeX10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6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ontrol" Target="../activeX/activeX1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08.xml"/><Relationship Id="rId5" Type="http://schemas.openxmlformats.org/officeDocument/2006/relationships/oleObject" Target="../embeddings/oleObject48.bin"/><Relationship Id="rId4" Type="http://schemas.openxmlformats.org/officeDocument/2006/relationships/oleObject" Target="../embeddings/oleObject47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5" Type="http://schemas.openxmlformats.org/officeDocument/2006/relationships/control" Target="../activeX/activeX109.xml"/><Relationship Id="rId4" Type="http://schemas.openxmlformats.org/officeDocument/2006/relationships/oleObject" Target="../embeddings/oleObject49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5" Type="http://schemas.openxmlformats.org/officeDocument/2006/relationships/control" Target="../activeX/activeX110.xml"/><Relationship Id="rId4" Type="http://schemas.openxmlformats.org/officeDocument/2006/relationships/oleObject" Target="../embeddings/oleObject50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5" Type="http://schemas.openxmlformats.org/officeDocument/2006/relationships/control" Target="../activeX/activeX112.xml"/><Relationship Id="rId4" Type="http://schemas.openxmlformats.org/officeDocument/2006/relationships/control" Target="../activeX/activeX1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7" Type="http://schemas.openxmlformats.org/officeDocument/2006/relationships/control" Target="../activeX/activeX11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Relationship Id="rId6" Type="http://schemas.openxmlformats.org/officeDocument/2006/relationships/oleObject" Target="../embeddings/oleObject53.bin"/><Relationship Id="rId5" Type="http://schemas.openxmlformats.org/officeDocument/2006/relationships/oleObject" Target="../embeddings/oleObject52.bin"/><Relationship Id="rId4" Type="http://schemas.openxmlformats.org/officeDocument/2006/relationships/oleObject" Target="../embeddings/oleObject51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37.vml"/><Relationship Id="rId7" Type="http://schemas.openxmlformats.org/officeDocument/2006/relationships/control" Target="../activeX/activeX11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7.bin"/><Relationship Id="rId6" Type="http://schemas.openxmlformats.org/officeDocument/2006/relationships/oleObject" Target="../embeddings/oleObject56.bin"/><Relationship Id="rId5" Type="http://schemas.openxmlformats.org/officeDocument/2006/relationships/oleObject" Target="../embeddings/oleObject55.bin"/><Relationship Id="rId4" Type="http://schemas.openxmlformats.org/officeDocument/2006/relationships/oleObject" Target="../embeddings/oleObject5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Relationship Id="rId5" Type="http://schemas.openxmlformats.org/officeDocument/2006/relationships/control" Target="../activeX/activeX117.xml"/><Relationship Id="rId4" Type="http://schemas.openxmlformats.org/officeDocument/2006/relationships/control" Target="../activeX/activeX11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control" Target="../activeX/activeX11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0.bin"/><Relationship Id="rId4" Type="http://schemas.openxmlformats.org/officeDocument/2006/relationships/control" Target="../activeX/activeX11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1.bin"/><Relationship Id="rId4" Type="http://schemas.openxmlformats.org/officeDocument/2006/relationships/control" Target="../activeX/activeX12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5" Type="http://schemas.openxmlformats.org/officeDocument/2006/relationships/control" Target="../activeX/activeX122.xml"/><Relationship Id="rId4" Type="http://schemas.openxmlformats.org/officeDocument/2006/relationships/control" Target="../activeX/activeX121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7" Type="http://schemas.openxmlformats.org/officeDocument/2006/relationships/control" Target="../activeX/activeX124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23.xml"/><Relationship Id="rId5" Type="http://schemas.openxmlformats.org/officeDocument/2006/relationships/oleObject" Target="../embeddings/oleObject58.bin"/><Relationship Id="rId4" Type="http://schemas.openxmlformats.org/officeDocument/2006/relationships/oleObject" Target="../embeddings/oleObject57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7" Type="http://schemas.openxmlformats.org/officeDocument/2006/relationships/control" Target="../activeX/activeX126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25.xml"/><Relationship Id="rId5" Type="http://schemas.openxmlformats.org/officeDocument/2006/relationships/oleObject" Target="../embeddings/oleObject60.bin"/><Relationship Id="rId4" Type="http://schemas.openxmlformats.org/officeDocument/2006/relationships/oleObject" Target="../embeddings/oleObject59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5.bin"/><Relationship Id="rId4" Type="http://schemas.openxmlformats.org/officeDocument/2006/relationships/control" Target="../activeX/activeX127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8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7.bin"/><Relationship Id="rId4" Type="http://schemas.openxmlformats.org/officeDocument/2006/relationships/control" Target="../activeX/activeX129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8.bin"/><Relationship Id="rId5" Type="http://schemas.openxmlformats.org/officeDocument/2006/relationships/control" Target="../activeX/activeX130.xml"/><Relationship Id="rId4" Type="http://schemas.openxmlformats.org/officeDocument/2006/relationships/oleObject" Target="../embeddings/oleObject61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9.bin"/><Relationship Id="rId4" Type="http://schemas.openxmlformats.org/officeDocument/2006/relationships/control" Target="../activeX/activeX13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0.bin"/><Relationship Id="rId4" Type="http://schemas.openxmlformats.org/officeDocument/2006/relationships/control" Target="../activeX/activeX13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control" Target="../activeX/activeX13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control" Target="../activeX/activeX13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control" Target="../activeX/activeX13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control" Target="../activeX/activeX136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37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8.xml"/><Relationship Id="rId2" Type="http://schemas.openxmlformats.org/officeDocument/2006/relationships/vmlDrawing" Target="../drawings/vmlDrawing56.v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6.bin"/><Relationship Id="rId4" Type="http://schemas.openxmlformats.org/officeDocument/2006/relationships/control" Target="../activeX/activeX13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7.bin"/><Relationship Id="rId4" Type="http://schemas.openxmlformats.org/officeDocument/2006/relationships/control" Target="../activeX/activeX14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1.xml"/><Relationship Id="rId2" Type="http://schemas.openxmlformats.org/officeDocument/2006/relationships/vmlDrawing" Target="../drawings/vmlDrawing59.vml"/><Relationship Id="rId1" Type="http://schemas.openxmlformats.org/officeDocument/2006/relationships/printerSettings" Target="../printerSettings/printerSettings5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B2:O55"/>
  <sheetViews>
    <sheetView showGridLines="0" tabSelected="1" zoomScale="85" workbookViewId="0">
      <selection activeCell="E1" sqref="E1"/>
    </sheetView>
  </sheetViews>
  <sheetFormatPr defaultRowHeight="12.75"/>
  <cols>
    <col min="1" max="1" width="3.28515625" style="922" customWidth="1"/>
    <col min="2" max="2" width="9.140625" style="922"/>
    <col min="3" max="3" width="23.42578125" style="922" customWidth="1"/>
    <col min="4" max="4" width="15.28515625" style="922" bestFit="1" customWidth="1"/>
    <col min="5" max="5" width="20.5703125" style="922" customWidth="1"/>
    <col min="6" max="6" width="7.42578125" style="922" customWidth="1"/>
    <col min="7" max="7" width="9.140625" style="922"/>
    <col min="8" max="8" width="19.28515625" style="922" customWidth="1"/>
    <col min="9" max="9" width="9.140625" style="922"/>
    <col min="10" max="10" width="21.28515625" style="922" customWidth="1"/>
    <col min="11" max="11" width="9.140625" style="922"/>
    <col min="12" max="12" width="12.42578125" style="922" customWidth="1"/>
    <col min="13" max="13" width="14.5703125" style="922" customWidth="1"/>
    <col min="14" max="14" width="9.140625" style="922"/>
    <col min="15" max="15" width="18.85546875" style="922" customWidth="1"/>
    <col min="16" max="16384" width="9.140625" style="922"/>
  </cols>
  <sheetData>
    <row r="2" spans="2:15" ht="26.25">
      <c r="B2" s="1456" t="s">
        <v>424</v>
      </c>
      <c r="C2" s="1457"/>
      <c r="D2" s="1457"/>
      <c r="E2" s="1458"/>
      <c r="G2" s="1456" t="s">
        <v>425</v>
      </c>
      <c r="H2" s="1457"/>
      <c r="I2" s="1457"/>
      <c r="J2" s="1458"/>
      <c r="L2" s="1456" t="s">
        <v>1147</v>
      </c>
      <c r="M2" s="1457"/>
      <c r="N2" s="1457"/>
      <c r="O2" s="1458"/>
    </row>
    <row r="3" spans="2:15">
      <c r="B3" s="923"/>
      <c r="C3" s="924"/>
      <c r="D3" s="925"/>
      <c r="E3" s="926"/>
      <c r="G3" s="923"/>
      <c r="H3" s="926"/>
      <c r="I3" s="925"/>
      <c r="J3" s="927"/>
      <c r="L3" s="923"/>
      <c r="M3" s="927"/>
      <c r="O3" s="924"/>
    </row>
    <row r="4" spans="2:15">
      <c r="B4" s="1459" t="s">
        <v>422</v>
      </c>
      <c r="C4" s="1460"/>
      <c r="D4" s="1461" t="s">
        <v>423</v>
      </c>
      <c r="E4" s="1460"/>
      <c r="G4" s="1459" t="s">
        <v>422</v>
      </c>
      <c r="H4" s="1460"/>
      <c r="I4" s="1459" t="s">
        <v>423</v>
      </c>
      <c r="J4" s="1460"/>
      <c r="L4" s="1459" t="s">
        <v>422</v>
      </c>
      <c r="M4" s="1460"/>
      <c r="N4" s="1459" t="s">
        <v>423</v>
      </c>
      <c r="O4" s="1460"/>
    </row>
    <row r="5" spans="2:15">
      <c r="B5" s="923"/>
      <c r="C5" s="927"/>
      <c r="D5" s="925"/>
      <c r="E5" s="927"/>
      <c r="G5" s="923"/>
      <c r="H5" s="927"/>
      <c r="I5" s="925"/>
      <c r="J5" s="927"/>
      <c r="L5" s="923"/>
      <c r="M5" s="927"/>
      <c r="O5" s="927"/>
    </row>
    <row r="6" spans="2:15">
      <c r="B6" s="923"/>
      <c r="C6" s="927"/>
      <c r="D6" s="928"/>
      <c r="E6" s="929"/>
      <c r="F6" s="930"/>
      <c r="G6" s="923"/>
      <c r="H6" s="927"/>
      <c r="I6" s="925"/>
      <c r="J6" s="927"/>
      <c r="L6" s="923"/>
      <c r="M6" s="927"/>
      <c r="O6" s="927"/>
    </row>
    <row r="7" spans="2:15">
      <c r="B7" s="923"/>
      <c r="C7" s="927"/>
      <c r="D7" s="928"/>
      <c r="E7" s="929"/>
      <c r="F7" s="930"/>
      <c r="G7" s="923"/>
      <c r="H7" s="927"/>
      <c r="I7" s="925"/>
      <c r="J7" s="927"/>
      <c r="L7" s="923"/>
      <c r="M7" s="927"/>
      <c r="O7" s="927"/>
    </row>
    <row r="8" spans="2:15">
      <c r="B8" s="923"/>
      <c r="C8" s="927"/>
      <c r="D8" s="925"/>
      <c r="E8" s="927"/>
      <c r="G8" s="923"/>
      <c r="H8" s="927"/>
      <c r="I8" s="925"/>
      <c r="J8" s="927"/>
      <c r="L8" s="923"/>
      <c r="M8" s="927"/>
      <c r="O8" s="927"/>
    </row>
    <row r="9" spans="2:15">
      <c r="B9" s="923"/>
      <c r="C9" s="927"/>
      <c r="D9" s="925"/>
      <c r="E9" s="927"/>
      <c r="G9" s="923"/>
      <c r="H9" s="927"/>
      <c r="I9" s="925"/>
      <c r="J9" s="927"/>
      <c r="L9" s="923"/>
      <c r="M9" s="927"/>
      <c r="O9" s="927"/>
    </row>
    <row r="10" spans="2:15">
      <c r="B10" s="923"/>
      <c r="C10" s="927"/>
      <c r="D10" s="925"/>
      <c r="E10" s="927"/>
      <c r="G10" s="923"/>
      <c r="H10" s="927"/>
      <c r="I10" s="925"/>
      <c r="J10" s="927"/>
      <c r="L10" s="923"/>
      <c r="M10" s="927"/>
      <c r="O10" s="927"/>
    </row>
    <row r="11" spans="2:15">
      <c r="B11" s="923"/>
      <c r="C11" s="927"/>
      <c r="D11" s="925"/>
      <c r="E11" s="927"/>
      <c r="G11" s="923"/>
      <c r="H11" s="927"/>
      <c r="I11" s="925"/>
      <c r="J11" s="927"/>
      <c r="L11" s="923"/>
      <c r="M11" s="927"/>
      <c r="O11" s="927"/>
    </row>
    <row r="12" spans="2:15">
      <c r="B12" s="923"/>
      <c r="C12" s="927"/>
      <c r="D12" s="925"/>
      <c r="E12" s="927"/>
      <c r="G12" s="923"/>
      <c r="H12" s="927"/>
      <c r="I12" s="925"/>
      <c r="J12" s="927"/>
      <c r="L12" s="923"/>
      <c r="M12" s="927"/>
      <c r="O12" s="927"/>
    </row>
    <row r="13" spans="2:15">
      <c r="B13" s="923"/>
      <c r="C13" s="927"/>
      <c r="D13" s="925"/>
      <c r="E13" s="927"/>
      <c r="G13" s="923"/>
      <c r="H13" s="927"/>
      <c r="I13" s="925"/>
      <c r="J13" s="927"/>
      <c r="L13" s="923"/>
      <c r="M13" s="927"/>
      <c r="O13" s="927"/>
    </row>
    <row r="14" spans="2:15">
      <c r="B14" s="923"/>
      <c r="C14" s="927"/>
      <c r="D14" s="925"/>
      <c r="E14" s="927"/>
      <c r="G14" s="923"/>
      <c r="H14" s="927"/>
      <c r="I14" s="925"/>
      <c r="J14" s="927"/>
      <c r="L14" s="923"/>
      <c r="M14" s="927"/>
      <c r="O14" s="927"/>
    </row>
    <row r="15" spans="2:15">
      <c r="B15" s="923"/>
      <c r="C15" s="927"/>
      <c r="D15" s="925"/>
      <c r="E15" s="927"/>
      <c r="G15" s="923"/>
      <c r="H15" s="927"/>
      <c r="I15" s="925"/>
      <c r="J15" s="927"/>
      <c r="L15" s="923"/>
      <c r="M15" s="927"/>
      <c r="O15" s="927"/>
    </row>
    <row r="16" spans="2:15">
      <c r="B16" s="923"/>
      <c r="C16" s="927"/>
      <c r="D16" s="925"/>
      <c r="E16" s="927"/>
      <c r="G16" s="923"/>
      <c r="H16" s="927"/>
      <c r="I16" s="925"/>
      <c r="J16" s="927"/>
      <c r="L16" s="923"/>
      <c r="M16" s="927"/>
      <c r="O16" s="927"/>
    </row>
    <row r="17" spans="2:15">
      <c r="B17" s="923"/>
      <c r="C17" s="927"/>
      <c r="D17" s="925"/>
      <c r="E17" s="927"/>
      <c r="G17" s="923"/>
      <c r="H17" s="927"/>
      <c r="I17" s="925"/>
      <c r="J17" s="927"/>
      <c r="L17" s="923"/>
      <c r="M17" s="927"/>
      <c r="O17" s="927"/>
    </row>
    <row r="18" spans="2:15">
      <c r="B18" s="923"/>
      <c r="C18" s="927"/>
      <c r="D18" s="925"/>
      <c r="E18" s="927"/>
      <c r="G18" s="923"/>
      <c r="H18" s="927"/>
      <c r="I18" s="925"/>
      <c r="J18" s="927"/>
      <c r="L18" s="923"/>
      <c r="M18" s="927"/>
      <c r="O18" s="927"/>
    </row>
    <row r="19" spans="2:15">
      <c r="B19" s="923"/>
      <c r="C19" s="927"/>
      <c r="D19" s="925"/>
      <c r="E19" s="927"/>
      <c r="G19" s="923"/>
      <c r="H19" s="927"/>
      <c r="I19" s="925"/>
      <c r="J19" s="927"/>
      <c r="L19" s="923"/>
      <c r="M19" s="927"/>
      <c r="O19" s="927"/>
    </row>
    <row r="20" spans="2:15">
      <c r="B20" s="923"/>
      <c r="C20" s="927"/>
      <c r="D20" s="925"/>
      <c r="E20" s="927"/>
      <c r="G20" s="923"/>
      <c r="H20" s="927"/>
      <c r="I20" s="925"/>
      <c r="J20" s="927"/>
      <c r="L20" s="923"/>
      <c r="M20" s="927"/>
      <c r="O20" s="927"/>
    </row>
    <row r="21" spans="2:15">
      <c r="B21" s="923"/>
      <c r="C21" s="927"/>
      <c r="D21" s="925"/>
      <c r="E21" s="927"/>
      <c r="G21" s="923"/>
      <c r="H21" s="927"/>
      <c r="I21" s="925"/>
      <c r="J21" s="927"/>
      <c r="L21" s="923"/>
      <c r="M21" s="927"/>
      <c r="O21" s="927"/>
    </row>
    <row r="22" spans="2:15">
      <c r="B22" s="923"/>
      <c r="C22" s="927"/>
      <c r="D22" s="925"/>
      <c r="E22" s="927"/>
      <c r="G22" s="923"/>
      <c r="H22" s="927"/>
      <c r="I22" s="925"/>
      <c r="J22" s="927"/>
      <c r="L22" s="923"/>
      <c r="M22" s="927"/>
      <c r="O22" s="927"/>
    </row>
    <row r="23" spans="2:15">
      <c r="B23" s="923"/>
      <c r="C23" s="927"/>
      <c r="D23" s="925"/>
      <c r="E23" s="927"/>
      <c r="G23" s="923"/>
      <c r="H23" s="927"/>
      <c r="I23" s="925"/>
      <c r="J23" s="927"/>
      <c r="L23" s="923"/>
      <c r="M23" s="927"/>
      <c r="O23" s="927"/>
    </row>
    <row r="24" spans="2:15">
      <c r="B24" s="931"/>
      <c r="C24" s="920"/>
      <c r="D24" s="932"/>
      <c r="E24" s="920"/>
      <c r="G24" s="931"/>
      <c r="H24" s="920"/>
      <c r="I24" s="932"/>
      <c r="J24" s="920"/>
      <c r="L24" s="931"/>
      <c r="M24" s="920"/>
      <c r="N24" s="931"/>
      <c r="O24" s="920"/>
    </row>
    <row r="26" spans="2:15" ht="26.25">
      <c r="B26" s="1456" t="s">
        <v>1335</v>
      </c>
      <c r="C26" s="1457"/>
      <c r="D26" s="1457"/>
      <c r="E26" s="1458"/>
      <c r="G26" s="1456" t="s">
        <v>1001</v>
      </c>
      <c r="H26" s="1457"/>
      <c r="I26" s="1457"/>
      <c r="J26" s="1458"/>
      <c r="L26" s="1456" t="s">
        <v>1336</v>
      </c>
      <c r="M26" s="1457"/>
      <c r="N26" s="1457"/>
      <c r="O26" s="1458"/>
    </row>
    <row r="27" spans="2:15">
      <c r="B27" s="933"/>
      <c r="C27" s="924"/>
      <c r="D27" s="933"/>
      <c r="E27" s="924"/>
      <c r="G27" s="933"/>
      <c r="H27" s="924"/>
      <c r="I27" s="925"/>
      <c r="J27" s="927"/>
      <c r="L27" s="923"/>
      <c r="M27" s="927"/>
      <c r="O27" s="924"/>
    </row>
    <row r="28" spans="2:15">
      <c r="B28" s="1459" t="s">
        <v>422</v>
      </c>
      <c r="C28" s="1460"/>
      <c r="D28" s="1459"/>
      <c r="E28" s="1460"/>
      <c r="G28" s="1459" t="s">
        <v>422</v>
      </c>
      <c r="H28" s="1460"/>
      <c r="I28" s="1461" t="s">
        <v>423</v>
      </c>
      <c r="J28" s="1460"/>
      <c r="L28" s="1459" t="s">
        <v>422</v>
      </c>
      <c r="M28" s="1460"/>
      <c r="N28" s="1459" t="s">
        <v>423</v>
      </c>
      <c r="O28" s="1460"/>
    </row>
    <row r="29" spans="2:15">
      <c r="B29" s="923"/>
      <c r="C29" s="927"/>
      <c r="D29" s="923"/>
      <c r="E29" s="927"/>
      <c r="G29" s="923"/>
      <c r="H29" s="927"/>
      <c r="I29" s="925"/>
      <c r="J29" s="927"/>
      <c r="L29" s="923"/>
      <c r="M29" s="927"/>
      <c r="O29" s="927"/>
    </row>
    <row r="30" spans="2:15">
      <c r="B30" s="923"/>
      <c r="C30" s="927"/>
      <c r="D30" s="923"/>
      <c r="E30" s="927"/>
      <c r="G30" s="923"/>
      <c r="H30" s="927"/>
      <c r="I30" s="925"/>
      <c r="J30" s="927"/>
      <c r="L30" s="923"/>
      <c r="M30" s="927"/>
      <c r="O30" s="927"/>
    </row>
    <row r="31" spans="2:15">
      <c r="B31" s="923"/>
      <c r="C31" s="927"/>
      <c r="D31" s="923"/>
      <c r="E31" s="927"/>
      <c r="G31" s="923"/>
      <c r="H31" s="927"/>
      <c r="I31" s="925"/>
      <c r="J31" s="927"/>
      <c r="L31" s="923"/>
      <c r="M31" s="927"/>
      <c r="O31" s="927"/>
    </row>
    <row r="32" spans="2:15">
      <c r="B32" s="923"/>
      <c r="C32" s="927"/>
      <c r="D32" s="923"/>
      <c r="E32" s="927"/>
      <c r="G32" s="923"/>
      <c r="H32" s="927"/>
      <c r="I32" s="925"/>
      <c r="J32" s="927"/>
      <c r="L32" s="923"/>
      <c r="M32" s="927"/>
      <c r="O32" s="927"/>
    </row>
    <row r="33" spans="2:15">
      <c r="B33" s="923"/>
      <c r="C33" s="927"/>
      <c r="D33" s="923"/>
      <c r="E33" s="927"/>
      <c r="G33" s="923"/>
      <c r="H33" s="927"/>
      <c r="I33" s="925"/>
      <c r="J33" s="927"/>
      <c r="L33" s="923"/>
      <c r="M33" s="927"/>
      <c r="O33" s="927"/>
    </row>
    <row r="34" spans="2:15">
      <c r="B34" s="923"/>
      <c r="C34" s="927"/>
      <c r="D34" s="923"/>
      <c r="E34" s="927"/>
      <c r="G34" s="923"/>
      <c r="H34" s="927"/>
      <c r="I34" s="925"/>
      <c r="J34" s="927"/>
      <c r="L34" s="923"/>
      <c r="M34" s="927"/>
      <c r="O34" s="927"/>
    </row>
    <row r="35" spans="2:15">
      <c r="B35" s="923"/>
      <c r="C35" s="927"/>
      <c r="D35" s="923"/>
      <c r="E35" s="927"/>
      <c r="G35" s="923"/>
      <c r="H35" s="927"/>
      <c r="I35" s="925"/>
      <c r="J35" s="927"/>
      <c r="L35" s="923"/>
      <c r="M35" s="927"/>
      <c r="O35" s="927"/>
    </row>
    <row r="36" spans="2:15">
      <c r="B36" s="923"/>
      <c r="C36" s="927"/>
      <c r="D36" s="923"/>
      <c r="E36" s="927"/>
      <c r="G36" s="923"/>
      <c r="H36" s="927"/>
      <c r="I36" s="925"/>
      <c r="J36" s="927"/>
      <c r="L36" s="923"/>
      <c r="M36" s="927"/>
      <c r="O36" s="927"/>
    </row>
    <row r="37" spans="2:15">
      <c r="B37" s="923"/>
      <c r="C37" s="927"/>
      <c r="D37" s="923"/>
      <c r="E37" s="927"/>
      <c r="G37" s="923"/>
      <c r="H37" s="927"/>
      <c r="I37" s="925"/>
      <c r="J37" s="927"/>
      <c r="L37" s="923"/>
      <c r="M37" s="927"/>
      <c r="O37" s="927"/>
    </row>
    <row r="38" spans="2:15">
      <c r="B38" s="923"/>
      <c r="C38" s="927"/>
      <c r="D38" s="923"/>
      <c r="E38" s="927"/>
      <c r="G38" s="923"/>
      <c r="H38" s="927"/>
      <c r="I38" s="925"/>
      <c r="J38" s="927"/>
      <c r="L38" s="923"/>
      <c r="M38" s="927"/>
      <c r="O38" s="927"/>
    </row>
    <row r="39" spans="2:15">
      <c r="B39" s="923"/>
      <c r="C39" s="927"/>
      <c r="D39" s="923"/>
      <c r="E39" s="927"/>
      <c r="G39" s="923"/>
      <c r="H39" s="927"/>
      <c r="I39" s="925"/>
      <c r="J39" s="927"/>
      <c r="L39" s="923"/>
      <c r="M39" s="927"/>
      <c r="O39" s="927"/>
    </row>
    <row r="40" spans="2:15">
      <c r="B40" s="923"/>
      <c r="C40" s="927"/>
      <c r="D40" s="923"/>
      <c r="E40" s="927"/>
      <c r="G40" s="923"/>
      <c r="H40" s="927"/>
      <c r="I40" s="925"/>
      <c r="J40" s="927"/>
      <c r="L40" s="923"/>
      <c r="M40" s="927"/>
      <c r="O40" s="927"/>
    </row>
    <row r="41" spans="2:15">
      <c r="B41" s="923"/>
      <c r="C41" s="927"/>
      <c r="D41" s="923"/>
      <c r="E41" s="927"/>
      <c r="G41" s="923"/>
      <c r="H41" s="927"/>
      <c r="I41" s="925"/>
      <c r="J41" s="927"/>
      <c r="L41" s="923"/>
      <c r="M41" s="927"/>
      <c r="O41" s="927"/>
    </row>
    <row r="42" spans="2:15">
      <c r="B42" s="923"/>
      <c r="C42" s="927"/>
      <c r="D42" s="923"/>
      <c r="E42" s="927"/>
      <c r="G42" s="923"/>
      <c r="H42" s="927"/>
      <c r="I42" s="925"/>
      <c r="J42" s="927"/>
      <c r="L42" s="923"/>
      <c r="M42" s="927"/>
      <c r="O42" s="927"/>
    </row>
    <row r="43" spans="2:15">
      <c r="B43" s="923"/>
      <c r="C43" s="927"/>
      <c r="D43" s="923"/>
      <c r="E43" s="927"/>
      <c r="G43" s="923"/>
      <c r="H43" s="927"/>
      <c r="I43" s="925"/>
      <c r="J43" s="927"/>
      <c r="L43" s="923"/>
      <c r="M43" s="927"/>
      <c r="O43" s="927"/>
    </row>
    <row r="44" spans="2:15">
      <c r="B44" s="923"/>
      <c r="C44" s="927"/>
      <c r="D44" s="923"/>
      <c r="E44" s="927"/>
      <c r="G44" s="923"/>
      <c r="H44" s="927"/>
      <c r="I44" s="925"/>
      <c r="J44" s="927"/>
      <c r="L44" s="923"/>
      <c r="M44" s="927"/>
      <c r="O44" s="927"/>
    </row>
    <row r="45" spans="2:15">
      <c r="B45" s="923"/>
      <c r="C45" s="927"/>
      <c r="D45" s="923"/>
      <c r="E45" s="927"/>
      <c r="G45" s="923"/>
      <c r="H45" s="927"/>
      <c r="I45" s="925"/>
      <c r="J45" s="927"/>
      <c r="L45" s="923"/>
      <c r="M45" s="927"/>
      <c r="O45" s="927"/>
    </row>
    <row r="46" spans="2:15">
      <c r="B46" s="923"/>
      <c r="C46" s="927"/>
      <c r="D46" s="923"/>
      <c r="E46" s="927"/>
      <c r="G46" s="923"/>
      <c r="H46" s="927"/>
      <c r="I46" s="925"/>
      <c r="J46" s="927"/>
      <c r="L46" s="923"/>
      <c r="M46" s="927"/>
      <c r="O46" s="927"/>
    </row>
    <row r="47" spans="2:15">
      <c r="B47" s="923"/>
      <c r="C47" s="927"/>
      <c r="D47" s="923"/>
      <c r="E47" s="927"/>
      <c r="G47" s="923"/>
      <c r="H47" s="927"/>
      <c r="I47" s="925"/>
      <c r="J47" s="927"/>
      <c r="L47" s="923"/>
      <c r="M47" s="927"/>
      <c r="O47" s="927"/>
    </row>
    <row r="48" spans="2:15">
      <c r="B48" s="923"/>
      <c r="C48" s="927"/>
      <c r="D48" s="923"/>
      <c r="E48" s="927"/>
      <c r="G48" s="923"/>
      <c r="H48" s="927"/>
      <c r="I48" s="925"/>
      <c r="J48" s="927"/>
      <c r="L48" s="923"/>
      <c r="M48" s="927"/>
      <c r="O48" s="927"/>
    </row>
    <row r="49" spans="2:15">
      <c r="B49" s="923"/>
      <c r="C49" s="927"/>
      <c r="D49" s="923"/>
      <c r="E49" s="927"/>
      <c r="G49" s="923"/>
      <c r="H49" s="927"/>
      <c r="I49" s="925"/>
      <c r="J49" s="927"/>
      <c r="L49" s="923"/>
      <c r="M49" s="927"/>
      <c r="O49" s="927"/>
    </row>
    <row r="50" spans="2:15">
      <c r="B50" s="923"/>
      <c r="C50" s="927"/>
      <c r="D50" s="923"/>
      <c r="E50" s="927"/>
      <c r="G50" s="923"/>
      <c r="H50" s="927"/>
      <c r="I50" s="925"/>
      <c r="J50" s="927"/>
      <c r="L50" s="923"/>
      <c r="M50" s="927"/>
      <c r="O50" s="927"/>
    </row>
    <row r="51" spans="2:15">
      <c r="B51" s="923"/>
      <c r="C51" s="927"/>
      <c r="D51" s="923"/>
      <c r="E51" s="927"/>
      <c r="G51" s="923"/>
      <c r="H51" s="927"/>
      <c r="I51" s="925"/>
      <c r="J51" s="927"/>
      <c r="L51" s="923"/>
      <c r="M51" s="927"/>
      <c r="O51" s="927"/>
    </row>
    <row r="52" spans="2:15">
      <c r="B52" s="931"/>
      <c r="C52" s="920"/>
      <c r="D52" s="931"/>
      <c r="E52" s="920"/>
      <c r="G52" s="931"/>
      <c r="H52" s="920"/>
      <c r="I52" s="932"/>
      <c r="J52" s="920"/>
      <c r="L52" s="931"/>
      <c r="M52" s="920"/>
      <c r="N52" s="931"/>
      <c r="O52" s="920"/>
    </row>
    <row r="55" spans="2:15" ht="26.25">
      <c r="G55" s="1414" t="s">
        <v>1404</v>
      </c>
    </row>
  </sheetData>
  <sheetProtection password="CC08" sheet="1" objects="1" scenarios="1"/>
  <mergeCells count="18">
    <mergeCell ref="L28:M28"/>
    <mergeCell ref="N4:O4"/>
    <mergeCell ref="B28:C28"/>
    <mergeCell ref="D28:E28"/>
    <mergeCell ref="G26:J26"/>
    <mergeCell ref="B26:E26"/>
    <mergeCell ref="G28:H28"/>
    <mergeCell ref="I28:J28"/>
    <mergeCell ref="N28:O28"/>
    <mergeCell ref="L26:O26"/>
    <mergeCell ref="L2:O2"/>
    <mergeCell ref="L4:M4"/>
    <mergeCell ref="B2:E2"/>
    <mergeCell ref="D4:E4"/>
    <mergeCell ref="B4:C4"/>
    <mergeCell ref="G2:J2"/>
    <mergeCell ref="G4:H4"/>
    <mergeCell ref="I4:J4"/>
  </mergeCells>
  <phoneticPr fontId="5" type="noConversion"/>
  <pageMargins left="0.75" right="0.75" top="1" bottom="1" header="0.5" footer="0.5"/>
  <pageSetup scale="43" orientation="portrait" r:id="rId1"/>
  <headerFooter alignWithMargins="0"/>
  <legacyDrawing r:id="rId2"/>
  <controls>
    <control shapeId="19587" r:id="rId3" name="RandomNums"/>
    <control shapeId="19586" r:id="rId4" name="McNemar"/>
    <control shapeId="19585" r:id="rId5" name="SeSpCI"/>
    <control shapeId="19584" r:id="rId6" name="SDchisquare"/>
    <control shapeId="19583" r:id="rId7" name="sdsamplesize"/>
    <control shapeId="19582" r:id="rId8" name="SPChelp"/>
    <control shapeId="19581" r:id="rId9" name="bisamplecat"/>
    <control shapeId="19580" r:id="rId10" name="bisample"/>
    <control shapeId="19579" r:id="rId11" name="XbarR5"/>
    <control shapeId="19578" r:id="rId12" name="XbarR3"/>
    <control shapeId="19577" r:id="rId13" name="XbarR2"/>
    <control shapeId="19576" r:id="rId14" name="HypotHelp"/>
    <control shapeId="19571" r:id="rId15" name="IMR"/>
    <control shapeId="19570" r:id="rId16" name="Pchart"/>
    <control shapeId="19490" r:id="rId17" name="CompofVar"/>
    <control shapeId="19489" r:id="rId18" name="SensandSpec"/>
    <control shapeId="19488" r:id="rId19" name="Tolerancing"/>
    <control shapeId="19487" r:id="rId20" name="Regression"/>
    <control shapeId="19486" r:id="rId21" name="ANOM"/>
    <control shapeId="19485" r:id="rId22" name="percentanom"/>
    <control shapeId="19483" r:id="rId23" name="Boxplot"/>
    <control shapeId="19482" r:id="rId24" name="endcount"/>
    <control shapeId="19481" r:id="rId25" name="Full24"/>
    <control shapeId="19480" r:id="rId26" name="FullF23"/>
    <control shapeId="19479" r:id="rId27" name="FullF22"/>
    <control shapeId="19478" r:id="rId28" name="ContAssyDissy"/>
    <control shapeId="19477" r:id="rId29" name="contAssyDissy1Pair"/>
    <control shapeId="19476" r:id="rId30" name="AssyDissy"/>
    <control shapeId="19475" r:id="rId31" name="CatCI"/>
    <control shapeId="19474" r:id="rId32" name="Yieldconv"/>
    <control shapeId="19473" r:id="rId33" name="DPUprob"/>
    <control shapeId="19471" r:id="rId34" name="probdetect"/>
    <control shapeId="19470" r:id="rId35" name="ppkppm"/>
    <control shapeId="19469" r:id="rId36" name="sigtoppm"/>
    <control shapeId="19468" r:id="rId37" name="BiSampleSize"/>
    <control shapeId="19467" r:id="rId38" name="Ebinomial"/>
    <control shapeId="19466" r:id="rId39" name="poisson"/>
    <control shapeId="19465" r:id="rId40" name="Binomial"/>
    <control shapeId="19464" r:id="rId41" name="smalldpu"/>
    <control shapeId="19463" r:id="rId42" name="Chisquare"/>
    <control shapeId="19462" r:id="rId43" name="MethodComp"/>
    <control shapeId="19461" r:id="rId44" name="EquipBias"/>
    <control shapeId="19460" r:id="rId45" name="GRR"/>
    <control shapeId="19459" r:id="rId46" name="DR"/>
    <control shapeId="19458" r:id="rId47" name="GroupKappa"/>
    <control shapeId="19457" r:id="rId48" name="Kappa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2">
    <pageSetUpPr fitToPage="1"/>
  </sheetPr>
  <dimension ref="A1:P96"/>
  <sheetViews>
    <sheetView showGridLines="0" zoomScale="75" workbookViewId="0">
      <selection activeCell="K4" sqref="K4"/>
    </sheetView>
  </sheetViews>
  <sheetFormatPr defaultRowHeight="12.75"/>
  <cols>
    <col min="1" max="1" width="9" customWidth="1"/>
    <col min="2" max="2" width="2.7109375" customWidth="1"/>
    <col min="3" max="3" width="19.140625" customWidth="1"/>
    <col min="4" max="4" width="16.140625" customWidth="1"/>
    <col min="5" max="5" width="21.28515625" customWidth="1"/>
    <col min="6" max="6" width="4.5703125" customWidth="1"/>
    <col min="7" max="7" width="10.5703125" customWidth="1"/>
    <col min="10" max="10" width="20.140625" customWidth="1"/>
    <col min="15" max="15" width="15.42578125" customWidth="1"/>
  </cols>
  <sheetData>
    <row r="1" spans="1:16" ht="25.5">
      <c r="A1" s="922"/>
      <c r="B1" s="922"/>
      <c r="C1" s="922"/>
      <c r="D1" s="1462" t="s">
        <v>1146</v>
      </c>
      <c r="E1" s="1463"/>
      <c r="F1" s="1463"/>
      <c r="G1" s="1463"/>
      <c r="H1" s="1463"/>
      <c r="I1" s="1463"/>
      <c r="J1" s="1463"/>
      <c r="K1" s="1464"/>
      <c r="L1" s="922"/>
      <c r="M1" s="922"/>
      <c r="N1" s="922"/>
      <c r="O1" s="922"/>
      <c r="P1" s="922"/>
    </row>
    <row r="2" spans="1:16">
      <c r="A2" s="922"/>
      <c r="B2" s="922"/>
      <c r="C2" s="922"/>
      <c r="D2" s="922"/>
      <c r="E2" s="922"/>
      <c r="F2" s="922"/>
      <c r="G2" s="922"/>
      <c r="H2" s="922"/>
      <c r="I2" s="922"/>
      <c r="J2" s="922"/>
      <c r="K2" s="922"/>
      <c r="L2" s="922"/>
      <c r="M2" s="922"/>
      <c r="N2" s="922"/>
      <c r="O2" s="922"/>
      <c r="P2" s="922"/>
    </row>
    <row r="3" spans="1:16">
      <c r="A3" s="922"/>
      <c r="B3" s="922"/>
      <c r="C3" s="922"/>
      <c r="D3" s="922"/>
      <c r="E3" s="922"/>
      <c r="F3" s="922"/>
      <c r="G3" s="922"/>
      <c r="H3" s="922"/>
      <c r="I3" s="922"/>
      <c r="J3" s="922"/>
      <c r="K3" s="922"/>
      <c r="L3" s="922"/>
      <c r="M3" s="922"/>
      <c r="N3" s="922"/>
      <c r="O3" s="922"/>
      <c r="P3" s="922"/>
    </row>
    <row r="4" spans="1:16">
      <c r="A4" s="922"/>
      <c r="B4" s="922"/>
      <c r="C4" s="922"/>
      <c r="D4" s="922"/>
      <c r="E4" s="922"/>
      <c r="F4" s="922"/>
      <c r="G4" s="922"/>
      <c r="H4" s="922"/>
      <c r="I4" s="922"/>
      <c r="J4" s="922"/>
      <c r="K4" s="922"/>
      <c r="L4" s="922"/>
      <c r="M4" s="922"/>
      <c r="N4" s="922"/>
      <c r="O4" s="922"/>
      <c r="P4" s="922"/>
    </row>
    <row r="5" spans="1:16">
      <c r="A5" s="922"/>
      <c r="B5" s="922"/>
      <c r="C5" s="922"/>
      <c r="D5" s="922"/>
      <c r="E5" s="922"/>
      <c r="F5" s="922"/>
      <c r="G5" s="922"/>
      <c r="H5" s="922"/>
      <c r="I5" s="922"/>
      <c r="J5" s="922"/>
      <c r="K5" s="922"/>
      <c r="L5" s="922"/>
      <c r="M5" s="922"/>
      <c r="N5" s="922"/>
      <c r="O5" s="922"/>
      <c r="P5" s="922"/>
    </row>
    <row r="6" spans="1:16">
      <c r="A6" s="922"/>
      <c r="B6" s="922"/>
      <c r="C6" s="922"/>
      <c r="D6" s="922"/>
      <c r="E6" s="922"/>
      <c r="F6" s="922"/>
      <c r="G6" s="922"/>
      <c r="H6" s="922"/>
      <c r="I6" s="922"/>
      <c r="J6" s="922"/>
      <c r="K6" s="922"/>
      <c r="L6" s="922"/>
      <c r="M6" s="922"/>
      <c r="N6" s="922"/>
      <c r="O6" s="922"/>
      <c r="P6" s="922"/>
    </row>
    <row r="7" spans="1:16">
      <c r="A7" s="922"/>
      <c r="B7" s="922"/>
      <c r="C7" s="922"/>
      <c r="D7" s="922"/>
      <c r="E7" s="922"/>
      <c r="F7" s="922"/>
      <c r="G7" s="922"/>
      <c r="H7" s="922"/>
      <c r="I7" s="922"/>
      <c r="J7" s="922"/>
      <c r="K7" s="922"/>
      <c r="L7" s="922"/>
      <c r="M7" s="922"/>
      <c r="N7" s="922"/>
      <c r="O7" s="922"/>
      <c r="P7" s="922"/>
    </row>
    <row r="8" spans="1:16">
      <c r="A8" s="922"/>
      <c r="B8" s="922"/>
      <c r="C8" s="922"/>
      <c r="D8" s="922"/>
      <c r="E8" s="922"/>
      <c r="F8" s="922"/>
      <c r="G8" s="922"/>
      <c r="H8" s="922"/>
      <c r="I8" s="922"/>
      <c r="J8" s="922"/>
      <c r="K8" s="922"/>
      <c r="L8" s="922"/>
      <c r="M8" s="922"/>
      <c r="N8" s="922"/>
      <c r="O8" s="922"/>
      <c r="P8" s="922"/>
    </row>
    <row r="9" spans="1:16">
      <c r="A9" s="922"/>
      <c r="B9" s="922"/>
      <c r="C9" s="922"/>
      <c r="D9" s="922"/>
      <c r="E9" s="922"/>
      <c r="F9" s="922"/>
      <c r="G9" s="922"/>
      <c r="H9" s="922"/>
      <c r="I9" s="922"/>
      <c r="J9" s="922"/>
      <c r="K9" s="922"/>
      <c r="L9" s="922"/>
      <c r="M9" s="922"/>
      <c r="N9" s="922"/>
      <c r="O9" s="922"/>
      <c r="P9" s="922"/>
    </row>
    <row r="10" spans="1:16">
      <c r="A10" s="922"/>
      <c r="B10" s="922"/>
      <c r="C10" s="922"/>
      <c r="D10" s="922"/>
      <c r="E10" s="922"/>
      <c r="F10" s="922"/>
      <c r="G10" s="922"/>
      <c r="H10" s="922"/>
      <c r="I10" s="922"/>
      <c r="J10" s="922"/>
      <c r="K10" s="922"/>
      <c r="L10" s="922"/>
      <c r="M10" s="922"/>
      <c r="N10" s="922"/>
      <c r="O10" s="922"/>
      <c r="P10" s="922"/>
    </row>
    <row r="11" spans="1:16">
      <c r="A11" s="922"/>
      <c r="B11" s="922"/>
      <c r="C11" s="922"/>
      <c r="D11" s="922"/>
      <c r="E11" s="922"/>
      <c r="F11" s="922"/>
      <c r="G11" s="922"/>
      <c r="H11" s="922"/>
      <c r="I11" s="922"/>
      <c r="J11" s="922"/>
      <c r="K11" s="922"/>
      <c r="L11" s="922"/>
      <c r="M11" s="922"/>
      <c r="N11" s="922"/>
      <c r="O11" s="922"/>
      <c r="P11" s="922"/>
    </row>
    <row r="12" spans="1:16">
      <c r="A12" s="922"/>
      <c r="B12" s="922"/>
      <c r="C12" s="922"/>
      <c r="D12" s="922"/>
      <c r="E12" s="922"/>
      <c r="F12" s="922"/>
      <c r="G12" s="922"/>
      <c r="H12" s="922"/>
      <c r="I12" s="922"/>
      <c r="J12" s="922"/>
      <c r="K12" s="922"/>
      <c r="L12" s="922"/>
      <c r="M12" s="922"/>
      <c r="N12" s="922"/>
      <c r="O12" s="922"/>
      <c r="P12" s="922"/>
    </row>
    <row r="13" spans="1:16">
      <c r="A13" s="922"/>
      <c r="B13" s="922"/>
      <c r="C13" s="922"/>
      <c r="D13" s="922"/>
      <c r="E13" s="922"/>
      <c r="F13" s="922"/>
      <c r="G13" s="922"/>
      <c r="H13" s="922"/>
      <c r="I13" s="922"/>
      <c r="J13" s="922"/>
      <c r="K13" s="922"/>
      <c r="L13" s="922"/>
      <c r="M13" s="922"/>
      <c r="N13" s="922"/>
      <c r="O13" s="922"/>
      <c r="P13" s="922"/>
    </row>
    <row r="14" spans="1:16">
      <c r="A14" s="922"/>
      <c r="B14" s="922"/>
      <c r="C14" s="922"/>
      <c r="D14" s="922"/>
      <c r="E14" s="922"/>
      <c r="F14" s="922"/>
      <c r="G14" s="922"/>
      <c r="H14" s="922"/>
      <c r="I14" s="922"/>
      <c r="J14" s="922"/>
      <c r="K14" s="922"/>
      <c r="L14" s="922"/>
      <c r="M14" s="922"/>
      <c r="N14" s="922"/>
      <c r="O14" s="922"/>
      <c r="P14" s="922"/>
    </row>
    <row r="15" spans="1:16">
      <c r="A15" s="922"/>
      <c r="B15" s="922"/>
      <c r="C15" s="922"/>
      <c r="D15" s="922"/>
      <c r="E15" s="922"/>
      <c r="F15" s="922"/>
      <c r="G15" s="922"/>
      <c r="H15" s="922"/>
      <c r="I15" s="922"/>
      <c r="J15" s="922"/>
      <c r="K15" s="922"/>
      <c r="L15" s="922"/>
      <c r="M15" s="922"/>
      <c r="N15" s="922"/>
      <c r="O15" s="922"/>
      <c r="P15" s="922"/>
    </row>
    <row r="16" spans="1:16">
      <c r="A16" s="922"/>
      <c r="B16" s="922"/>
      <c r="C16" s="922"/>
      <c r="D16" s="922"/>
      <c r="E16" s="922"/>
      <c r="F16" s="922"/>
      <c r="G16" s="922"/>
      <c r="H16" s="922"/>
      <c r="I16" s="922"/>
      <c r="J16" s="922"/>
      <c r="K16" s="922"/>
      <c r="L16" s="922"/>
      <c r="M16" s="922"/>
      <c r="N16" s="922"/>
      <c r="O16" s="922"/>
      <c r="P16" s="922"/>
    </row>
    <row r="17" spans="1:16">
      <c r="A17" s="922"/>
      <c r="B17" s="922"/>
      <c r="C17" s="922"/>
      <c r="D17" s="922"/>
      <c r="E17" s="922"/>
      <c r="F17" s="922"/>
      <c r="G17" s="922"/>
      <c r="H17" s="922"/>
      <c r="I17" s="922"/>
      <c r="J17" s="922"/>
      <c r="K17" s="922"/>
      <c r="L17" s="922"/>
      <c r="M17" s="922"/>
      <c r="N17" s="922"/>
      <c r="O17" s="922"/>
      <c r="P17" s="922"/>
    </row>
    <row r="18" spans="1:16">
      <c r="A18" s="922"/>
      <c r="B18" s="922"/>
      <c r="C18" s="922"/>
      <c r="D18" s="922"/>
      <c r="E18" s="922"/>
      <c r="F18" s="922"/>
      <c r="G18" s="922"/>
      <c r="H18" s="922"/>
      <c r="I18" s="922"/>
      <c r="J18" s="922"/>
      <c r="K18" s="922"/>
      <c r="L18" s="922"/>
      <c r="M18" s="922"/>
      <c r="N18" s="922"/>
      <c r="O18" s="922"/>
      <c r="P18" s="922"/>
    </row>
    <row r="19" spans="1:16">
      <c r="A19" s="922"/>
      <c r="B19" s="922"/>
      <c r="C19" s="922"/>
      <c r="D19" s="922"/>
      <c r="E19" s="922"/>
      <c r="F19" s="922"/>
      <c r="G19" s="922"/>
      <c r="H19" s="922"/>
      <c r="I19" s="922"/>
      <c r="J19" s="922"/>
      <c r="K19" s="922"/>
      <c r="L19" s="922"/>
      <c r="M19" s="922"/>
      <c r="N19" s="922"/>
      <c r="O19" s="922"/>
      <c r="P19" s="922"/>
    </row>
    <row r="20" spans="1:16">
      <c r="A20" s="922"/>
      <c r="B20" s="922"/>
      <c r="C20" s="922"/>
      <c r="D20" s="922"/>
      <c r="E20" s="922"/>
      <c r="F20" s="922"/>
      <c r="G20" s="922"/>
      <c r="H20" s="922"/>
      <c r="I20" s="922"/>
      <c r="J20" s="922"/>
      <c r="K20" s="922"/>
      <c r="L20" s="922"/>
      <c r="M20" s="922"/>
      <c r="N20" s="922"/>
      <c r="O20" s="922"/>
      <c r="P20" s="922"/>
    </row>
    <row r="21" spans="1:16">
      <c r="A21" s="922"/>
      <c r="B21" s="922"/>
      <c r="C21" s="922"/>
      <c r="D21" s="922"/>
      <c r="E21" s="922"/>
      <c r="F21" s="922"/>
      <c r="G21" s="922"/>
      <c r="H21" s="922"/>
      <c r="I21" s="922"/>
      <c r="J21" s="922"/>
      <c r="K21" s="922"/>
      <c r="L21" s="922"/>
      <c r="M21" s="922"/>
      <c r="N21" s="922"/>
      <c r="O21" s="922"/>
      <c r="P21" s="922"/>
    </row>
    <row r="22" spans="1:16">
      <c r="A22" s="922"/>
      <c r="B22" s="922"/>
      <c r="C22" s="922"/>
      <c r="D22" s="922"/>
      <c r="E22" s="922"/>
      <c r="F22" s="922"/>
      <c r="G22" s="922"/>
      <c r="H22" s="922"/>
      <c r="I22" s="922"/>
      <c r="J22" s="922"/>
      <c r="K22" s="922"/>
      <c r="L22" s="922"/>
      <c r="M22" s="922"/>
      <c r="N22" s="922"/>
      <c r="O22" s="922"/>
      <c r="P22" s="922"/>
    </row>
    <row r="23" spans="1:16">
      <c r="A23" s="922"/>
      <c r="B23" s="922"/>
      <c r="C23" s="922"/>
      <c r="D23" s="922"/>
      <c r="E23" s="922"/>
      <c r="F23" s="922"/>
      <c r="G23" s="922"/>
      <c r="H23" s="922"/>
      <c r="I23" s="922"/>
      <c r="J23" s="922"/>
      <c r="K23" s="922"/>
      <c r="L23" s="922"/>
      <c r="M23" s="922"/>
      <c r="N23" s="922"/>
      <c r="O23" s="922"/>
      <c r="P23" s="922"/>
    </row>
    <row r="24" spans="1:16">
      <c r="A24" s="922"/>
      <c r="B24" s="922"/>
      <c r="C24" s="922"/>
      <c r="D24" s="922"/>
      <c r="E24" s="922"/>
      <c r="F24" s="922"/>
      <c r="G24" s="922"/>
      <c r="H24" s="922"/>
      <c r="I24" s="922"/>
      <c r="J24" s="922"/>
      <c r="K24" s="922"/>
      <c r="L24" s="922"/>
      <c r="M24" s="922"/>
      <c r="N24" s="922"/>
      <c r="O24" s="922"/>
      <c r="P24" s="922"/>
    </row>
    <row r="25" spans="1:16">
      <c r="A25" s="922"/>
      <c r="B25" s="922"/>
      <c r="C25" s="922"/>
      <c r="D25" s="922"/>
      <c r="E25" s="922"/>
      <c r="F25" s="922"/>
      <c r="G25" s="922"/>
      <c r="H25" s="922"/>
      <c r="I25" s="922"/>
      <c r="J25" s="922"/>
      <c r="K25" s="922"/>
      <c r="L25" s="922"/>
      <c r="M25" s="922"/>
      <c r="N25" s="922"/>
      <c r="O25" s="922"/>
      <c r="P25" s="922"/>
    </row>
    <row r="26" spans="1:16">
      <c r="A26" s="922"/>
      <c r="B26" s="922"/>
      <c r="C26" s="922"/>
      <c r="D26" s="922"/>
      <c r="E26" s="922"/>
      <c r="F26" s="922"/>
      <c r="G26" s="922"/>
      <c r="H26" s="922"/>
      <c r="I26" s="922"/>
      <c r="J26" s="922"/>
      <c r="K26" s="922"/>
      <c r="L26" s="922"/>
      <c r="M26" s="922"/>
      <c r="N26" s="922"/>
      <c r="O26" s="922"/>
      <c r="P26" s="922"/>
    </row>
    <row r="27" spans="1:16">
      <c r="A27" s="922"/>
      <c r="B27" s="922"/>
      <c r="C27" s="922"/>
      <c r="D27" s="922"/>
      <c r="E27" s="922"/>
      <c r="F27" s="922"/>
      <c r="G27" s="922"/>
      <c r="H27" s="922"/>
      <c r="I27" s="922"/>
      <c r="J27" s="922"/>
      <c r="K27" s="922"/>
      <c r="L27" s="922"/>
      <c r="M27" s="922"/>
      <c r="N27" s="922"/>
      <c r="O27" s="922"/>
      <c r="P27" s="922"/>
    </row>
    <row r="28" spans="1:16">
      <c r="A28" s="922"/>
      <c r="B28" s="922"/>
      <c r="C28" s="922"/>
      <c r="D28" s="922"/>
      <c r="E28" s="922"/>
      <c r="F28" s="922"/>
      <c r="G28" s="922"/>
      <c r="H28" s="922"/>
      <c r="I28" s="922"/>
      <c r="J28" s="922"/>
      <c r="K28" s="922"/>
      <c r="L28" s="922"/>
      <c r="M28" s="922"/>
      <c r="N28" s="922"/>
      <c r="O28" s="922"/>
      <c r="P28" s="922"/>
    </row>
    <row r="29" spans="1:16">
      <c r="A29" s="922"/>
      <c r="B29" s="922"/>
      <c r="C29" s="922"/>
      <c r="D29" s="922"/>
      <c r="E29" s="922"/>
      <c r="F29" s="922"/>
      <c r="G29" s="922"/>
      <c r="H29" s="922"/>
      <c r="I29" s="922"/>
      <c r="J29" s="922"/>
      <c r="K29" s="922"/>
      <c r="L29" s="922"/>
      <c r="M29" s="922"/>
      <c r="N29" s="922"/>
      <c r="O29" s="922"/>
      <c r="P29" s="922"/>
    </row>
    <row r="30" spans="1:16">
      <c r="A30" s="922"/>
      <c r="B30" s="922"/>
      <c r="C30" s="922"/>
      <c r="D30" s="922"/>
      <c r="E30" s="922"/>
      <c r="F30" s="922"/>
      <c r="G30" s="922"/>
      <c r="H30" s="922"/>
      <c r="I30" s="922"/>
      <c r="J30" s="922"/>
      <c r="K30" s="922"/>
      <c r="L30" s="922"/>
      <c r="M30" s="922"/>
      <c r="N30" s="922"/>
      <c r="O30" s="922"/>
      <c r="P30" s="922"/>
    </row>
    <row r="31" spans="1:16">
      <c r="A31" s="922"/>
      <c r="B31" s="922"/>
      <c r="C31" s="922"/>
      <c r="D31" s="922"/>
      <c r="E31" s="922"/>
      <c r="F31" s="922"/>
      <c r="G31" s="922"/>
      <c r="H31" s="922"/>
      <c r="I31" s="922"/>
      <c r="J31" s="922"/>
      <c r="K31" s="922"/>
      <c r="L31" s="922"/>
      <c r="M31" s="922"/>
      <c r="N31" s="922"/>
      <c r="O31" s="922"/>
      <c r="P31" s="922"/>
    </row>
    <row r="32" spans="1:16">
      <c r="A32" s="922"/>
      <c r="B32" s="922"/>
      <c r="C32" s="922"/>
      <c r="D32" s="922"/>
      <c r="E32" s="922"/>
      <c r="F32" s="922"/>
      <c r="G32" s="922"/>
      <c r="H32" s="922"/>
      <c r="I32" s="922"/>
      <c r="J32" s="922"/>
      <c r="K32" s="922"/>
      <c r="L32" s="922"/>
      <c r="M32" s="922"/>
      <c r="N32" s="922"/>
      <c r="O32" s="922"/>
      <c r="P32" s="922"/>
    </row>
    <row r="33" spans="1:16">
      <c r="A33" s="922"/>
      <c r="B33" s="922"/>
      <c r="C33" s="922"/>
      <c r="D33" s="922"/>
      <c r="E33" s="922"/>
      <c r="F33" s="922"/>
      <c r="G33" s="922"/>
      <c r="H33" s="922"/>
      <c r="I33" s="922"/>
      <c r="J33" s="922"/>
      <c r="K33" s="922"/>
      <c r="L33" s="922"/>
      <c r="M33" s="922"/>
      <c r="N33" s="922"/>
      <c r="O33" s="922"/>
      <c r="P33" s="922"/>
    </row>
    <row r="34" spans="1:16">
      <c r="A34" s="922"/>
      <c r="B34" s="922"/>
      <c r="C34" s="922"/>
      <c r="D34" s="922"/>
      <c r="E34" s="922"/>
      <c r="F34" s="922"/>
      <c r="G34" s="922"/>
      <c r="H34" s="922"/>
      <c r="I34" s="922"/>
      <c r="J34" s="922"/>
      <c r="K34" s="922"/>
      <c r="L34" s="922"/>
      <c r="M34" s="922"/>
      <c r="N34" s="922"/>
      <c r="O34" s="922"/>
      <c r="P34" s="922"/>
    </row>
    <row r="35" spans="1:16">
      <c r="A35" s="922"/>
      <c r="B35" s="922"/>
      <c r="C35" s="922"/>
      <c r="D35" s="922"/>
      <c r="E35" s="922"/>
      <c r="F35" s="922"/>
      <c r="G35" s="922"/>
      <c r="H35" s="922"/>
      <c r="I35" s="922"/>
      <c r="J35" s="922"/>
      <c r="K35" s="922"/>
      <c r="L35" s="922"/>
      <c r="M35" s="922"/>
      <c r="N35" s="922"/>
      <c r="O35" s="922"/>
      <c r="P35" s="922"/>
    </row>
    <row r="36" spans="1:16">
      <c r="A36" s="922"/>
      <c r="B36" s="922"/>
      <c r="C36" s="922"/>
      <c r="D36" s="922"/>
      <c r="E36" s="922"/>
      <c r="F36" s="922"/>
      <c r="G36" s="922"/>
      <c r="H36" s="922"/>
      <c r="I36" s="922"/>
      <c r="J36" s="922"/>
      <c r="K36" s="922"/>
      <c r="L36" s="922"/>
      <c r="M36" s="922"/>
      <c r="N36" s="922"/>
      <c r="O36" s="922"/>
      <c r="P36" s="922"/>
    </row>
    <row r="37" spans="1:16">
      <c r="A37" s="922"/>
      <c r="B37" s="922"/>
      <c r="C37" s="922"/>
      <c r="D37" s="922"/>
      <c r="E37" s="922"/>
      <c r="F37" s="922"/>
      <c r="G37" s="922"/>
      <c r="H37" s="922"/>
      <c r="I37" s="922"/>
      <c r="J37" s="922"/>
      <c r="K37" s="922"/>
      <c r="L37" s="922"/>
      <c r="M37" s="922"/>
      <c r="N37" s="922"/>
      <c r="O37" s="922"/>
      <c r="P37" s="922"/>
    </row>
    <row r="38" spans="1:16">
      <c r="A38" s="922"/>
      <c r="B38" s="922"/>
      <c r="C38" s="922"/>
      <c r="D38" s="922"/>
      <c r="E38" s="922"/>
      <c r="F38" s="922"/>
      <c r="G38" s="922"/>
      <c r="H38" s="922"/>
      <c r="I38" s="922"/>
      <c r="J38" s="922"/>
      <c r="K38" s="922"/>
      <c r="L38" s="922"/>
      <c r="M38" s="922"/>
      <c r="N38" s="922"/>
      <c r="O38" s="922"/>
      <c r="P38" s="922"/>
    </row>
    <row r="39" spans="1:16">
      <c r="A39" s="922"/>
      <c r="B39" s="922"/>
      <c r="C39" s="922"/>
      <c r="D39" s="922"/>
      <c r="E39" s="922"/>
      <c r="F39" s="922"/>
      <c r="G39" s="922"/>
      <c r="H39" s="922"/>
      <c r="I39" s="922"/>
      <c r="J39" s="922"/>
      <c r="K39" s="922"/>
      <c r="L39" s="922"/>
      <c r="M39" s="922"/>
      <c r="N39" s="922"/>
      <c r="O39" s="922"/>
      <c r="P39" s="922"/>
    </row>
    <row r="40" spans="1:16">
      <c r="A40" s="922"/>
      <c r="B40" s="922"/>
      <c r="C40" s="922"/>
      <c r="D40" s="922"/>
      <c r="E40" s="922"/>
      <c r="F40" s="922"/>
      <c r="G40" s="922"/>
      <c r="H40" s="922"/>
      <c r="I40" s="922"/>
      <c r="J40" s="922"/>
      <c r="K40" s="922"/>
      <c r="L40" s="922"/>
      <c r="M40" s="922"/>
      <c r="N40" s="922"/>
      <c r="O40" s="922"/>
      <c r="P40" s="922"/>
    </row>
    <row r="41" spans="1:16">
      <c r="A41" s="922"/>
      <c r="B41" s="922"/>
      <c r="C41" s="922"/>
      <c r="D41" s="922"/>
      <c r="E41" s="922"/>
      <c r="F41" s="922"/>
      <c r="G41" s="922"/>
      <c r="H41" s="922"/>
      <c r="I41" s="922"/>
      <c r="J41" s="922"/>
      <c r="K41" s="922"/>
      <c r="L41" s="922"/>
      <c r="M41" s="922"/>
      <c r="N41" s="922"/>
      <c r="O41" s="922"/>
      <c r="P41" s="922"/>
    </row>
    <row r="42" spans="1:16">
      <c r="A42" s="922"/>
      <c r="B42" s="922"/>
      <c r="C42" s="922"/>
      <c r="D42" s="922"/>
      <c r="E42" s="922"/>
      <c r="F42" s="922"/>
      <c r="G42" s="922"/>
      <c r="H42" s="922"/>
      <c r="I42" s="922"/>
      <c r="J42" s="922"/>
      <c r="K42" s="922"/>
      <c r="L42" s="922"/>
      <c r="M42" s="922"/>
      <c r="N42" s="922"/>
      <c r="O42" s="922"/>
      <c r="P42" s="922"/>
    </row>
    <row r="43" spans="1:16">
      <c r="A43" s="922"/>
      <c r="B43" s="922"/>
      <c r="C43" s="922"/>
      <c r="D43" s="922"/>
      <c r="E43" s="922"/>
      <c r="F43" s="922"/>
      <c r="G43" s="922"/>
      <c r="H43" s="922"/>
      <c r="I43" s="922"/>
      <c r="J43" s="922"/>
      <c r="K43" s="922"/>
      <c r="L43" s="922"/>
      <c r="M43" s="922"/>
      <c r="N43" s="922"/>
      <c r="O43" s="922"/>
      <c r="P43" s="922"/>
    </row>
    <row r="44" spans="1:16">
      <c r="A44" s="922"/>
      <c r="B44" s="922"/>
      <c r="C44" s="922"/>
      <c r="D44" s="922"/>
      <c r="E44" s="922"/>
      <c r="F44" s="922"/>
      <c r="G44" s="922"/>
      <c r="H44" s="922"/>
      <c r="I44" s="922"/>
      <c r="J44" s="922"/>
      <c r="K44" s="922"/>
      <c r="L44" s="922"/>
      <c r="M44" s="922"/>
      <c r="N44" s="922"/>
      <c r="O44" s="922"/>
      <c r="P44" s="922"/>
    </row>
    <row r="45" spans="1:16">
      <c r="A45" s="922"/>
      <c r="B45" s="922"/>
      <c r="C45" s="922"/>
      <c r="D45" s="922"/>
      <c r="E45" s="922"/>
      <c r="F45" s="922"/>
      <c r="G45" s="922"/>
      <c r="H45" s="922"/>
      <c r="I45" s="922"/>
      <c r="J45" s="922"/>
      <c r="K45" s="922"/>
      <c r="L45" s="922"/>
      <c r="M45" s="922"/>
      <c r="N45" s="922"/>
      <c r="O45" s="922"/>
      <c r="P45" s="922"/>
    </row>
    <row r="46" spans="1:16">
      <c r="A46" s="922"/>
      <c r="B46" s="922"/>
      <c r="C46" s="922"/>
      <c r="D46" s="922"/>
      <c r="E46" s="922"/>
      <c r="F46" s="922"/>
      <c r="G46" s="922"/>
      <c r="H46" s="922"/>
      <c r="I46" s="922"/>
      <c r="J46" s="922"/>
      <c r="K46" s="922"/>
      <c r="L46" s="922"/>
      <c r="M46" s="922"/>
      <c r="N46" s="922"/>
      <c r="O46" s="922"/>
      <c r="P46" s="922"/>
    </row>
    <row r="47" spans="1:16">
      <c r="A47" s="922"/>
      <c r="B47" s="922"/>
      <c r="C47" s="922"/>
      <c r="D47" s="922"/>
      <c r="E47" s="922"/>
      <c r="F47" s="922"/>
      <c r="G47" s="922"/>
      <c r="H47" s="922"/>
      <c r="I47" s="922"/>
      <c r="J47" s="922"/>
      <c r="K47" s="922"/>
      <c r="L47" s="922"/>
      <c r="M47" s="922"/>
      <c r="N47" s="922"/>
      <c r="O47" s="922"/>
      <c r="P47" s="922"/>
    </row>
    <row r="48" spans="1:16">
      <c r="A48" s="922"/>
      <c r="B48" s="922"/>
      <c r="C48" s="922"/>
      <c r="D48" s="922"/>
      <c r="E48" s="922"/>
      <c r="F48" s="922"/>
      <c r="G48" s="922"/>
      <c r="H48" s="922"/>
      <c r="I48" s="922"/>
      <c r="J48" s="922"/>
      <c r="K48" s="922"/>
      <c r="L48" s="922"/>
      <c r="M48" s="922"/>
      <c r="N48" s="922"/>
      <c r="O48" s="922"/>
      <c r="P48" s="922"/>
    </row>
    <row r="49" spans="1:16">
      <c r="A49" s="922"/>
      <c r="B49" s="922"/>
      <c r="C49" s="922"/>
      <c r="D49" s="922"/>
      <c r="E49" s="922"/>
      <c r="F49" s="922"/>
      <c r="G49" s="922"/>
      <c r="H49" s="922"/>
      <c r="I49" s="922"/>
      <c r="J49" s="922"/>
      <c r="K49" s="922"/>
      <c r="L49" s="922"/>
      <c r="M49" s="922"/>
      <c r="N49" s="922"/>
      <c r="O49" s="922"/>
      <c r="P49" s="922"/>
    </row>
    <row r="50" spans="1:16">
      <c r="A50" s="922"/>
      <c r="B50" s="922"/>
      <c r="C50" s="922"/>
      <c r="D50" s="922"/>
      <c r="E50" s="922"/>
      <c r="F50" s="922"/>
      <c r="G50" s="922"/>
      <c r="H50" s="922"/>
      <c r="I50" s="922"/>
      <c r="J50" s="922"/>
      <c r="K50" s="922"/>
      <c r="L50" s="922"/>
      <c r="M50" s="922"/>
      <c r="N50" s="922"/>
      <c r="O50" s="922"/>
      <c r="P50" s="922"/>
    </row>
    <row r="51" spans="1:16">
      <c r="A51" s="922"/>
      <c r="B51" s="922"/>
      <c r="C51" s="922"/>
      <c r="D51" s="922"/>
      <c r="E51" s="922"/>
      <c r="F51" s="922"/>
      <c r="G51" s="922"/>
      <c r="H51" s="922"/>
      <c r="I51" s="922"/>
      <c r="J51" s="922"/>
      <c r="K51" s="922"/>
      <c r="L51" s="922"/>
      <c r="M51" s="922"/>
      <c r="N51" s="922"/>
      <c r="O51" s="922"/>
      <c r="P51" s="922"/>
    </row>
    <row r="52" spans="1:16">
      <c r="A52" s="922"/>
      <c r="B52" s="922"/>
      <c r="C52" s="922"/>
      <c r="D52" s="922"/>
      <c r="E52" s="922"/>
      <c r="F52" s="922"/>
      <c r="G52" s="922"/>
      <c r="H52" s="922"/>
      <c r="I52" s="922"/>
      <c r="J52" s="922"/>
      <c r="K52" s="922"/>
      <c r="L52" s="922"/>
      <c r="M52" s="922"/>
      <c r="N52" s="922"/>
      <c r="O52" s="922"/>
      <c r="P52" s="922"/>
    </row>
    <row r="53" spans="1:16">
      <c r="A53" s="922"/>
      <c r="B53" s="922"/>
      <c r="C53" s="922"/>
      <c r="D53" s="922"/>
      <c r="E53" s="922"/>
      <c r="F53" s="922"/>
      <c r="G53" s="922"/>
      <c r="H53" s="922"/>
      <c r="I53" s="922"/>
      <c r="J53" s="922"/>
      <c r="K53" s="922"/>
      <c r="L53" s="922"/>
      <c r="M53" s="922"/>
      <c r="N53" s="922"/>
      <c r="O53" s="922"/>
      <c r="P53" s="922"/>
    </row>
    <row r="54" spans="1:16">
      <c r="A54" s="922"/>
      <c r="B54" s="922"/>
      <c r="C54" s="922"/>
      <c r="D54" s="922"/>
      <c r="E54" s="922"/>
      <c r="F54" s="922"/>
      <c r="G54" s="922"/>
      <c r="H54" s="922"/>
      <c r="I54" s="922"/>
      <c r="J54" s="922"/>
      <c r="K54" s="922"/>
      <c r="L54" s="922"/>
      <c r="M54" s="922"/>
      <c r="N54" s="922"/>
      <c r="O54" s="922"/>
      <c r="P54" s="922"/>
    </row>
    <row r="55" spans="1:16">
      <c r="A55" s="922"/>
      <c r="B55" s="922"/>
      <c r="C55" s="922"/>
      <c r="D55" s="922"/>
      <c r="E55" s="922"/>
      <c r="F55" s="922"/>
      <c r="G55" s="922"/>
      <c r="H55" s="922"/>
      <c r="I55" s="922"/>
      <c r="J55" s="922"/>
      <c r="K55" s="922"/>
      <c r="L55" s="922"/>
      <c r="M55" s="922"/>
      <c r="N55" s="922"/>
      <c r="O55" s="922"/>
      <c r="P55" s="922"/>
    </row>
    <row r="56" spans="1:16">
      <c r="A56" s="922"/>
      <c r="B56" s="922"/>
      <c r="C56" s="922"/>
      <c r="D56" s="922"/>
      <c r="E56" s="922"/>
      <c r="F56" s="922"/>
      <c r="G56" s="922"/>
      <c r="H56" s="922"/>
      <c r="I56" s="922"/>
      <c r="J56" s="922"/>
      <c r="K56" s="922"/>
      <c r="L56" s="922"/>
      <c r="M56" s="922"/>
      <c r="N56" s="922"/>
      <c r="O56" s="922"/>
      <c r="P56" s="922"/>
    </row>
    <row r="57" spans="1:16">
      <c r="A57" s="922"/>
      <c r="B57" s="922"/>
      <c r="C57" s="922"/>
      <c r="D57" s="922"/>
      <c r="E57" s="922"/>
      <c r="F57" s="922"/>
      <c r="G57" s="922"/>
      <c r="H57" s="922"/>
      <c r="I57" s="922"/>
      <c r="J57" s="922"/>
      <c r="K57" s="922"/>
      <c r="L57" s="922"/>
      <c r="M57" s="922"/>
      <c r="N57" s="922"/>
      <c r="O57" s="922"/>
      <c r="P57" s="922"/>
    </row>
    <row r="58" spans="1:16">
      <c r="A58" s="922"/>
      <c r="B58" s="922"/>
      <c r="C58" s="922"/>
      <c r="D58" s="922"/>
      <c r="E58" s="922"/>
      <c r="F58" s="922"/>
      <c r="G58" s="922"/>
      <c r="H58" s="922"/>
      <c r="I58" s="922"/>
      <c r="J58" s="922"/>
      <c r="K58" s="922"/>
      <c r="L58" s="922"/>
      <c r="M58" s="922"/>
      <c r="N58" s="922"/>
      <c r="O58" s="922"/>
      <c r="P58" s="922"/>
    </row>
    <row r="59" spans="1:16">
      <c r="A59" s="922"/>
      <c r="B59" s="922"/>
      <c r="C59" s="922"/>
      <c r="D59" s="922"/>
      <c r="E59" s="922"/>
      <c r="F59" s="922"/>
      <c r="G59" s="922"/>
      <c r="H59" s="922"/>
      <c r="I59" s="922"/>
      <c r="J59" s="922"/>
      <c r="K59" s="922"/>
      <c r="L59" s="922"/>
      <c r="M59" s="922"/>
      <c r="N59" s="922"/>
      <c r="O59" s="922"/>
      <c r="P59" s="922"/>
    </row>
    <row r="60" spans="1:16">
      <c r="A60" s="922"/>
      <c r="B60" s="922"/>
      <c r="C60" s="922"/>
      <c r="D60" s="922"/>
      <c r="E60" s="922"/>
      <c r="F60" s="922"/>
      <c r="G60" s="922"/>
      <c r="H60" s="922"/>
      <c r="I60" s="922"/>
      <c r="J60" s="922"/>
      <c r="K60" s="922"/>
      <c r="L60" s="922"/>
      <c r="M60" s="922"/>
      <c r="N60" s="922"/>
      <c r="O60" s="922"/>
      <c r="P60" s="922"/>
    </row>
    <row r="61" spans="1:16">
      <c r="A61" s="922"/>
      <c r="B61" s="922"/>
      <c r="C61" s="922"/>
      <c r="D61" s="922"/>
      <c r="E61" s="922"/>
      <c r="F61" s="922"/>
      <c r="G61" s="922"/>
      <c r="H61" s="922"/>
      <c r="I61" s="922"/>
      <c r="J61" s="922"/>
      <c r="K61" s="922"/>
      <c r="L61" s="922"/>
      <c r="M61" s="922"/>
      <c r="N61" s="922"/>
      <c r="O61" s="922"/>
      <c r="P61" s="922"/>
    </row>
    <row r="62" spans="1:16">
      <c r="A62" s="922"/>
      <c r="B62" s="922"/>
      <c r="C62" s="922"/>
      <c r="D62" s="922"/>
      <c r="E62" s="922"/>
      <c r="F62" s="922"/>
      <c r="G62" s="922"/>
      <c r="H62" s="922"/>
      <c r="I62" s="922"/>
      <c r="J62" s="922"/>
      <c r="K62" s="922"/>
      <c r="L62" s="922"/>
      <c r="M62" s="922"/>
      <c r="N62" s="922"/>
      <c r="O62" s="922"/>
      <c r="P62" s="922"/>
    </row>
    <row r="63" spans="1:16">
      <c r="A63" s="922"/>
      <c r="B63" s="922"/>
      <c r="C63" s="922"/>
      <c r="D63" s="922"/>
      <c r="E63" s="922"/>
      <c r="F63" s="922"/>
      <c r="G63" s="922"/>
      <c r="H63" s="922"/>
      <c r="I63" s="922"/>
      <c r="J63" s="922"/>
      <c r="K63" s="922"/>
      <c r="L63" s="922"/>
      <c r="M63" s="922"/>
      <c r="N63" s="922"/>
      <c r="O63" s="922"/>
      <c r="P63" s="922"/>
    </row>
    <row r="64" spans="1:16">
      <c r="A64" s="922"/>
      <c r="B64" s="922"/>
      <c r="C64" s="922"/>
      <c r="D64" s="922"/>
      <c r="E64" s="922"/>
      <c r="F64" s="922"/>
      <c r="G64" s="922"/>
      <c r="H64" s="922"/>
      <c r="I64" s="922"/>
      <c r="J64" s="922"/>
      <c r="K64" s="922"/>
      <c r="L64" s="922"/>
      <c r="M64" s="922"/>
      <c r="N64" s="922"/>
      <c r="O64" s="922"/>
      <c r="P64" s="922"/>
    </row>
    <row r="65" spans="1:16">
      <c r="A65" s="922"/>
      <c r="B65" s="922"/>
      <c r="C65" s="922"/>
      <c r="D65" s="922"/>
      <c r="E65" s="922"/>
      <c r="F65" s="922"/>
      <c r="G65" s="922"/>
      <c r="H65" s="922"/>
      <c r="I65" s="922"/>
      <c r="J65" s="922"/>
      <c r="K65" s="922"/>
      <c r="L65" s="922"/>
      <c r="M65" s="922"/>
      <c r="N65" s="922"/>
      <c r="O65" s="922"/>
      <c r="P65" s="922"/>
    </row>
    <row r="66" spans="1:16">
      <c r="A66" s="922"/>
      <c r="B66" s="922"/>
      <c r="C66" s="922"/>
      <c r="D66" s="922"/>
      <c r="E66" s="922"/>
      <c r="F66" s="922"/>
      <c r="G66" s="922"/>
      <c r="H66" s="922"/>
      <c r="I66" s="922"/>
      <c r="J66" s="922"/>
      <c r="K66" s="922"/>
      <c r="L66" s="922"/>
      <c r="M66" s="922"/>
      <c r="N66" s="922"/>
      <c r="O66" s="922"/>
      <c r="P66" s="922"/>
    </row>
    <row r="67" spans="1:16">
      <c r="A67" s="922"/>
      <c r="B67" s="922"/>
      <c r="C67" s="922"/>
      <c r="D67" s="922"/>
      <c r="E67" s="922"/>
      <c r="F67" s="922"/>
      <c r="G67" s="922"/>
      <c r="H67" s="922"/>
      <c r="I67" s="922"/>
      <c r="J67" s="922"/>
      <c r="K67" s="922"/>
      <c r="L67" s="922"/>
      <c r="M67" s="922"/>
      <c r="N67" s="922"/>
      <c r="O67" s="922"/>
      <c r="P67" s="922"/>
    </row>
    <row r="68" spans="1:16">
      <c r="A68" s="922"/>
      <c r="B68" s="922"/>
      <c r="C68" s="922"/>
      <c r="D68" s="922"/>
      <c r="E68" s="922"/>
      <c r="F68" s="922"/>
      <c r="G68" s="922"/>
      <c r="H68" s="922"/>
      <c r="I68" s="922"/>
      <c r="J68" s="922"/>
      <c r="K68" s="922"/>
      <c r="L68" s="922"/>
      <c r="M68" s="922"/>
      <c r="N68" s="922"/>
      <c r="O68" s="922"/>
      <c r="P68" s="922"/>
    </row>
    <row r="69" spans="1:16">
      <c r="A69" s="922"/>
      <c r="B69" s="922"/>
      <c r="C69" s="922"/>
      <c r="D69" s="922"/>
      <c r="E69" s="922"/>
      <c r="F69" s="922"/>
      <c r="G69" s="922"/>
      <c r="H69" s="922"/>
      <c r="I69" s="922"/>
      <c r="J69" s="922"/>
      <c r="K69" s="922"/>
      <c r="L69" s="922"/>
      <c r="M69" s="922"/>
      <c r="N69" s="922"/>
      <c r="O69" s="922"/>
      <c r="P69" s="922"/>
    </row>
    <row r="70" spans="1:16">
      <c r="A70" s="922"/>
      <c r="B70" s="922"/>
      <c r="C70" s="922"/>
      <c r="D70" s="922"/>
      <c r="E70" s="922"/>
      <c r="F70" s="922"/>
      <c r="G70" s="922"/>
      <c r="H70" s="922"/>
      <c r="I70" s="922"/>
      <c r="J70" s="922"/>
      <c r="K70" s="922"/>
      <c r="L70" s="922"/>
      <c r="M70" s="922"/>
      <c r="N70" s="922"/>
      <c r="O70" s="922"/>
      <c r="P70" s="922"/>
    </row>
    <row r="71" spans="1:16">
      <c r="A71" s="922"/>
      <c r="B71" s="922"/>
      <c r="C71" s="922"/>
      <c r="D71" s="922"/>
      <c r="E71" s="922"/>
      <c r="F71" s="922"/>
      <c r="G71" s="922"/>
      <c r="H71" s="922"/>
      <c r="I71" s="922"/>
      <c r="J71" s="922"/>
      <c r="K71" s="922"/>
      <c r="L71" s="922"/>
      <c r="M71" s="922"/>
      <c r="N71" s="922"/>
      <c r="O71" s="922"/>
      <c r="P71" s="922"/>
    </row>
    <row r="72" spans="1:16">
      <c r="A72" s="922"/>
      <c r="B72" s="922"/>
      <c r="C72" s="922"/>
      <c r="D72" s="922"/>
      <c r="E72" s="922"/>
      <c r="F72" s="922"/>
      <c r="G72" s="922"/>
      <c r="H72" s="922"/>
      <c r="I72" s="922"/>
      <c r="J72" s="922"/>
      <c r="K72" s="922"/>
      <c r="L72" s="922"/>
      <c r="M72" s="922"/>
      <c r="N72" s="922"/>
      <c r="O72" s="922"/>
      <c r="P72" s="922"/>
    </row>
    <row r="73" spans="1:16">
      <c r="A73" s="922"/>
      <c r="B73" s="922"/>
      <c r="C73" s="922"/>
      <c r="D73" s="922"/>
      <c r="E73" s="922"/>
      <c r="F73" s="922"/>
      <c r="G73" s="922"/>
      <c r="H73" s="922"/>
      <c r="I73" s="922"/>
      <c r="J73" s="922"/>
      <c r="K73" s="922"/>
      <c r="L73" s="922"/>
      <c r="M73" s="922"/>
      <c r="N73" s="922"/>
      <c r="O73" s="922"/>
      <c r="P73" s="922"/>
    </row>
    <row r="74" spans="1:16">
      <c r="A74" s="922"/>
      <c r="B74" s="922"/>
      <c r="C74" s="922"/>
      <c r="D74" s="922"/>
      <c r="E74" s="922"/>
      <c r="F74" s="922"/>
      <c r="G74" s="922"/>
      <c r="H74" s="922"/>
      <c r="I74" s="922"/>
      <c r="J74" s="922"/>
      <c r="K74" s="922"/>
      <c r="L74" s="922"/>
      <c r="M74" s="922"/>
      <c r="N74" s="922"/>
      <c r="O74" s="922"/>
      <c r="P74" s="922"/>
    </row>
    <row r="75" spans="1:16">
      <c r="A75" s="922"/>
      <c r="B75" s="922"/>
      <c r="C75" s="922"/>
      <c r="D75" s="922"/>
      <c r="E75" s="922"/>
      <c r="F75" s="922"/>
      <c r="G75" s="922"/>
      <c r="H75" s="922"/>
      <c r="I75" s="922"/>
      <c r="J75" s="922"/>
      <c r="K75" s="922"/>
      <c r="L75" s="922"/>
      <c r="M75" s="922"/>
      <c r="N75" s="922"/>
      <c r="O75" s="922"/>
      <c r="P75" s="922"/>
    </row>
    <row r="76" spans="1:16">
      <c r="A76" s="922"/>
      <c r="B76" s="922"/>
      <c r="C76" s="922"/>
      <c r="D76" s="922"/>
      <c r="E76" s="922"/>
      <c r="F76" s="922"/>
      <c r="G76" s="922"/>
      <c r="H76" s="922"/>
      <c r="I76" s="922"/>
      <c r="J76" s="922"/>
      <c r="K76" s="922"/>
      <c r="L76" s="922"/>
      <c r="M76" s="922"/>
      <c r="N76" s="922"/>
      <c r="O76" s="922"/>
      <c r="P76" s="922"/>
    </row>
    <row r="77" spans="1:16">
      <c r="A77" s="922"/>
      <c r="B77" s="922"/>
      <c r="C77" s="922"/>
      <c r="D77" s="922"/>
      <c r="E77" s="922"/>
      <c r="F77" s="922"/>
      <c r="G77" s="922"/>
      <c r="H77" s="922"/>
      <c r="I77" s="922"/>
      <c r="J77" s="922"/>
      <c r="K77" s="922"/>
      <c r="L77" s="922"/>
      <c r="M77" s="922"/>
      <c r="N77" s="922"/>
      <c r="O77" s="922"/>
      <c r="P77" s="922"/>
    </row>
    <row r="78" spans="1:16">
      <c r="A78" s="922"/>
      <c r="B78" s="922"/>
      <c r="C78" s="922"/>
      <c r="D78" s="922"/>
      <c r="E78" s="922"/>
      <c r="F78" s="922"/>
      <c r="G78" s="922"/>
      <c r="H78" s="922"/>
      <c r="I78" s="922"/>
      <c r="J78" s="922"/>
      <c r="K78" s="922"/>
      <c r="L78" s="922"/>
      <c r="M78" s="922"/>
      <c r="N78" s="922"/>
      <c r="O78" s="922"/>
      <c r="P78" s="922"/>
    </row>
    <row r="79" spans="1:16">
      <c r="A79" s="922"/>
      <c r="B79" s="922"/>
      <c r="C79" s="922"/>
      <c r="D79" s="922"/>
      <c r="E79" s="922"/>
      <c r="F79" s="922"/>
      <c r="G79" s="922"/>
      <c r="H79" s="922"/>
      <c r="I79" s="922"/>
      <c r="J79" s="922"/>
      <c r="K79" s="922"/>
      <c r="L79" s="922"/>
      <c r="M79" s="922"/>
      <c r="N79" s="922"/>
      <c r="O79" s="922"/>
      <c r="P79" s="922"/>
    </row>
    <row r="80" spans="1:16">
      <c r="A80" s="922"/>
      <c r="B80" s="922"/>
      <c r="C80" s="922"/>
      <c r="D80" s="922"/>
      <c r="E80" s="922"/>
      <c r="F80" s="922"/>
      <c r="G80" s="922"/>
      <c r="H80" s="922"/>
      <c r="I80" s="922"/>
      <c r="J80" s="922"/>
      <c r="K80" s="922"/>
      <c r="L80" s="922"/>
      <c r="M80" s="922"/>
      <c r="N80" s="922"/>
      <c r="O80" s="922"/>
      <c r="P80" s="922"/>
    </row>
    <row r="81" spans="1:16">
      <c r="A81" s="922"/>
      <c r="B81" s="922"/>
      <c r="C81" s="922"/>
      <c r="D81" s="922"/>
      <c r="E81" s="922"/>
      <c r="F81" s="922"/>
      <c r="G81" s="922"/>
      <c r="H81" s="922"/>
      <c r="I81" s="922"/>
      <c r="J81" s="922"/>
      <c r="K81" s="922"/>
      <c r="L81" s="922"/>
      <c r="M81" s="922"/>
      <c r="N81" s="922"/>
      <c r="O81" s="922"/>
      <c r="P81" s="922"/>
    </row>
    <row r="82" spans="1:16">
      <c r="A82" s="922"/>
      <c r="B82" s="922"/>
      <c r="C82" s="922"/>
      <c r="D82" s="922"/>
      <c r="E82" s="922"/>
      <c r="F82" s="922"/>
      <c r="G82" s="922"/>
      <c r="H82" s="922"/>
      <c r="I82" s="922"/>
      <c r="J82" s="922"/>
      <c r="K82" s="922"/>
      <c r="L82" s="922"/>
      <c r="M82" s="922"/>
      <c r="N82" s="922"/>
      <c r="O82" s="922"/>
      <c r="P82" s="922"/>
    </row>
    <row r="83" spans="1:16">
      <c r="A83" s="922"/>
      <c r="B83" s="922"/>
      <c r="C83" s="922"/>
      <c r="D83" s="922"/>
      <c r="E83" s="922"/>
      <c r="F83" s="922"/>
      <c r="G83" s="922"/>
      <c r="H83" s="922"/>
      <c r="I83" s="922"/>
      <c r="J83" s="922"/>
      <c r="K83" s="922"/>
      <c r="L83" s="922"/>
      <c r="M83" s="922"/>
      <c r="N83" s="922"/>
      <c r="O83" s="922"/>
      <c r="P83" s="922"/>
    </row>
    <row r="84" spans="1:16">
      <c r="A84" s="922"/>
      <c r="B84" s="922"/>
      <c r="C84" s="922"/>
      <c r="D84" s="922"/>
      <c r="E84" s="922"/>
      <c r="F84" s="922"/>
      <c r="G84" s="922"/>
      <c r="H84" s="922"/>
      <c r="I84" s="922"/>
      <c r="J84" s="922"/>
      <c r="K84" s="922"/>
      <c r="L84" s="922"/>
      <c r="M84" s="922"/>
      <c r="N84" s="922"/>
      <c r="O84" s="922"/>
      <c r="P84" s="922"/>
    </row>
    <row r="85" spans="1:16">
      <c r="A85" s="922"/>
      <c r="B85" s="922"/>
      <c r="C85" s="922"/>
      <c r="D85" s="922"/>
      <c r="E85" s="922"/>
      <c r="F85" s="922"/>
      <c r="G85" s="922"/>
      <c r="H85" s="922"/>
      <c r="I85" s="922"/>
      <c r="J85" s="922"/>
      <c r="K85" s="922"/>
      <c r="L85" s="922"/>
      <c r="M85" s="922"/>
      <c r="N85" s="922"/>
      <c r="O85" s="922"/>
      <c r="P85" s="922"/>
    </row>
    <row r="86" spans="1:16">
      <c r="A86" s="922"/>
      <c r="B86" s="922"/>
      <c r="C86" s="922"/>
      <c r="D86" s="922"/>
      <c r="E86" s="922"/>
      <c r="F86" s="922"/>
      <c r="G86" s="922"/>
      <c r="H86" s="922"/>
      <c r="I86" s="922"/>
      <c r="J86" s="922"/>
      <c r="K86" s="922"/>
      <c r="L86" s="922"/>
      <c r="M86" s="922"/>
      <c r="N86" s="922"/>
      <c r="O86" s="922"/>
      <c r="P86" s="922"/>
    </row>
    <row r="87" spans="1:16">
      <c r="A87" s="922"/>
      <c r="B87" s="922"/>
      <c r="C87" s="922"/>
      <c r="D87" s="922"/>
      <c r="E87" s="922"/>
      <c r="F87" s="922"/>
      <c r="G87" s="922"/>
      <c r="H87" s="922"/>
      <c r="I87" s="922"/>
      <c r="J87" s="922"/>
      <c r="K87" s="922"/>
      <c r="L87" s="922"/>
      <c r="M87" s="922"/>
      <c r="N87" s="922"/>
      <c r="O87" s="922"/>
      <c r="P87" s="922"/>
    </row>
    <row r="88" spans="1:16">
      <c r="A88" s="922"/>
      <c r="B88" s="922"/>
      <c r="C88" s="922"/>
      <c r="D88" s="922"/>
      <c r="E88" s="922"/>
      <c r="F88" s="922"/>
      <c r="G88" s="922"/>
      <c r="H88" s="922"/>
      <c r="I88" s="922"/>
      <c r="J88" s="922"/>
      <c r="K88" s="922"/>
      <c r="L88" s="922"/>
      <c r="M88" s="922"/>
      <c r="N88" s="922"/>
      <c r="O88" s="922"/>
      <c r="P88" s="922"/>
    </row>
    <row r="89" spans="1:16">
      <c r="A89" s="922"/>
      <c r="B89" s="922"/>
      <c r="C89" s="922"/>
      <c r="D89" s="922"/>
      <c r="E89" s="922"/>
      <c r="F89" s="922"/>
      <c r="G89" s="922"/>
      <c r="H89" s="922"/>
      <c r="I89" s="922"/>
      <c r="J89" s="922"/>
      <c r="K89" s="922"/>
      <c r="L89" s="922"/>
      <c r="M89" s="922"/>
      <c r="N89" s="922"/>
      <c r="O89" s="922"/>
      <c r="P89" s="922"/>
    </row>
    <row r="90" spans="1:16">
      <c r="A90" s="922"/>
      <c r="B90" s="922"/>
      <c r="C90" s="922"/>
      <c r="D90" s="922"/>
      <c r="E90" s="922"/>
      <c r="F90" s="922"/>
      <c r="G90" s="922"/>
      <c r="H90" s="922"/>
      <c r="I90" s="922"/>
      <c r="J90" s="922"/>
      <c r="K90" s="922"/>
      <c r="L90" s="922"/>
      <c r="M90" s="922"/>
      <c r="N90" s="922"/>
      <c r="O90" s="922"/>
      <c r="P90" s="922"/>
    </row>
    <row r="91" spans="1:16">
      <c r="A91" s="922"/>
      <c r="B91" s="922"/>
      <c r="C91" s="922"/>
      <c r="D91" s="922"/>
      <c r="E91" s="922"/>
      <c r="F91" s="922"/>
      <c r="G91" s="922"/>
      <c r="H91" s="922"/>
      <c r="I91" s="922"/>
      <c r="J91" s="922"/>
      <c r="K91" s="922"/>
      <c r="L91" s="922"/>
      <c r="M91" s="922"/>
      <c r="N91" s="922"/>
      <c r="O91" s="922"/>
      <c r="P91" s="922"/>
    </row>
    <row r="92" spans="1:16">
      <c r="A92" s="922"/>
      <c r="B92" s="922"/>
      <c r="C92" s="922"/>
      <c r="D92" s="922"/>
      <c r="E92" s="922"/>
      <c r="F92" s="922"/>
      <c r="G92" s="922"/>
      <c r="H92" s="922"/>
      <c r="I92" s="922"/>
      <c r="J92" s="922"/>
      <c r="K92" s="922"/>
      <c r="L92" s="922"/>
      <c r="M92" s="922"/>
      <c r="N92" s="922"/>
      <c r="O92" s="922"/>
      <c r="P92" s="922"/>
    </row>
    <row r="93" spans="1:16">
      <c r="A93" s="922"/>
      <c r="B93" s="922"/>
      <c r="C93" s="922"/>
      <c r="D93" s="922"/>
      <c r="E93" s="922"/>
      <c r="F93" s="922"/>
      <c r="G93" s="922"/>
      <c r="H93" s="922"/>
      <c r="I93" s="922"/>
      <c r="J93" s="922"/>
      <c r="K93" s="922"/>
      <c r="L93" s="922"/>
      <c r="M93" s="922"/>
      <c r="N93" s="922"/>
      <c r="O93" s="922"/>
      <c r="P93" s="922"/>
    </row>
    <row r="94" spans="1:16">
      <c r="A94" s="922"/>
      <c r="B94" s="922"/>
      <c r="C94" s="922"/>
      <c r="D94" s="922"/>
      <c r="E94" s="922"/>
      <c r="F94" s="922"/>
      <c r="G94" s="922"/>
      <c r="H94" s="922"/>
      <c r="I94" s="922"/>
      <c r="J94" s="922"/>
      <c r="K94" s="922"/>
      <c r="L94" s="922"/>
      <c r="M94" s="922"/>
      <c r="N94" s="922"/>
      <c r="O94" s="922"/>
      <c r="P94" s="922"/>
    </row>
    <row r="95" spans="1:16">
      <c r="A95" s="922"/>
      <c r="B95" s="922"/>
      <c r="C95" s="922"/>
      <c r="D95" s="922"/>
      <c r="E95" s="922"/>
      <c r="F95" s="922"/>
      <c r="G95" s="922"/>
      <c r="H95" s="922"/>
      <c r="I95" s="922"/>
      <c r="J95" s="922"/>
      <c r="K95" s="922"/>
      <c r="L95" s="922"/>
      <c r="M95" s="922"/>
      <c r="N95" s="922"/>
      <c r="O95" s="922"/>
      <c r="P95" s="922"/>
    </row>
    <row r="96" spans="1:16">
      <c r="A96" s="922"/>
      <c r="B96" s="922"/>
      <c r="C96" s="922"/>
      <c r="D96" s="922"/>
      <c r="E96" s="922"/>
      <c r="F96" s="922"/>
      <c r="G96" s="922"/>
      <c r="H96" s="922"/>
      <c r="I96" s="922"/>
      <c r="J96" s="922"/>
      <c r="K96" s="922"/>
      <c r="L96" s="922"/>
      <c r="M96" s="922"/>
      <c r="N96" s="922"/>
      <c r="O96" s="922"/>
      <c r="P96" s="922"/>
    </row>
  </sheetData>
  <sheetProtection password="CC08" sheet="1" objects="1" scenarios="1"/>
  <mergeCells count="1">
    <mergeCell ref="D1:K1"/>
  </mergeCells>
  <phoneticPr fontId="5" type="noConversion"/>
  <pageMargins left="0.75" right="0.75" top="1" bottom="1" header="0.5" footer="0.5"/>
  <pageSetup scale="49" orientation="portrait" r:id="rId1"/>
  <headerFooter alignWithMargins="0"/>
  <drawing r:id="rId2"/>
  <legacyDrawing r:id="rId3"/>
  <controls>
    <control shapeId="81045" r:id="rId4" name="MainMenu"/>
    <control shapeId="81044" r:id="rId5" name="CommandButton3"/>
    <control shapeId="81043" r:id="rId6" name="CommandButton2"/>
    <control shapeId="81042" r:id="rId7" name="CommandButton1"/>
    <control shapeId="81041" r:id="rId8" name="Ftest"/>
    <control shapeId="81040" r:id="rId9" name="LeveneT"/>
    <control shapeId="81039" r:id="rId10" name="Bartlett"/>
    <control shapeId="81029" r:id="rId11" name="studentt"/>
    <control shapeId="81028" r:id="rId12" name="Ztest"/>
    <control shapeId="81024" r:id="rId13" name="pairst"/>
    <control shapeId="81022" r:id="rId14" name="Mannwhitney"/>
    <control shapeId="81021" r:id="rId15" name="wilcoxin"/>
    <control shapeId="81014" r:id="rId16" name="kruskalwallis"/>
    <control shapeId="81013" r:id="rId17" name="Moods"/>
    <control shapeId="81008" r:id="rId18" name="onewayanova"/>
    <control shapeId="80993" r:id="rId19" name="regression"/>
    <control shapeId="80988" r:id="rId20" name="Fisher"/>
    <control shapeId="80987" r:id="rId21" name="chisquare"/>
    <control shapeId="80984" r:id="rId22" name="chi2"/>
    <control shapeId="80983" r:id="rId23" name="poisson"/>
    <control shapeId="80980" r:id="rId24" name="Binomial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4">
    <pageSetUpPr fitToPage="1"/>
  </sheetPr>
  <dimension ref="A1:P57"/>
  <sheetViews>
    <sheetView showGridLines="0" zoomScale="98" workbookViewId="0">
      <selection activeCell="M4" sqref="M4"/>
    </sheetView>
  </sheetViews>
  <sheetFormatPr defaultRowHeight="12.75"/>
  <cols>
    <col min="1" max="1" width="9" customWidth="1"/>
    <col min="2" max="2" width="2.7109375" customWidth="1"/>
    <col min="3" max="3" width="19.140625" customWidth="1"/>
    <col min="4" max="4" width="16.140625" customWidth="1"/>
    <col min="5" max="5" width="21.28515625" customWidth="1"/>
    <col min="6" max="6" width="4.5703125" customWidth="1"/>
    <col min="7" max="7" width="10.5703125" customWidth="1"/>
    <col min="10" max="10" width="20.140625" customWidth="1"/>
    <col min="15" max="15" width="15.42578125" customWidth="1"/>
  </cols>
  <sheetData>
    <row r="1" spans="1:16" ht="25.5">
      <c r="A1" s="922"/>
      <c r="B1" s="922"/>
      <c r="C1" s="922"/>
      <c r="D1" s="1465" t="s">
        <v>1343</v>
      </c>
      <c r="E1" s="1466"/>
      <c r="F1" s="1466"/>
      <c r="G1" s="1466"/>
      <c r="H1" s="1466"/>
      <c r="I1" s="1466"/>
      <c r="J1" s="1466"/>
      <c r="K1" s="1466"/>
      <c r="L1" s="1466"/>
      <c r="M1" s="922"/>
      <c r="N1" s="922"/>
      <c r="O1" s="922"/>
      <c r="P1" s="922"/>
    </row>
    <row r="2" spans="1:16">
      <c r="A2" s="922"/>
      <c r="B2" s="922"/>
      <c r="C2" s="922"/>
      <c r="D2" s="922"/>
      <c r="E2" s="922"/>
      <c r="F2" s="922"/>
      <c r="G2" s="922"/>
      <c r="H2" s="922"/>
      <c r="I2" s="922"/>
      <c r="J2" s="922"/>
      <c r="K2" s="922"/>
      <c r="L2" s="922"/>
      <c r="M2" s="922"/>
      <c r="N2" s="922"/>
      <c r="O2" s="922"/>
      <c r="P2" s="922"/>
    </row>
    <row r="3" spans="1:16">
      <c r="A3" s="922"/>
      <c r="B3" s="922"/>
      <c r="C3" s="922"/>
      <c r="D3" s="922"/>
      <c r="E3" s="922"/>
      <c r="F3" s="922"/>
      <c r="G3" s="922"/>
      <c r="H3" s="922"/>
      <c r="I3" s="922"/>
      <c r="J3" s="922"/>
      <c r="K3" s="922"/>
      <c r="L3" s="922"/>
      <c r="M3" s="922"/>
      <c r="N3" s="922"/>
      <c r="O3" s="922"/>
      <c r="P3" s="922"/>
    </row>
    <row r="4" spans="1:16">
      <c r="A4" s="922"/>
      <c r="B4" s="922"/>
      <c r="C4" s="922"/>
      <c r="D4" s="922"/>
      <c r="E4" s="922"/>
      <c r="F4" s="922"/>
      <c r="G4" s="922"/>
      <c r="H4" s="922"/>
      <c r="I4" s="922"/>
      <c r="J4" s="922"/>
      <c r="K4" s="922"/>
      <c r="L4" s="922"/>
      <c r="M4" s="922"/>
      <c r="N4" s="922"/>
      <c r="O4" s="922"/>
      <c r="P4" s="922"/>
    </row>
    <row r="5" spans="1:16">
      <c r="A5" s="922"/>
      <c r="B5" s="922"/>
      <c r="C5" s="922"/>
      <c r="D5" s="922"/>
      <c r="E5" s="922"/>
      <c r="F5" s="922"/>
      <c r="G5" s="922"/>
      <c r="H5" s="922"/>
      <c r="I5" s="922"/>
      <c r="J5" s="922"/>
      <c r="K5" s="922"/>
      <c r="L5" s="922"/>
      <c r="M5" s="922"/>
      <c r="N5" s="922"/>
      <c r="O5" s="922"/>
      <c r="P5" s="922"/>
    </row>
    <row r="6" spans="1:16">
      <c r="A6" s="922"/>
      <c r="B6" s="922"/>
      <c r="C6" s="922"/>
      <c r="D6" s="922"/>
      <c r="E6" s="922"/>
      <c r="F6" s="922"/>
      <c r="G6" s="922"/>
      <c r="H6" s="922"/>
      <c r="I6" s="922"/>
      <c r="J6" s="922"/>
      <c r="K6" s="922"/>
      <c r="L6" s="922"/>
      <c r="M6" s="922"/>
      <c r="N6" s="922"/>
      <c r="O6" s="922"/>
      <c r="P6" s="922"/>
    </row>
    <row r="7" spans="1:16">
      <c r="A7" s="922"/>
      <c r="B7" s="922"/>
      <c r="C7" s="922"/>
      <c r="D7" s="922"/>
      <c r="E7" s="922"/>
      <c r="F7" s="922"/>
      <c r="G7" s="922"/>
      <c r="H7" s="922"/>
      <c r="I7" s="922"/>
      <c r="J7" s="922"/>
      <c r="K7" s="922"/>
      <c r="L7" s="922"/>
      <c r="M7" s="922"/>
      <c r="N7" s="922"/>
      <c r="O7" s="922"/>
      <c r="P7" s="922"/>
    </row>
    <row r="8" spans="1:16">
      <c r="A8" s="922"/>
      <c r="B8" s="922"/>
      <c r="C8" s="922"/>
      <c r="D8" s="922"/>
      <c r="E8" s="922"/>
      <c r="F8" s="922"/>
      <c r="G8" s="922"/>
      <c r="H8" s="922"/>
      <c r="I8" s="922"/>
      <c r="J8" s="922"/>
      <c r="K8" s="922"/>
      <c r="L8" s="922"/>
      <c r="M8" s="922"/>
      <c r="N8" s="922"/>
      <c r="O8" s="922"/>
      <c r="P8" s="922"/>
    </row>
    <row r="9" spans="1:16">
      <c r="A9" s="922"/>
      <c r="B9" s="922"/>
      <c r="C9" s="922"/>
      <c r="D9" s="922"/>
      <c r="E9" s="922"/>
      <c r="F9" s="922"/>
      <c r="G9" s="922"/>
      <c r="H9" s="922"/>
      <c r="I9" s="922"/>
      <c r="J9" s="922"/>
      <c r="K9" s="922"/>
      <c r="L9" s="922"/>
      <c r="M9" s="922"/>
      <c r="N9" s="922"/>
      <c r="O9" s="922"/>
      <c r="P9" s="922"/>
    </row>
    <row r="10" spans="1:16">
      <c r="A10" s="922"/>
      <c r="B10" s="922"/>
      <c r="C10" s="922"/>
      <c r="D10" s="922"/>
      <c r="E10" s="922"/>
      <c r="F10" s="922"/>
      <c r="G10" s="922"/>
      <c r="H10" s="922"/>
      <c r="I10" s="922"/>
      <c r="J10" s="922"/>
      <c r="K10" s="922"/>
      <c r="L10" s="922"/>
      <c r="M10" s="922"/>
      <c r="N10" s="922"/>
      <c r="O10" s="922"/>
      <c r="P10" s="922"/>
    </row>
    <row r="11" spans="1:16">
      <c r="A11" s="922"/>
      <c r="B11" s="922"/>
      <c r="C11" s="922"/>
      <c r="D11" s="922"/>
      <c r="E11" s="922"/>
      <c r="F11" s="922"/>
      <c r="G11" s="922"/>
      <c r="H11" s="922"/>
      <c r="I11" s="922"/>
      <c r="J11" s="922"/>
      <c r="K11" s="922"/>
      <c r="L11" s="922"/>
      <c r="M11" s="922"/>
      <c r="N11" s="922"/>
      <c r="O11" s="922"/>
      <c r="P11" s="922"/>
    </row>
    <row r="12" spans="1:16">
      <c r="A12" s="922"/>
      <c r="B12" s="922"/>
      <c r="C12" s="922"/>
      <c r="D12" s="922"/>
      <c r="E12" s="922"/>
      <c r="F12" s="922"/>
      <c r="G12" s="922"/>
      <c r="H12" s="922"/>
      <c r="I12" s="922"/>
      <c r="J12" s="922"/>
      <c r="K12" s="922"/>
      <c r="L12" s="922"/>
      <c r="M12" s="922"/>
      <c r="N12" s="922"/>
      <c r="O12" s="922"/>
      <c r="P12" s="922"/>
    </row>
    <row r="13" spans="1:16">
      <c r="A13" s="922"/>
      <c r="B13" s="922"/>
      <c r="C13" s="922"/>
      <c r="D13" s="922"/>
      <c r="E13" s="922"/>
      <c r="F13" s="922"/>
      <c r="G13" s="922"/>
      <c r="H13" s="922"/>
      <c r="I13" s="922"/>
      <c r="J13" s="922"/>
      <c r="K13" s="922"/>
      <c r="L13" s="922"/>
      <c r="M13" s="922"/>
      <c r="N13" s="922"/>
      <c r="O13" s="922"/>
      <c r="P13" s="922"/>
    </row>
    <row r="14" spans="1:16">
      <c r="A14" s="922"/>
      <c r="B14" s="922"/>
      <c r="C14" s="922"/>
      <c r="D14" s="922"/>
      <c r="E14" s="922"/>
      <c r="F14" s="922"/>
      <c r="G14" s="922"/>
      <c r="H14" s="922"/>
      <c r="I14" s="922"/>
      <c r="J14" s="922"/>
      <c r="K14" s="922"/>
      <c r="L14" s="922"/>
      <c r="M14" s="922"/>
      <c r="N14" s="922"/>
      <c r="O14" s="922"/>
      <c r="P14" s="922"/>
    </row>
    <row r="15" spans="1:16">
      <c r="A15" s="922"/>
      <c r="B15" s="922"/>
      <c r="C15" s="922"/>
      <c r="D15" s="922"/>
      <c r="E15" s="922"/>
      <c r="F15" s="922"/>
      <c r="G15" s="922"/>
      <c r="H15" s="922"/>
      <c r="I15" s="922"/>
      <c r="J15" s="922"/>
      <c r="K15" s="922"/>
      <c r="L15" s="922"/>
      <c r="M15" s="922"/>
      <c r="N15" s="922"/>
      <c r="O15" s="922"/>
      <c r="P15" s="922"/>
    </row>
    <row r="16" spans="1:16">
      <c r="A16" s="922"/>
      <c r="B16" s="922"/>
      <c r="C16" s="922"/>
      <c r="D16" s="922"/>
      <c r="E16" s="922"/>
      <c r="F16" s="922"/>
      <c r="G16" s="922"/>
      <c r="H16" s="922"/>
      <c r="I16" s="922"/>
      <c r="J16" s="922"/>
      <c r="K16" s="922"/>
      <c r="L16" s="922"/>
      <c r="M16" s="922"/>
      <c r="N16" s="922"/>
      <c r="O16" s="922"/>
      <c r="P16" s="922"/>
    </row>
    <row r="17" spans="1:16">
      <c r="A17" s="922"/>
      <c r="B17" s="922"/>
      <c r="C17" s="922"/>
      <c r="D17" s="922"/>
      <c r="E17" s="922"/>
      <c r="F17" s="922"/>
      <c r="G17" s="922"/>
      <c r="H17" s="922"/>
      <c r="I17" s="922"/>
      <c r="J17" s="922"/>
      <c r="K17" s="922"/>
      <c r="L17" s="922"/>
      <c r="M17" s="922"/>
      <c r="N17" s="922"/>
      <c r="O17" s="922"/>
      <c r="P17" s="922"/>
    </row>
    <row r="18" spans="1:16">
      <c r="A18" s="922"/>
      <c r="B18" s="922"/>
      <c r="C18" s="922"/>
      <c r="D18" s="922"/>
      <c r="E18" s="922"/>
      <c r="F18" s="922"/>
      <c r="G18" s="922"/>
      <c r="H18" s="922"/>
      <c r="I18" s="922"/>
      <c r="J18" s="922"/>
      <c r="K18" s="922"/>
      <c r="L18" s="922"/>
      <c r="M18" s="922"/>
      <c r="N18" s="922"/>
      <c r="O18" s="922"/>
      <c r="P18" s="922"/>
    </row>
    <row r="19" spans="1:16">
      <c r="A19" s="922"/>
      <c r="B19" s="922"/>
      <c r="C19" s="922"/>
      <c r="D19" s="922"/>
      <c r="E19" s="922"/>
      <c r="F19" s="922"/>
      <c r="G19" s="922"/>
      <c r="H19" s="922"/>
      <c r="I19" s="922"/>
      <c r="J19" s="922"/>
      <c r="K19" s="922"/>
      <c r="L19" s="922"/>
      <c r="M19" s="922"/>
      <c r="N19" s="922"/>
      <c r="O19" s="922"/>
      <c r="P19" s="922"/>
    </row>
    <row r="20" spans="1:16">
      <c r="A20" s="922"/>
      <c r="B20" s="922"/>
      <c r="C20" s="922"/>
      <c r="D20" s="922"/>
      <c r="E20" s="922"/>
      <c r="F20" s="922"/>
      <c r="G20" s="922"/>
      <c r="H20" s="922"/>
      <c r="I20" s="922"/>
      <c r="J20" s="922"/>
      <c r="K20" s="922"/>
      <c r="L20" s="922"/>
      <c r="M20" s="922"/>
      <c r="N20" s="922"/>
      <c r="O20" s="922"/>
      <c r="P20" s="922"/>
    </row>
    <row r="21" spans="1:16">
      <c r="A21" s="922"/>
      <c r="B21" s="922"/>
      <c r="C21" s="922"/>
      <c r="D21" s="922"/>
      <c r="E21" s="922"/>
      <c r="F21" s="922"/>
      <c r="G21" s="922"/>
      <c r="H21" s="922"/>
      <c r="I21" s="922"/>
      <c r="J21" s="922"/>
      <c r="K21" s="922"/>
      <c r="L21" s="922"/>
      <c r="M21" s="922"/>
      <c r="N21" s="922"/>
      <c r="O21" s="922"/>
      <c r="P21" s="922"/>
    </row>
    <row r="22" spans="1:16">
      <c r="A22" s="922"/>
      <c r="B22" s="922"/>
      <c r="C22" s="922"/>
      <c r="D22" s="922"/>
      <c r="E22" s="922"/>
      <c r="F22" s="922"/>
      <c r="G22" s="922"/>
      <c r="H22" s="922"/>
      <c r="I22" s="922"/>
      <c r="J22" s="922"/>
      <c r="K22" s="922"/>
      <c r="L22" s="922"/>
      <c r="M22" s="922"/>
      <c r="N22" s="922"/>
      <c r="O22" s="922"/>
      <c r="P22" s="922"/>
    </row>
    <row r="23" spans="1:16">
      <c r="A23" s="922"/>
      <c r="B23" s="922"/>
      <c r="C23" s="922"/>
      <c r="D23" s="922"/>
      <c r="E23" s="922"/>
      <c r="F23" s="922"/>
      <c r="G23" s="922"/>
      <c r="H23" s="922"/>
      <c r="I23" s="922"/>
      <c r="J23" s="922"/>
      <c r="K23" s="922"/>
      <c r="L23" s="922"/>
      <c r="M23" s="922"/>
      <c r="N23" s="922"/>
      <c r="O23" s="922"/>
      <c r="P23" s="922"/>
    </row>
    <row r="24" spans="1:16">
      <c r="A24" s="922"/>
      <c r="B24" s="922"/>
      <c r="C24" s="922"/>
      <c r="D24" s="922"/>
      <c r="E24" s="922"/>
      <c r="F24" s="922"/>
      <c r="G24" s="922"/>
      <c r="H24" s="922"/>
      <c r="I24" s="922"/>
      <c r="J24" s="922"/>
      <c r="K24" s="922"/>
      <c r="L24" s="922"/>
      <c r="M24" s="922"/>
      <c r="N24" s="922"/>
      <c r="O24" s="922"/>
      <c r="P24" s="922"/>
    </row>
    <row r="25" spans="1:16">
      <c r="A25" s="922"/>
      <c r="B25" s="922"/>
      <c r="C25" s="922"/>
      <c r="D25" s="922"/>
      <c r="E25" s="922"/>
      <c r="F25" s="922"/>
      <c r="G25" s="922"/>
      <c r="H25" s="922"/>
      <c r="I25" s="922"/>
      <c r="J25" s="922"/>
      <c r="K25" s="922"/>
      <c r="L25" s="922"/>
      <c r="M25" s="922"/>
      <c r="N25" s="922"/>
      <c r="O25" s="922"/>
      <c r="P25" s="922"/>
    </row>
    <row r="26" spans="1:16">
      <c r="A26" s="922"/>
      <c r="B26" s="922"/>
      <c r="C26" s="922"/>
      <c r="D26" s="922"/>
      <c r="E26" s="922"/>
      <c r="F26" s="922"/>
      <c r="G26" s="922"/>
      <c r="H26" s="922"/>
      <c r="I26" s="922"/>
      <c r="J26" s="922"/>
      <c r="K26" s="922"/>
      <c r="L26" s="922"/>
      <c r="M26" s="922"/>
      <c r="N26" s="922"/>
      <c r="O26" s="922"/>
      <c r="P26" s="922"/>
    </row>
    <row r="27" spans="1:16">
      <c r="A27" s="922"/>
      <c r="B27" s="922"/>
      <c r="C27" s="922"/>
      <c r="D27" s="922"/>
      <c r="E27" s="922"/>
      <c r="F27" s="922"/>
      <c r="G27" s="922"/>
      <c r="H27" s="922"/>
      <c r="I27" s="922"/>
      <c r="J27" s="922"/>
      <c r="K27" s="922"/>
      <c r="L27" s="922"/>
      <c r="M27" s="922"/>
      <c r="N27" s="922"/>
      <c r="O27" s="922"/>
      <c r="P27" s="922"/>
    </row>
    <row r="28" spans="1:16">
      <c r="A28" s="922"/>
      <c r="B28" s="922"/>
      <c r="C28" s="922"/>
      <c r="D28" s="922"/>
      <c r="E28" s="922"/>
      <c r="F28" s="922"/>
      <c r="G28" s="922"/>
      <c r="H28" s="922"/>
      <c r="I28" s="922"/>
      <c r="J28" s="922"/>
      <c r="K28" s="922"/>
      <c r="L28" s="922"/>
      <c r="M28" s="922"/>
      <c r="N28" s="922"/>
      <c r="O28" s="922"/>
      <c r="P28" s="922"/>
    </row>
    <row r="29" spans="1:16">
      <c r="A29" s="922"/>
      <c r="B29" s="922"/>
      <c r="C29" s="922"/>
      <c r="D29" s="922"/>
      <c r="E29" s="922"/>
      <c r="F29" s="922"/>
      <c r="G29" s="922"/>
      <c r="H29" s="922"/>
      <c r="I29" s="922"/>
      <c r="J29" s="922"/>
      <c r="K29" s="922"/>
      <c r="L29" s="922"/>
      <c r="M29" s="922"/>
      <c r="N29" s="922"/>
      <c r="O29" s="922"/>
      <c r="P29" s="922"/>
    </row>
    <row r="30" spans="1:16">
      <c r="A30" s="922"/>
      <c r="B30" s="922"/>
      <c r="C30" s="922"/>
      <c r="D30" s="922"/>
      <c r="E30" s="922"/>
      <c r="F30" s="922"/>
      <c r="G30" s="922"/>
      <c r="H30" s="922"/>
      <c r="I30" s="922"/>
      <c r="J30" s="922"/>
      <c r="K30" s="922"/>
      <c r="L30" s="922"/>
      <c r="M30" s="922"/>
      <c r="N30" s="922"/>
      <c r="O30" s="922"/>
      <c r="P30" s="922"/>
    </row>
    <row r="31" spans="1:16">
      <c r="A31" s="922"/>
      <c r="B31" s="922"/>
      <c r="C31" s="922"/>
      <c r="D31" s="922"/>
      <c r="E31" s="922"/>
      <c r="F31" s="922"/>
      <c r="G31" s="922"/>
      <c r="H31" s="922"/>
      <c r="I31" s="922"/>
      <c r="J31" s="922"/>
      <c r="K31" s="922"/>
      <c r="L31" s="922"/>
      <c r="M31" s="922"/>
      <c r="N31" s="922"/>
      <c r="O31" s="922"/>
      <c r="P31" s="922"/>
    </row>
    <row r="32" spans="1:16">
      <c r="A32" s="922"/>
      <c r="B32" s="922"/>
      <c r="C32" s="922"/>
      <c r="D32" s="922"/>
      <c r="E32" s="922"/>
      <c r="F32" s="922"/>
      <c r="G32" s="922"/>
      <c r="H32" s="922"/>
      <c r="I32" s="922"/>
      <c r="J32" s="922"/>
      <c r="K32" s="922"/>
      <c r="L32" s="922"/>
      <c r="M32" s="922"/>
      <c r="N32" s="922"/>
      <c r="O32" s="922"/>
      <c r="P32" s="922"/>
    </row>
    <row r="33" spans="1:16">
      <c r="A33" s="922"/>
      <c r="B33" s="922"/>
      <c r="C33" s="922"/>
      <c r="D33" s="922"/>
      <c r="E33" s="922"/>
      <c r="F33" s="922"/>
      <c r="G33" s="922"/>
      <c r="H33" s="922"/>
      <c r="I33" s="922"/>
      <c r="J33" s="922"/>
      <c r="K33" s="922"/>
      <c r="L33" s="922"/>
      <c r="M33" s="922"/>
      <c r="N33" s="922"/>
      <c r="O33" s="922"/>
      <c r="P33" s="922"/>
    </row>
    <row r="34" spans="1:16">
      <c r="A34" s="922"/>
      <c r="B34" s="922"/>
      <c r="C34" s="922"/>
      <c r="D34" s="922"/>
      <c r="E34" s="922"/>
      <c r="F34" s="922"/>
      <c r="G34" s="922"/>
      <c r="H34" s="922"/>
      <c r="I34" s="922"/>
      <c r="J34" s="922"/>
      <c r="K34" s="922"/>
      <c r="L34" s="922"/>
      <c r="M34" s="922"/>
      <c r="N34" s="922"/>
      <c r="O34" s="922"/>
      <c r="P34" s="922"/>
    </row>
    <row r="35" spans="1:16">
      <c r="A35" s="922"/>
      <c r="B35" s="922"/>
      <c r="C35" s="922"/>
      <c r="D35" s="922"/>
      <c r="E35" s="922"/>
      <c r="F35" s="922"/>
      <c r="G35" s="922"/>
      <c r="H35" s="922"/>
      <c r="I35" s="922"/>
      <c r="J35" s="922"/>
      <c r="K35" s="922"/>
      <c r="L35" s="922"/>
      <c r="M35" s="922"/>
      <c r="N35" s="922"/>
      <c r="O35" s="922"/>
      <c r="P35" s="922"/>
    </row>
    <row r="36" spans="1:16">
      <c r="A36" s="922"/>
      <c r="B36" s="922"/>
      <c r="C36" s="922"/>
      <c r="D36" s="922"/>
      <c r="E36" s="922"/>
      <c r="F36" s="922"/>
      <c r="G36" s="922"/>
      <c r="H36" s="922"/>
      <c r="I36" s="922"/>
      <c r="J36" s="922"/>
      <c r="K36" s="922"/>
      <c r="L36" s="922"/>
      <c r="M36" s="922"/>
      <c r="N36" s="922"/>
      <c r="O36" s="922"/>
      <c r="P36" s="922"/>
    </row>
    <row r="37" spans="1:16">
      <c r="A37" s="922"/>
      <c r="B37" s="922"/>
      <c r="C37" s="922"/>
      <c r="D37" s="922"/>
      <c r="E37" s="922"/>
      <c r="F37" s="922"/>
      <c r="G37" s="922"/>
      <c r="H37" s="922"/>
      <c r="I37" s="922"/>
      <c r="J37" s="922"/>
      <c r="K37" s="922"/>
      <c r="L37" s="922"/>
      <c r="M37" s="922"/>
      <c r="N37" s="922"/>
      <c r="O37" s="922"/>
      <c r="P37" s="922"/>
    </row>
    <row r="38" spans="1:16">
      <c r="A38" s="922"/>
      <c r="B38" s="922"/>
      <c r="C38" s="922"/>
      <c r="D38" s="922"/>
      <c r="E38" s="922"/>
      <c r="F38" s="922"/>
      <c r="G38" s="922"/>
      <c r="H38" s="922"/>
      <c r="I38" s="922"/>
      <c r="J38" s="922"/>
      <c r="K38" s="922"/>
      <c r="L38" s="922"/>
      <c r="M38" s="922"/>
      <c r="N38" s="922"/>
      <c r="O38" s="922"/>
      <c r="P38" s="922"/>
    </row>
    <row r="39" spans="1:16">
      <c r="A39" s="922"/>
      <c r="B39" s="922"/>
      <c r="C39" s="922"/>
      <c r="D39" s="922"/>
      <c r="E39" s="922"/>
      <c r="F39" s="922"/>
      <c r="G39" s="922"/>
      <c r="H39" s="922"/>
      <c r="I39" s="922"/>
      <c r="J39" s="922"/>
      <c r="K39" s="922"/>
      <c r="L39" s="922"/>
      <c r="M39" s="922"/>
      <c r="N39" s="922"/>
      <c r="O39" s="922"/>
      <c r="P39" s="922"/>
    </row>
    <row r="40" spans="1:16">
      <c r="A40" s="922"/>
      <c r="B40" s="922"/>
      <c r="C40" s="922"/>
      <c r="D40" s="922"/>
      <c r="E40" s="922"/>
      <c r="F40" s="922"/>
      <c r="G40" s="922"/>
      <c r="H40" s="922"/>
      <c r="I40" s="922"/>
      <c r="J40" s="922"/>
      <c r="K40" s="922"/>
      <c r="L40" s="922"/>
      <c r="M40" s="922"/>
      <c r="N40" s="922"/>
      <c r="O40" s="922"/>
      <c r="P40" s="922"/>
    </row>
    <row r="41" spans="1:16">
      <c r="A41" s="922"/>
      <c r="B41" s="922"/>
      <c r="C41" s="922"/>
      <c r="D41" s="922"/>
      <c r="E41" s="922"/>
      <c r="F41" s="922"/>
      <c r="G41" s="922"/>
      <c r="H41" s="922"/>
      <c r="I41" s="922"/>
      <c r="J41" s="922"/>
      <c r="K41" s="922"/>
      <c r="L41" s="922"/>
      <c r="M41" s="922"/>
      <c r="N41" s="922"/>
      <c r="O41" s="922"/>
      <c r="P41" s="922"/>
    </row>
    <row r="42" spans="1:16">
      <c r="A42" s="922"/>
      <c r="B42" s="922"/>
      <c r="C42" s="922"/>
      <c r="D42" s="922"/>
      <c r="E42" s="922"/>
      <c r="F42" s="922"/>
      <c r="G42" s="922"/>
      <c r="H42" s="922"/>
      <c r="I42" s="922"/>
      <c r="J42" s="922"/>
      <c r="K42" s="922"/>
      <c r="L42" s="922"/>
      <c r="M42" s="922"/>
      <c r="N42" s="922"/>
      <c r="O42" s="922"/>
      <c r="P42" s="922"/>
    </row>
    <row r="43" spans="1:16">
      <c r="A43" s="922"/>
      <c r="B43" s="922"/>
      <c r="C43" s="922"/>
      <c r="D43" s="922"/>
      <c r="E43" s="922"/>
      <c r="F43" s="922"/>
      <c r="G43" s="922"/>
      <c r="H43" s="922"/>
      <c r="I43" s="922"/>
      <c r="J43" s="922"/>
      <c r="K43" s="922"/>
      <c r="L43" s="922"/>
      <c r="M43" s="922"/>
      <c r="N43" s="922"/>
      <c r="O43" s="922"/>
      <c r="P43" s="922"/>
    </row>
    <row r="44" spans="1:16">
      <c r="A44" s="922"/>
      <c r="B44" s="922"/>
      <c r="C44" s="922"/>
      <c r="D44" s="922"/>
      <c r="E44" s="922"/>
      <c r="F44" s="922"/>
      <c r="G44" s="922"/>
      <c r="H44" s="922"/>
      <c r="I44" s="922"/>
      <c r="J44" s="922"/>
      <c r="K44" s="922"/>
      <c r="L44" s="922"/>
      <c r="M44" s="922"/>
      <c r="N44" s="922"/>
      <c r="O44" s="922"/>
      <c r="P44" s="922"/>
    </row>
    <row r="45" spans="1:16">
      <c r="A45" s="922"/>
      <c r="B45" s="922"/>
      <c r="C45" s="922"/>
      <c r="D45" s="922"/>
      <c r="E45" s="922"/>
      <c r="F45" s="922"/>
      <c r="G45" s="922"/>
      <c r="H45" s="922"/>
      <c r="I45" s="922"/>
      <c r="J45" s="922"/>
      <c r="K45" s="922"/>
      <c r="L45" s="922"/>
      <c r="M45" s="922"/>
      <c r="N45" s="922"/>
      <c r="O45" s="922"/>
      <c r="P45" s="922"/>
    </row>
    <row r="46" spans="1:16">
      <c r="A46" s="922"/>
      <c r="B46" s="922"/>
      <c r="C46" s="922"/>
      <c r="D46" s="922"/>
      <c r="E46" s="922"/>
      <c r="F46" s="922"/>
      <c r="G46" s="922"/>
      <c r="H46" s="922"/>
      <c r="I46" s="922"/>
      <c r="J46" s="922"/>
      <c r="K46" s="922"/>
      <c r="L46" s="922"/>
      <c r="M46" s="922"/>
      <c r="N46" s="922"/>
      <c r="O46" s="922"/>
      <c r="P46" s="922"/>
    </row>
    <row r="47" spans="1:16">
      <c r="A47" s="922"/>
      <c r="B47" s="922"/>
      <c r="C47" s="922"/>
      <c r="D47" s="922"/>
      <c r="E47" s="922"/>
      <c r="F47" s="922"/>
      <c r="G47" s="922"/>
      <c r="H47" s="922"/>
      <c r="I47" s="922"/>
      <c r="J47" s="922"/>
      <c r="K47" s="922"/>
      <c r="L47" s="922"/>
      <c r="M47" s="922"/>
      <c r="N47" s="922"/>
      <c r="O47" s="922"/>
      <c r="P47" s="922"/>
    </row>
    <row r="48" spans="1:16">
      <c r="A48" s="922"/>
      <c r="B48" s="922"/>
      <c r="C48" s="922"/>
      <c r="D48" s="922"/>
      <c r="E48" s="922"/>
      <c r="F48" s="922"/>
      <c r="G48" s="922"/>
      <c r="H48" s="922"/>
      <c r="I48" s="922"/>
      <c r="J48" s="922"/>
      <c r="K48" s="922"/>
      <c r="L48" s="922"/>
      <c r="M48" s="922"/>
      <c r="N48" s="922"/>
      <c r="O48" s="922"/>
      <c r="P48" s="922"/>
    </row>
    <row r="49" spans="1:16">
      <c r="A49" s="922"/>
      <c r="B49" s="922"/>
      <c r="C49" s="922"/>
      <c r="D49" s="922"/>
      <c r="E49" s="922"/>
      <c r="F49" s="922"/>
      <c r="G49" s="922"/>
      <c r="H49" s="922"/>
      <c r="I49" s="922"/>
      <c r="J49" s="922"/>
      <c r="K49" s="922"/>
      <c r="L49" s="922"/>
      <c r="M49" s="922"/>
      <c r="N49" s="922"/>
      <c r="O49" s="922"/>
      <c r="P49" s="922"/>
    </row>
    <row r="50" spans="1:16">
      <c r="A50" s="922"/>
      <c r="B50" s="922"/>
      <c r="C50" s="922"/>
      <c r="D50" s="922"/>
      <c r="E50" s="922"/>
      <c r="F50" s="922"/>
      <c r="G50" s="922"/>
      <c r="H50" s="922"/>
      <c r="I50" s="922"/>
      <c r="J50" s="922"/>
      <c r="K50" s="922"/>
      <c r="L50" s="922"/>
      <c r="M50" s="922"/>
      <c r="N50" s="922"/>
      <c r="O50" s="922"/>
      <c r="P50" s="922"/>
    </row>
    <row r="51" spans="1:16">
      <c r="A51" s="922"/>
      <c r="B51" s="922"/>
      <c r="C51" s="922"/>
      <c r="D51" s="922"/>
      <c r="E51" s="922"/>
      <c r="F51" s="922"/>
      <c r="G51" s="922"/>
      <c r="H51" s="922"/>
      <c r="I51" s="922"/>
      <c r="J51" s="922"/>
      <c r="K51" s="922"/>
      <c r="L51" s="922"/>
      <c r="M51" s="922"/>
      <c r="N51" s="922"/>
      <c r="O51" s="922"/>
      <c r="P51" s="922"/>
    </row>
    <row r="52" spans="1:16">
      <c r="A52" s="922"/>
      <c r="B52" s="922"/>
      <c r="C52" s="922"/>
      <c r="D52" s="922"/>
      <c r="E52" s="922"/>
      <c r="F52" s="922"/>
      <c r="G52" s="922"/>
      <c r="H52" s="922"/>
      <c r="I52" s="922"/>
      <c r="J52" s="922"/>
      <c r="K52" s="922"/>
      <c r="L52" s="922"/>
      <c r="M52" s="922"/>
      <c r="N52" s="922"/>
      <c r="O52" s="922"/>
      <c r="P52" s="922"/>
    </row>
    <row r="53" spans="1:16">
      <c r="A53" s="922"/>
      <c r="B53" s="922"/>
      <c r="C53" s="922"/>
      <c r="D53" s="922"/>
      <c r="E53" s="922"/>
      <c r="F53" s="922"/>
      <c r="G53" s="922"/>
      <c r="H53" s="922"/>
      <c r="I53" s="922"/>
      <c r="J53" s="922"/>
      <c r="K53" s="922"/>
      <c r="L53" s="922"/>
      <c r="M53" s="922"/>
      <c r="N53" s="922"/>
      <c r="O53" s="922"/>
      <c r="P53" s="922"/>
    </row>
    <row r="54" spans="1:16">
      <c r="A54" s="922"/>
      <c r="B54" s="922"/>
      <c r="C54" s="922"/>
      <c r="D54" s="922"/>
      <c r="E54" s="922"/>
      <c r="F54" s="922"/>
      <c r="G54" s="922"/>
      <c r="H54" s="922"/>
      <c r="I54" s="922"/>
      <c r="J54" s="922"/>
      <c r="K54" s="922"/>
      <c r="L54" s="922"/>
      <c r="M54" s="922"/>
      <c r="N54" s="922"/>
      <c r="O54" s="922"/>
      <c r="P54" s="922"/>
    </row>
    <row r="55" spans="1:16">
      <c r="A55" s="922"/>
      <c r="B55" s="922"/>
      <c r="C55" s="922"/>
      <c r="D55" s="922"/>
      <c r="E55" s="922"/>
      <c r="F55" s="922"/>
      <c r="G55" s="922"/>
      <c r="H55" s="922"/>
      <c r="I55" s="922"/>
      <c r="J55" s="922"/>
      <c r="K55" s="922"/>
      <c r="L55" s="922"/>
      <c r="M55" s="922"/>
      <c r="N55" s="922"/>
      <c r="O55" s="922"/>
      <c r="P55" s="922"/>
    </row>
    <row r="56" spans="1:16">
      <c r="A56" s="922"/>
      <c r="B56" s="922"/>
      <c r="C56" s="922"/>
      <c r="D56" s="922"/>
      <c r="E56" s="922"/>
      <c r="F56" s="922"/>
      <c r="G56" s="922"/>
      <c r="H56" s="922"/>
      <c r="I56" s="922"/>
      <c r="J56" s="922"/>
      <c r="K56" s="922"/>
      <c r="L56" s="922"/>
      <c r="M56" s="922"/>
      <c r="N56" s="922"/>
      <c r="O56" s="922"/>
      <c r="P56" s="922"/>
    </row>
    <row r="57" spans="1:16">
      <c r="A57" s="922"/>
      <c r="B57" s="922"/>
      <c r="C57" s="922"/>
      <c r="D57" s="922"/>
      <c r="E57" s="922"/>
      <c r="F57" s="922"/>
      <c r="G57" s="922"/>
      <c r="H57" s="922"/>
      <c r="I57" s="922"/>
      <c r="J57" s="922"/>
      <c r="K57" s="922"/>
      <c r="L57" s="922"/>
      <c r="M57" s="922"/>
      <c r="N57" s="922"/>
      <c r="O57" s="922"/>
      <c r="P57" s="922"/>
    </row>
  </sheetData>
  <sheetProtection password="CC08" sheet="1" objects="1" scenarios="1"/>
  <mergeCells count="1">
    <mergeCell ref="D1:L1"/>
  </mergeCells>
  <phoneticPr fontId="5" type="noConversion"/>
  <pageMargins left="0.75" right="0.75" top="1" bottom="1" header="0.5" footer="0.5"/>
  <pageSetup scale="49" orientation="portrait" r:id="rId1"/>
  <headerFooter alignWithMargins="0"/>
  <drawing r:id="rId2"/>
  <legacyDrawing r:id="rId3"/>
  <controls>
    <control shapeId="83038" r:id="rId4" name="MainMenu"/>
    <control shapeId="83037" r:id="rId5" name="XbarR5"/>
    <control shapeId="83036" r:id="rId6" name="XbarR3"/>
    <control shapeId="83027" r:id="rId7" name="MMR"/>
    <control shapeId="83026" r:id="rId8" name="MIchart"/>
    <control shapeId="83025" r:id="rId9" name="runchart"/>
    <control shapeId="83024" r:id="rId10" name="IMR"/>
    <control shapeId="83023" r:id="rId11" name="XbarS"/>
    <control shapeId="82969" r:id="rId12" name="XbarR2"/>
    <control shapeId="82963" r:id="rId13" name="cchart"/>
    <control shapeId="82960" r:id="rId14" name="pchart"/>
    <control shapeId="82959" r:id="rId15" name="uchart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S61"/>
  <sheetViews>
    <sheetView showGridLines="0" workbookViewId="0">
      <selection activeCell="J18" sqref="J18"/>
    </sheetView>
  </sheetViews>
  <sheetFormatPr defaultRowHeight="12.75"/>
  <cols>
    <col min="1" max="1" width="4.7109375" style="43" customWidth="1"/>
    <col min="2" max="7" width="7.28515625" style="43" customWidth="1"/>
    <col min="8" max="8" width="6.42578125" style="43" bestFit="1" customWidth="1"/>
    <col min="9" max="10" width="7" style="43" bestFit="1" customWidth="1"/>
    <col min="11" max="11" width="6.28515625" style="43" customWidth="1"/>
    <col min="12" max="12" width="5" style="43" customWidth="1"/>
    <col min="13" max="15" width="9.140625" style="43"/>
    <col min="16" max="16" width="4.42578125" style="43" customWidth="1"/>
    <col min="17" max="16384" width="9.140625" style="43"/>
  </cols>
  <sheetData>
    <row r="1" spans="1:15">
      <c r="A1" s="33" t="s">
        <v>107</v>
      </c>
      <c r="B1" s="16"/>
      <c r="C1" s="16"/>
      <c r="D1" s="16"/>
      <c r="E1" s="27" t="s">
        <v>129</v>
      </c>
      <c r="F1" s="228"/>
      <c r="G1" s="229"/>
      <c r="H1" s="230"/>
      <c r="K1" s="1470" t="str">
        <f>IF(F1="","",F1)</f>
        <v/>
      </c>
      <c r="L1" s="1470"/>
      <c r="M1" s="1470"/>
      <c r="N1" s="1470"/>
      <c r="O1" s="1470"/>
    </row>
    <row r="2" spans="1:15">
      <c r="A2" s="16"/>
      <c r="B2" s="16"/>
      <c r="C2" s="16"/>
      <c r="D2" s="16"/>
      <c r="E2" s="27" t="s">
        <v>128</v>
      </c>
      <c r="F2" s="228"/>
      <c r="G2" s="229"/>
      <c r="H2" s="230"/>
      <c r="K2" s="1470" t="str">
        <f>IF(F2="","",F2)</f>
        <v/>
      </c>
      <c r="L2" s="1470"/>
      <c r="M2" s="1470"/>
      <c r="N2" s="1470"/>
      <c r="O2" s="1470"/>
    </row>
    <row r="3" spans="1:15">
      <c r="B3" s="16"/>
      <c r="C3" s="16"/>
      <c r="D3" s="16"/>
      <c r="E3" s="27" t="s">
        <v>137</v>
      </c>
      <c r="F3" s="228"/>
      <c r="G3" s="229"/>
      <c r="H3" s="78"/>
      <c r="K3" s="1470" t="str">
        <f>IF(F3="","",F3&amp;":  "&amp;H3)</f>
        <v/>
      </c>
      <c r="L3" s="1470"/>
      <c r="M3" s="1470"/>
      <c r="N3" s="1470"/>
      <c r="O3" s="1470"/>
    </row>
    <row r="4" spans="1:15">
      <c r="A4"/>
      <c r="B4"/>
      <c r="C4" s="25"/>
      <c r="D4" s="25"/>
      <c r="E4" s="27" t="s">
        <v>130</v>
      </c>
      <c r="F4" s="231"/>
      <c r="G4" s="229"/>
      <c r="H4" s="230"/>
      <c r="K4" s="1471" t="str">
        <f>IF(F4="","",F4)</f>
        <v/>
      </c>
      <c r="L4" s="1471"/>
      <c r="M4" s="1471"/>
      <c r="N4" s="1471"/>
      <c r="O4" s="1471"/>
    </row>
    <row r="5" spans="1:15">
      <c r="A5" s="77" t="s">
        <v>143</v>
      </c>
      <c r="B5" s="1"/>
      <c r="C5" s="16"/>
      <c r="D5" s="16"/>
      <c r="E5" s="27" t="s">
        <v>131</v>
      </c>
      <c r="F5" s="226"/>
      <c r="G5" s="227"/>
      <c r="H5" s="232"/>
      <c r="K5" s="1470" t="str">
        <f>IF(I47=0,"","n = "&amp;I47)</f>
        <v/>
      </c>
      <c r="L5" s="1470"/>
      <c r="M5" s="1470"/>
      <c r="N5" s="1470"/>
      <c r="O5" s="1470"/>
    </row>
    <row r="6" spans="1:15">
      <c r="A6" s="1"/>
      <c r="B6" s="1"/>
      <c r="C6"/>
      <c r="D6"/>
      <c r="E6" s="27" t="s">
        <v>132</v>
      </c>
      <c r="F6" s="226"/>
      <c r="G6" s="227"/>
      <c r="H6" s="232"/>
    </row>
    <row r="7" spans="1:15" ht="13.5" thickBot="1">
      <c r="A7" s="1"/>
      <c r="B7" s="1"/>
      <c r="C7"/>
      <c r="D7"/>
      <c r="E7" s="27"/>
      <c r="F7" s="220"/>
      <c r="G7" s="220"/>
      <c r="H7" s="220"/>
    </row>
    <row r="8" spans="1:15" ht="13.5" thickBot="1">
      <c r="A8" s="32" t="s">
        <v>411</v>
      </c>
      <c r="C8" s="1"/>
      <c r="D8" s="205">
        <v>20</v>
      </c>
      <c r="E8" s="27"/>
      <c r="F8" s="220"/>
      <c r="G8" s="220"/>
      <c r="H8" s="222"/>
    </row>
    <row r="9" spans="1:15" ht="13.5" thickBot="1">
      <c r="A9" s="16" t="s">
        <v>412</v>
      </c>
      <c r="C9" s="16"/>
      <c r="D9" s="206">
        <f>COUNT(A14:A34)</f>
        <v>20</v>
      </c>
      <c r="E9" s="27"/>
      <c r="F9" s="220"/>
      <c r="G9" s="220"/>
      <c r="H9" s="220"/>
    </row>
    <row r="10" spans="1:15">
      <c r="D10" s="223"/>
      <c r="F10" s="221"/>
      <c r="G10" s="221"/>
      <c r="H10" s="221"/>
    </row>
    <row r="11" spans="1:15">
      <c r="M11" s="1470" t="s">
        <v>138</v>
      </c>
      <c r="N11" s="1470"/>
    </row>
    <row r="12" spans="1:15">
      <c r="B12" s="1472" t="s">
        <v>109</v>
      </c>
      <c r="C12" s="1472"/>
      <c r="D12" s="1473" t="s">
        <v>140</v>
      </c>
      <c r="E12" s="1473"/>
      <c r="F12" s="1473"/>
      <c r="G12" s="1473"/>
      <c r="M12" s="44" t="s">
        <v>148</v>
      </c>
      <c r="N12" s="44" t="s">
        <v>149</v>
      </c>
    </row>
    <row r="13" spans="1:15" ht="13.5" thickBot="1">
      <c r="A13" s="44" t="s">
        <v>113</v>
      </c>
      <c r="B13" s="45" t="s">
        <v>114</v>
      </c>
      <c r="C13" s="45" t="s">
        <v>115</v>
      </c>
      <c r="D13" s="50" t="s">
        <v>144</v>
      </c>
      <c r="E13" s="50" t="s">
        <v>145</v>
      </c>
      <c r="F13" s="50" t="s">
        <v>146</v>
      </c>
      <c r="G13" s="50" t="s">
        <v>147</v>
      </c>
      <c r="I13" s="1468" t="s">
        <v>139</v>
      </c>
      <c r="J13" s="1468"/>
      <c r="K13" s="1468"/>
      <c r="L13" s="46" t="s">
        <v>149</v>
      </c>
      <c r="M13" s="47" t="e">
        <f>F34</f>
        <v>#DIV/0!</v>
      </c>
      <c r="N13" s="54" t="e">
        <f>G34</f>
        <v>#DIV/0!</v>
      </c>
      <c r="O13" s="53" t="e">
        <f>SUM(M13:N13)</f>
        <v>#DIV/0!</v>
      </c>
    </row>
    <row r="14" spans="1:15" ht="13.5" thickTop="1">
      <c r="A14" s="43">
        <v>1</v>
      </c>
      <c r="B14" s="921"/>
      <c r="C14" s="921"/>
      <c r="D14" s="49" t="str">
        <f>IF(AND(B14="p",C14="p"),1,"")</f>
        <v/>
      </c>
      <c r="E14" s="49" t="str">
        <f>IF(AND(B14="F",C14="p"),1,"")</f>
        <v/>
      </c>
      <c r="F14" s="49" t="str">
        <f>IF(AND(B14="p",C14="f"),1,"")</f>
        <v/>
      </c>
      <c r="G14" s="49" t="str">
        <f>IF(AND(B14="f",C14="f"),1,"")</f>
        <v/>
      </c>
      <c r="I14" s="1468"/>
      <c r="J14" s="1468"/>
      <c r="K14" s="1468"/>
      <c r="L14" s="46" t="s">
        <v>148</v>
      </c>
      <c r="M14" s="54" t="e">
        <f>D34</f>
        <v>#DIV/0!</v>
      </c>
      <c r="N14" s="47" t="e">
        <f>E34</f>
        <v>#DIV/0!</v>
      </c>
      <c r="O14" s="53" t="e">
        <f>SUM(M14:N14)</f>
        <v>#DIV/0!</v>
      </c>
    </row>
    <row r="15" spans="1:15" ht="12.75" customHeight="1">
      <c r="A15" s="43">
        <v>2</v>
      </c>
      <c r="B15" s="921"/>
      <c r="C15" s="921"/>
      <c r="D15" s="49" t="str">
        <f t="shared" ref="D15:D33" si="0">IF(AND(B15="p",C15="p"),1,"")</f>
        <v/>
      </c>
      <c r="E15" s="49" t="str">
        <f t="shared" ref="E15:E33" si="1">IF(AND(B15="F",C15="p"),1,"")</f>
        <v/>
      </c>
      <c r="F15" s="49" t="str">
        <f t="shared" ref="F15:F33" si="2">IF(AND(B15="p",C15="f"),1,"")</f>
        <v/>
      </c>
      <c r="G15" s="49" t="str">
        <f t="shared" ref="G15:G33" si="3">IF(AND(B15="f",C15="f"),1,"")</f>
        <v/>
      </c>
      <c r="M15" s="52" t="e">
        <f>SUM(M13:M14)</f>
        <v>#DIV/0!</v>
      </c>
      <c r="N15" s="52" t="e">
        <f>SUM(N13:N14)</f>
        <v>#DIV/0!</v>
      </c>
    </row>
    <row r="16" spans="1:15">
      <c r="A16" s="43">
        <v>3</v>
      </c>
      <c r="B16" s="921"/>
      <c r="C16" s="921"/>
      <c r="D16" s="49" t="str">
        <f t="shared" si="0"/>
        <v/>
      </c>
      <c r="E16" s="49" t="str">
        <f t="shared" si="1"/>
        <v/>
      </c>
      <c r="F16" s="49" t="str">
        <f t="shared" si="2"/>
        <v/>
      </c>
      <c r="G16" s="49" t="str">
        <f t="shared" si="3"/>
        <v/>
      </c>
    </row>
    <row r="17" spans="1:19">
      <c r="A17" s="43">
        <v>4</v>
      </c>
      <c r="B17" s="921"/>
      <c r="C17" s="921"/>
      <c r="D17" s="49" t="str">
        <f t="shared" si="0"/>
        <v/>
      </c>
      <c r="E17" s="49" t="str">
        <f t="shared" si="1"/>
        <v/>
      </c>
      <c r="F17" s="49" t="str">
        <f t="shared" si="2"/>
        <v/>
      </c>
      <c r="G17" s="49" t="str">
        <f t="shared" si="3"/>
        <v/>
      </c>
      <c r="M17" s="70" t="s">
        <v>141</v>
      </c>
      <c r="N17" s="71" t="e">
        <f>((M14+N13)-((M15*O14)+(N15*O13)))/(1-((M15*O14)+(N15*O13)))</f>
        <v>#DIV/0!</v>
      </c>
    </row>
    <row r="18" spans="1:19">
      <c r="A18" s="43">
        <v>5</v>
      </c>
      <c r="B18" s="921"/>
      <c r="C18" s="921"/>
      <c r="D18" s="49" t="str">
        <f t="shared" si="0"/>
        <v/>
      </c>
      <c r="E18" s="49" t="str">
        <f t="shared" si="1"/>
        <v/>
      </c>
      <c r="F18" s="49" t="str">
        <f t="shared" si="2"/>
        <v/>
      </c>
      <c r="G18" s="49" t="str">
        <f t="shared" si="3"/>
        <v/>
      </c>
    </row>
    <row r="19" spans="1:19">
      <c r="A19" s="43">
        <v>6</v>
      </c>
      <c r="B19" s="921"/>
      <c r="C19" s="921"/>
      <c r="D19" s="49" t="str">
        <f t="shared" si="0"/>
        <v/>
      </c>
      <c r="E19" s="49" t="str">
        <f t="shared" si="1"/>
        <v/>
      </c>
      <c r="F19" s="49" t="str">
        <f t="shared" si="2"/>
        <v/>
      </c>
      <c r="G19" s="49" t="str">
        <f t="shared" si="3"/>
        <v/>
      </c>
      <c r="J19" s="55"/>
      <c r="K19" s="56"/>
      <c r="L19" s="56"/>
      <c r="M19" s="56"/>
      <c r="N19" s="56"/>
      <c r="O19" s="57"/>
    </row>
    <row r="20" spans="1:19">
      <c r="A20" s="43">
        <v>7</v>
      </c>
      <c r="B20" s="921"/>
      <c r="C20" s="921"/>
      <c r="D20" s="49" t="str">
        <f t="shared" si="0"/>
        <v/>
      </c>
      <c r="E20" s="49" t="str">
        <f t="shared" si="1"/>
        <v/>
      </c>
      <c r="F20" s="49" t="str">
        <f t="shared" si="2"/>
        <v/>
      </c>
      <c r="G20" s="49" t="str">
        <f t="shared" si="3"/>
        <v/>
      </c>
      <c r="J20" s="58"/>
      <c r="K20" s="59"/>
      <c r="L20" s="59"/>
      <c r="M20" s="59"/>
      <c r="N20" s="59"/>
      <c r="O20" s="60"/>
      <c r="S20" s="43">
        <f>29/30</f>
        <v>0.96666666666666667</v>
      </c>
    </row>
    <row r="21" spans="1:19">
      <c r="A21" s="43">
        <v>8</v>
      </c>
      <c r="B21" s="921"/>
      <c r="C21" s="921"/>
      <c r="D21" s="49" t="str">
        <f t="shared" si="0"/>
        <v/>
      </c>
      <c r="E21" s="49" t="str">
        <f t="shared" si="1"/>
        <v/>
      </c>
      <c r="F21" s="49" t="str">
        <f t="shared" si="2"/>
        <v/>
      </c>
      <c r="G21" s="49" t="str">
        <f t="shared" si="3"/>
        <v/>
      </c>
      <c r="J21" s="61"/>
      <c r="K21" s="59"/>
      <c r="L21" s="59"/>
      <c r="M21" s="59"/>
      <c r="N21" s="59"/>
      <c r="O21" s="60"/>
    </row>
    <row r="22" spans="1:19">
      <c r="A22" s="43">
        <v>9</v>
      </c>
      <c r="B22" s="921"/>
      <c r="C22" s="921"/>
      <c r="D22" s="49" t="str">
        <f t="shared" si="0"/>
        <v/>
      </c>
      <c r="E22" s="49" t="str">
        <f t="shared" si="1"/>
        <v/>
      </c>
      <c r="F22" s="49" t="str">
        <f t="shared" si="2"/>
        <v/>
      </c>
      <c r="G22" s="49" t="str">
        <f t="shared" si="3"/>
        <v/>
      </c>
      <c r="J22" s="1469" t="str">
        <f>IF(F6="","Measurement B",F6)</f>
        <v>Measurement B</v>
      </c>
      <c r="K22" s="62"/>
      <c r="L22" s="59"/>
      <c r="M22" s="59"/>
      <c r="N22" s="59"/>
      <c r="O22" s="60"/>
    </row>
    <row r="23" spans="1:19">
      <c r="A23" s="43">
        <v>10</v>
      </c>
      <c r="B23" s="921"/>
      <c r="C23" s="921"/>
      <c r="D23" s="49" t="str">
        <f t="shared" si="0"/>
        <v/>
      </c>
      <c r="E23" s="49" t="str">
        <f t="shared" si="1"/>
        <v/>
      </c>
      <c r="F23" s="49" t="str">
        <f t="shared" si="2"/>
        <v/>
      </c>
      <c r="G23" s="49" t="str">
        <f t="shared" si="3"/>
        <v/>
      </c>
      <c r="J23" s="1469"/>
      <c r="K23" s="63" t="s">
        <v>149</v>
      </c>
      <c r="L23" s="59"/>
      <c r="M23" s="59"/>
      <c r="N23" s="59"/>
      <c r="O23" s="60"/>
    </row>
    <row r="24" spans="1:19" ht="12.75" customHeight="1">
      <c r="A24" s="43">
        <v>11</v>
      </c>
      <c r="B24" s="921"/>
      <c r="C24" s="921"/>
      <c r="D24" s="49" t="str">
        <f t="shared" si="0"/>
        <v/>
      </c>
      <c r="E24" s="49" t="str">
        <f t="shared" si="1"/>
        <v/>
      </c>
      <c r="F24" s="49" t="str">
        <f t="shared" si="2"/>
        <v/>
      </c>
      <c r="G24" s="49" t="str">
        <f t="shared" si="3"/>
        <v/>
      </c>
      <c r="J24" s="1469"/>
      <c r="K24" s="64"/>
      <c r="L24" s="59"/>
      <c r="M24" s="59"/>
      <c r="N24" s="59"/>
      <c r="O24" s="60"/>
    </row>
    <row r="25" spans="1:19">
      <c r="A25" s="43">
        <v>12</v>
      </c>
      <c r="B25" s="921"/>
      <c r="C25" s="921"/>
      <c r="D25" s="49" t="str">
        <f t="shared" si="0"/>
        <v/>
      </c>
      <c r="E25" s="49" t="str">
        <f t="shared" si="1"/>
        <v/>
      </c>
      <c r="F25" s="49" t="str">
        <f t="shared" si="2"/>
        <v/>
      </c>
      <c r="G25" s="49" t="str">
        <f t="shared" si="3"/>
        <v/>
      </c>
      <c r="J25" s="1469"/>
      <c r="K25" s="64"/>
      <c r="L25" s="59"/>
      <c r="M25" s="59"/>
      <c r="N25" s="59"/>
      <c r="O25" s="60"/>
    </row>
    <row r="26" spans="1:19">
      <c r="A26" s="43">
        <v>13</v>
      </c>
      <c r="B26" s="921"/>
      <c r="C26" s="921"/>
      <c r="D26" s="49" t="str">
        <f t="shared" si="0"/>
        <v/>
      </c>
      <c r="E26" s="49" t="str">
        <f t="shared" si="1"/>
        <v/>
      </c>
      <c r="F26" s="49" t="str">
        <f t="shared" si="2"/>
        <v/>
      </c>
      <c r="G26" s="49" t="str">
        <f t="shared" si="3"/>
        <v/>
      </c>
      <c r="J26" s="1469"/>
      <c r="K26" s="64" t="s">
        <v>148</v>
      </c>
      <c r="L26" s="59"/>
      <c r="M26" s="59"/>
      <c r="N26" s="59"/>
      <c r="O26" s="60"/>
    </row>
    <row r="27" spans="1:19">
      <c r="A27" s="43">
        <v>14</v>
      </c>
      <c r="B27" s="921"/>
      <c r="C27" s="921"/>
      <c r="D27" s="49" t="str">
        <f t="shared" si="0"/>
        <v/>
      </c>
      <c r="E27" s="49" t="str">
        <f t="shared" si="1"/>
        <v/>
      </c>
      <c r="F27" s="49" t="str">
        <f t="shared" si="2"/>
        <v/>
      </c>
      <c r="G27" s="49" t="str">
        <f t="shared" si="3"/>
        <v/>
      </c>
      <c r="J27" s="1469"/>
      <c r="K27" s="59"/>
      <c r="L27" s="59"/>
      <c r="M27" s="59"/>
      <c r="N27" s="59"/>
      <c r="O27" s="60"/>
    </row>
    <row r="28" spans="1:19">
      <c r="A28" s="43">
        <v>15</v>
      </c>
      <c r="B28" s="921"/>
      <c r="C28" s="921"/>
      <c r="D28" s="49" t="str">
        <f t="shared" si="0"/>
        <v/>
      </c>
      <c r="E28" s="49" t="str">
        <f t="shared" si="1"/>
        <v/>
      </c>
      <c r="F28" s="49" t="str">
        <f t="shared" si="2"/>
        <v/>
      </c>
      <c r="G28" s="49" t="str">
        <f t="shared" si="3"/>
        <v/>
      </c>
      <c r="J28" s="61"/>
      <c r="K28" s="59"/>
      <c r="L28" s="59"/>
      <c r="M28" s="59"/>
      <c r="N28" s="59"/>
      <c r="O28" s="60"/>
    </row>
    <row r="29" spans="1:19">
      <c r="A29" s="43">
        <v>16</v>
      </c>
      <c r="B29" s="921"/>
      <c r="C29" s="921"/>
      <c r="D29" s="49" t="str">
        <f t="shared" si="0"/>
        <v/>
      </c>
      <c r="E29" s="49" t="str">
        <f t="shared" si="1"/>
        <v/>
      </c>
      <c r="F29" s="49" t="str">
        <f t="shared" si="2"/>
        <v/>
      </c>
      <c r="G29" s="49" t="str">
        <f t="shared" si="3"/>
        <v/>
      </c>
      <c r="J29" s="58"/>
      <c r="K29" s="59"/>
      <c r="L29" s="59"/>
      <c r="M29" s="59"/>
      <c r="N29" s="59"/>
      <c r="O29" s="60"/>
    </row>
    <row r="30" spans="1:19">
      <c r="A30" s="43">
        <v>17</v>
      </c>
      <c r="B30" s="921"/>
      <c r="C30" s="921"/>
      <c r="D30" s="49" t="str">
        <f t="shared" si="0"/>
        <v/>
      </c>
      <c r="E30" s="49" t="str">
        <f t="shared" si="1"/>
        <v/>
      </c>
      <c r="F30" s="49" t="str">
        <f t="shared" si="2"/>
        <v/>
      </c>
      <c r="G30" s="49" t="str">
        <f t="shared" si="3"/>
        <v/>
      </c>
      <c r="H30" s="52"/>
      <c r="J30" s="58"/>
      <c r="K30" s="59"/>
      <c r="L30" s="59"/>
      <c r="M30" s="65" t="s">
        <v>148</v>
      </c>
      <c r="N30" s="65" t="s">
        <v>149</v>
      </c>
      <c r="O30" s="60"/>
    </row>
    <row r="31" spans="1:19">
      <c r="A31" s="43">
        <v>18</v>
      </c>
      <c r="B31" s="921"/>
      <c r="C31" s="921"/>
      <c r="D31" s="49" t="str">
        <f t="shared" si="0"/>
        <v/>
      </c>
      <c r="E31" s="49" t="str">
        <f t="shared" si="1"/>
        <v/>
      </c>
      <c r="F31" s="49" t="str">
        <f t="shared" si="2"/>
        <v/>
      </c>
      <c r="G31" s="49" t="str">
        <f t="shared" si="3"/>
        <v/>
      </c>
      <c r="J31" s="58"/>
      <c r="K31" s="59"/>
      <c r="L31" s="59"/>
      <c r="M31" s="69"/>
      <c r="N31" s="69"/>
      <c r="O31" s="60"/>
    </row>
    <row r="32" spans="1:19">
      <c r="A32" s="43">
        <v>19</v>
      </c>
      <c r="B32" s="921"/>
      <c r="C32" s="921"/>
      <c r="D32" s="49" t="str">
        <f t="shared" si="0"/>
        <v/>
      </c>
      <c r="E32" s="49" t="str">
        <f t="shared" si="1"/>
        <v/>
      </c>
      <c r="F32" s="49" t="str">
        <f t="shared" si="2"/>
        <v/>
      </c>
      <c r="G32" s="49" t="str">
        <f t="shared" si="3"/>
        <v/>
      </c>
      <c r="J32" s="58"/>
      <c r="K32" s="59"/>
      <c r="L32" s="59"/>
      <c r="M32" s="1467" t="str">
        <f>IF(F5="","Measurement A",F5)</f>
        <v>Measurement A</v>
      </c>
      <c r="N32" s="1467"/>
      <c r="O32" s="60"/>
    </row>
    <row r="33" spans="1:15" ht="13.5" customHeight="1">
      <c r="A33" s="43">
        <v>20</v>
      </c>
      <c r="B33" s="921"/>
      <c r="C33" s="921"/>
      <c r="D33" s="49" t="str">
        <f t="shared" si="0"/>
        <v/>
      </c>
      <c r="E33" s="49" t="str">
        <f t="shared" si="1"/>
        <v/>
      </c>
      <c r="F33" s="49" t="str">
        <f t="shared" si="2"/>
        <v/>
      </c>
      <c r="G33" s="49" t="str">
        <f t="shared" si="3"/>
        <v/>
      </c>
      <c r="J33" s="66"/>
      <c r="K33" s="67"/>
      <c r="L33" s="67"/>
      <c r="M33" s="67"/>
      <c r="N33" s="67"/>
      <c r="O33" s="68"/>
    </row>
    <row r="34" spans="1:15">
      <c r="D34" s="51" t="e">
        <f>SUM(D14:D33)/COUNTA($B14:$B33)</f>
        <v>#DIV/0!</v>
      </c>
      <c r="E34" s="51" t="e">
        <f>SUM(E14:E33)/COUNTA($B14:$B33)</f>
        <v>#DIV/0!</v>
      </c>
      <c r="F34" s="51" t="e">
        <f>SUM(F14:F33)/COUNTA($B14:$B33)</f>
        <v>#DIV/0!</v>
      </c>
      <c r="G34" s="51" t="e">
        <f>SUM(G14:G33)/COUNTA($B14:$B33)</f>
        <v>#DIV/0!</v>
      </c>
    </row>
    <row r="47" spans="1:15">
      <c r="H47" s="48" t="s">
        <v>125</v>
      </c>
      <c r="I47" s="49">
        <f>COUNTA(B14:B33)</f>
        <v>0</v>
      </c>
    </row>
    <row r="48" spans="1:15">
      <c r="H48" s="48" t="s">
        <v>148</v>
      </c>
      <c r="I48" s="49" t="e">
        <f>COUNTIF(B14:B33,"p")/COUNTA(B14:B33)</f>
        <v>#DIV/0!</v>
      </c>
      <c r="J48" s="49" t="e">
        <f>COUNTIF(C14:C33,"p")/COUNTA(C14:C33)</f>
        <v>#DIV/0!</v>
      </c>
    </row>
    <row r="49" spans="8:10">
      <c r="H49" s="48" t="s">
        <v>149</v>
      </c>
      <c r="I49" s="49" t="e">
        <f>COUNTIF(B14:B33,"f")/COUNTA(B14:B33)</f>
        <v>#DIV/0!</v>
      </c>
      <c r="J49" s="49" t="e">
        <f>COUNTIF(C14:C33,"f")/COUNTA(C14:C33)</f>
        <v>#DIV/0!</v>
      </c>
    </row>
    <row r="54" spans="8:10" ht="13.5" thickBot="1">
      <c r="H54" s="72" t="s">
        <v>114</v>
      </c>
      <c r="I54" s="72" t="s">
        <v>115</v>
      </c>
      <c r="J54" s="72" t="s">
        <v>142</v>
      </c>
    </row>
    <row r="55" spans="8:10" ht="13.5" thickTop="1">
      <c r="H55" s="73">
        <v>1</v>
      </c>
      <c r="I55" s="73">
        <v>1</v>
      </c>
      <c r="J55" s="75" t="e">
        <f>M14</f>
        <v>#DIV/0!</v>
      </c>
    </row>
    <row r="56" spans="8:10">
      <c r="H56" s="74">
        <v>2</v>
      </c>
      <c r="I56" s="74">
        <v>1</v>
      </c>
      <c r="J56" s="76" t="e">
        <f>N14</f>
        <v>#DIV/0!</v>
      </c>
    </row>
    <row r="57" spans="8:10">
      <c r="H57" s="74">
        <v>1</v>
      </c>
      <c r="I57" s="74">
        <v>2</v>
      </c>
      <c r="J57" s="76" t="e">
        <f>M13</f>
        <v>#DIV/0!</v>
      </c>
    </row>
    <row r="58" spans="8:10">
      <c r="H58" s="74">
        <v>2</v>
      </c>
      <c r="I58" s="74">
        <v>2</v>
      </c>
      <c r="J58" s="76" t="e">
        <f>N13</f>
        <v>#DIV/0!</v>
      </c>
    </row>
    <row r="60" spans="8:10">
      <c r="H60" s="43" t="s">
        <v>150</v>
      </c>
    </row>
    <row r="61" spans="8:10">
      <c r="H61" s="43" t="s">
        <v>151</v>
      </c>
    </row>
  </sheetData>
  <sheetProtection password="CC08" sheet="1" scenarios="1"/>
  <protectedRanges>
    <protectedRange sqref="F1:H6 D8 B14:G65526" name="Range1"/>
  </protectedRanges>
  <mergeCells count="11">
    <mergeCell ref="B12:C12"/>
    <mergeCell ref="M11:N11"/>
    <mergeCell ref="D12:G12"/>
    <mergeCell ref="K5:O5"/>
    <mergeCell ref="M32:N32"/>
    <mergeCell ref="I13:K14"/>
    <mergeCell ref="J22:J27"/>
    <mergeCell ref="K1:O1"/>
    <mergeCell ref="K2:O2"/>
    <mergeCell ref="K3:O3"/>
    <mergeCell ref="K4:O4"/>
  </mergeCells>
  <phoneticPr fontId="5" type="noConversion"/>
  <printOptions horizontalCentered="1"/>
  <pageMargins left="0.75" right="0.75" top="1" bottom="1" header="0.5" footer="0.5"/>
  <pageSetup orientation="portrait" verticalDpi="300" r:id="rId1"/>
  <headerFooter alignWithMargins="0">
    <oddHeader xml:space="preserve">&amp;C&amp;"Times New Roman,Bold"&amp;12Measurement Discrimination Pass/Fail Data Kappa Test </oddHeader>
  </headerFooter>
  <colBreaks count="1" manualBreakCount="1">
    <brk id="8" max="1048575" man="1"/>
  </colBreaks>
  <drawing r:id="rId2"/>
  <legacyDrawing r:id="rId3"/>
  <oleObjects>
    <oleObject progId="Equation.DSMT4" shapeId="10241" r:id="rId4"/>
    <oleObject progId="Equation.DSMT4" shapeId="10243" r:id="rId5"/>
    <oleObject progId="Equation.3" shapeId="10249" r:id="rId6"/>
  </oleObjects>
  <controls>
    <control shapeId="10252" r:id="rId7" name="MainMenu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X50"/>
  <sheetViews>
    <sheetView showGridLines="0" workbookViewId="0">
      <selection activeCell="G7" sqref="G7"/>
    </sheetView>
  </sheetViews>
  <sheetFormatPr defaultRowHeight="12.75"/>
  <cols>
    <col min="1" max="1" width="19.140625" style="541" customWidth="1"/>
    <col min="2" max="2" width="9.42578125" style="541" bestFit="1" customWidth="1"/>
    <col min="3" max="16384" width="9.140625" style="541"/>
  </cols>
  <sheetData>
    <row r="1" spans="1:50">
      <c r="A1" s="1367"/>
      <c r="B1" s="1367"/>
      <c r="C1" s="1367"/>
      <c r="D1" s="1367"/>
      <c r="E1" s="1367"/>
      <c r="F1" s="1367"/>
      <c r="G1" s="1367"/>
      <c r="H1" s="1367"/>
      <c r="I1" s="1368" t="s">
        <v>158</v>
      </c>
      <c r="J1" s="1367"/>
      <c r="K1" s="1367"/>
      <c r="L1" s="1367"/>
      <c r="M1" s="1367"/>
      <c r="N1" s="1367"/>
      <c r="O1" s="1367"/>
      <c r="P1" s="1367"/>
      <c r="Q1" s="1367"/>
      <c r="R1" s="1367"/>
      <c r="S1" s="1367"/>
      <c r="T1" s="1367"/>
      <c r="U1" s="1367"/>
      <c r="V1" s="1367"/>
      <c r="W1" s="1367"/>
      <c r="X1" s="1367"/>
      <c r="Y1" s="1367"/>
      <c r="Z1" s="1367"/>
      <c r="AA1" s="1367"/>
      <c r="AB1" s="1367"/>
    </row>
    <row r="2" spans="1:50">
      <c r="A2" s="1367"/>
      <c r="B2" s="1369" t="s">
        <v>159</v>
      </c>
      <c r="C2" s="1367"/>
      <c r="D2" s="1367"/>
      <c r="E2" s="1367"/>
      <c r="F2" s="1367"/>
      <c r="G2" s="1367"/>
      <c r="H2" s="1367"/>
      <c r="I2" s="1370" t="s">
        <v>160</v>
      </c>
      <c r="J2" s="1367"/>
      <c r="K2" s="1367"/>
      <c r="L2" s="1367"/>
      <c r="M2" s="1367"/>
      <c r="N2" s="1367"/>
      <c r="O2" s="1367"/>
      <c r="P2" s="1367"/>
      <c r="Q2" s="1367"/>
      <c r="R2" s="1367"/>
      <c r="S2" s="1367"/>
      <c r="T2" s="1367"/>
      <c r="U2" s="1367"/>
      <c r="V2" s="1367"/>
      <c r="W2" s="1367"/>
      <c r="X2" s="1367"/>
      <c r="Y2" s="1367"/>
      <c r="Z2" s="1367"/>
      <c r="AA2" s="1367"/>
      <c r="AB2" s="1367"/>
    </row>
    <row r="3" spans="1:50">
      <c r="A3" s="1371" t="s">
        <v>161</v>
      </c>
      <c r="B3" s="1167"/>
      <c r="C3" s="1367"/>
      <c r="D3" s="1371" t="s">
        <v>162</v>
      </c>
      <c r="E3" s="1372"/>
      <c r="F3" s="1367"/>
      <c r="G3" s="1367"/>
      <c r="H3" s="1367"/>
      <c r="I3" s="1368" t="s">
        <v>163</v>
      </c>
      <c r="J3" s="1367"/>
      <c r="K3" s="1367"/>
      <c r="L3" s="1367"/>
      <c r="M3" s="1367"/>
      <c r="N3" s="1367"/>
      <c r="O3" s="1367"/>
      <c r="P3" s="1367"/>
      <c r="Q3" s="1367"/>
      <c r="R3" s="1367"/>
      <c r="S3" s="1367"/>
      <c r="T3" s="1367"/>
      <c r="U3" s="1367"/>
      <c r="V3" s="1367"/>
      <c r="W3" s="1367"/>
      <c r="X3" s="1367"/>
      <c r="Y3" s="1367"/>
      <c r="Z3" s="1367"/>
      <c r="AA3" s="1367"/>
      <c r="AB3" s="1367"/>
    </row>
    <row r="4" spans="1:50">
      <c r="A4" s="1374" t="s">
        <v>164</v>
      </c>
      <c r="B4" s="1168"/>
      <c r="C4" s="1367"/>
      <c r="D4" s="1367"/>
      <c r="E4" s="1367"/>
      <c r="F4" s="1367"/>
      <c r="G4" s="1367"/>
      <c r="H4" s="1367"/>
      <c r="I4" s="1370" t="s">
        <v>165</v>
      </c>
      <c r="J4" s="1367"/>
      <c r="K4" s="1367"/>
      <c r="L4" s="1367"/>
      <c r="M4" s="1367"/>
      <c r="N4" s="1367"/>
      <c r="O4" s="1367"/>
      <c r="P4" s="1367"/>
      <c r="Q4" s="1367"/>
      <c r="R4" s="1367"/>
      <c r="S4" s="1367"/>
      <c r="T4" s="1367"/>
      <c r="U4" s="1367"/>
      <c r="V4" s="1367"/>
      <c r="W4" s="1367"/>
      <c r="X4" s="1367"/>
      <c r="Y4" s="1367"/>
      <c r="Z4" s="1367"/>
      <c r="AA4" s="1367"/>
      <c r="AB4" s="1367"/>
    </row>
    <row r="5" spans="1:50">
      <c r="A5" s="1374" t="s">
        <v>166</v>
      </c>
      <c r="B5" s="1168"/>
      <c r="C5" s="1367"/>
      <c r="D5" s="1367"/>
      <c r="E5" s="1367"/>
      <c r="F5" s="1367"/>
      <c r="G5" s="1367"/>
      <c r="H5" s="1367"/>
      <c r="I5" s="1367"/>
      <c r="J5" s="1367"/>
      <c r="K5" s="1367"/>
      <c r="L5" s="1367"/>
      <c r="M5" s="1367"/>
      <c r="N5" s="1367"/>
      <c r="O5" s="1367"/>
      <c r="P5" s="1367"/>
      <c r="Q5" s="1367"/>
      <c r="R5" s="1367"/>
      <c r="S5" s="1367"/>
      <c r="T5" s="1367"/>
      <c r="U5" s="1367"/>
      <c r="V5" s="1367"/>
      <c r="W5" s="1367"/>
      <c r="X5" s="1367"/>
      <c r="Y5" s="1367"/>
      <c r="Z5" s="1367"/>
      <c r="AA5" s="1367"/>
      <c r="AB5" s="1367"/>
    </row>
    <row r="6" spans="1:50">
      <c r="A6" s="1367"/>
      <c r="B6" s="1367"/>
      <c r="C6" s="1367"/>
      <c r="D6" s="1367"/>
      <c r="E6" s="1373"/>
      <c r="F6" s="1373"/>
      <c r="G6" s="1373"/>
      <c r="H6" s="1370"/>
      <c r="I6" s="1370"/>
      <c r="J6" s="1370"/>
      <c r="K6" s="1367"/>
      <c r="L6" s="1367"/>
      <c r="M6" s="1367"/>
      <c r="N6" s="1367"/>
      <c r="O6" s="1367"/>
      <c r="P6" s="1367"/>
      <c r="Q6" s="1367"/>
      <c r="R6" s="1367"/>
      <c r="S6" s="1367"/>
      <c r="T6" s="1367"/>
      <c r="U6" s="1367"/>
      <c r="V6" s="1367"/>
      <c r="W6" s="1367"/>
      <c r="X6" s="1367"/>
      <c r="Y6" s="1367"/>
      <c r="Z6" s="1367"/>
      <c r="AA6" s="1367"/>
      <c r="AB6" s="1367"/>
    </row>
    <row r="7" spans="1:50">
      <c r="A7" s="1367"/>
      <c r="B7" s="1370"/>
      <c r="C7" s="1370"/>
      <c r="D7" s="1370"/>
      <c r="E7" s="1373"/>
      <c r="F7" s="1373"/>
      <c r="G7" s="1373"/>
      <c r="H7" s="1370"/>
      <c r="I7" s="1370"/>
      <c r="J7" s="1370"/>
      <c r="K7" s="1367"/>
      <c r="L7" s="1367"/>
      <c r="M7" s="1367"/>
      <c r="N7" s="1367"/>
      <c r="O7" s="1367"/>
      <c r="P7" s="1367"/>
      <c r="Q7" s="1367"/>
      <c r="R7" s="1367"/>
      <c r="S7" s="1367"/>
      <c r="T7" s="1367"/>
      <c r="U7" s="1367"/>
      <c r="V7" s="1367"/>
      <c r="W7" s="1367"/>
      <c r="X7" s="1367"/>
      <c r="Y7" s="1367"/>
      <c r="Z7" s="1367"/>
      <c r="AA7" s="1367"/>
      <c r="AB7" s="1367"/>
    </row>
    <row r="8" spans="1:50">
      <c r="A8" s="1165"/>
      <c r="B8" s="1365"/>
      <c r="C8" s="1365" t="s">
        <v>167</v>
      </c>
      <c r="D8" s="1365" t="s">
        <v>168</v>
      </c>
      <c r="E8" s="1365" t="s">
        <v>1389</v>
      </c>
      <c r="F8" s="1365" t="s">
        <v>1390</v>
      </c>
      <c r="G8" s="1170"/>
      <c r="H8" s="1170"/>
      <c r="I8" s="1170"/>
      <c r="J8" s="1170"/>
      <c r="K8" s="1170"/>
      <c r="L8" s="1170"/>
      <c r="M8" s="1170"/>
      <c r="N8" s="1171"/>
      <c r="O8" s="1171"/>
      <c r="P8" s="1171"/>
      <c r="Q8" s="1171"/>
      <c r="R8" s="1171"/>
      <c r="S8" s="1171"/>
      <c r="T8" s="1171"/>
      <c r="U8" s="1171"/>
      <c r="V8" s="1171"/>
      <c r="W8" s="1171"/>
      <c r="X8" s="1171"/>
      <c r="Y8" s="1171"/>
      <c r="Z8" s="1171"/>
      <c r="AA8" s="1171"/>
      <c r="AB8" s="1171"/>
      <c r="AC8" s="1171"/>
      <c r="AD8" s="1171"/>
      <c r="AE8" s="1171"/>
      <c r="AF8" s="1171"/>
      <c r="AG8" s="1171"/>
      <c r="AH8" s="1171"/>
      <c r="AI8" s="1171"/>
      <c r="AJ8" s="1171"/>
      <c r="AK8" s="1171"/>
      <c r="AL8" s="1171"/>
      <c r="AM8" s="1171"/>
      <c r="AN8" s="1171"/>
      <c r="AO8" s="1171"/>
      <c r="AP8" s="1171"/>
      <c r="AQ8" s="1171"/>
      <c r="AR8" s="1171"/>
      <c r="AS8" s="1171"/>
      <c r="AT8" s="1171"/>
      <c r="AU8" s="1171"/>
      <c r="AV8" s="1171"/>
      <c r="AW8" s="1171"/>
      <c r="AX8" s="1171"/>
    </row>
    <row r="9" spans="1:50">
      <c r="A9" s="1165"/>
      <c r="B9" s="1365" t="s">
        <v>169</v>
      </c>
      <c r="C9" s="1366"/>
      <c r="D9" s="1366"/>
      <c r="E9" s="1366"/>
      <c r="F9" s="1366"/>
      <c r="G9" s="1170"/>
      <c r="H9" s="1170"/>
      <c r="I9" s="1170"/>
      <c r="J9" s="1170"/>
      <c r="K9" s="1170"/>
      <c r="L9" s="1170"/>
      <c r="M9" s="1170"/>
      <c r="N9" s="1171"/>
      <c r="O9" s="1171"/>
      <c r="P9" s="1171"/>
      <c r="Q9" s="1171"/>
      <c r="R9" s="1171"/>
      <c r="S9" s="1171"/>
      <c r="T9" s="1171"/>
      <c r="U9" s="1171"/>
      <c r="V9" s="1171"/>
      <c r="W9" s="1171"/>
      <c r="X9" s="1171"/>
      <c r="Y9" s="1171"/>
      <c r="Z9" s="1171"/>
      <c r="AA9" s="1171"/>
      <c r="AB9" s="1171"/>
      <c r="AC9" s="1171"/>
      <c r="AD9" s="1171"/>
      <c r="AE9" s="1171"/>
      <c r="AF9" s="1171"/>
      <c r="AG9" s="1171"/>
      <c r="AH9" s="1171"/>
      <c r="AI9" s="1171"/>
      <c r="AJ9" s="1171"/>
      <c r="AK9" s="1171"/>
      <c r="AL9" s="1171"/>
      <c r="AM9" s="1171"/>
      <c r="AN9" s="1171"/>
      <c r="AO9" s="1171"/>
      <c r="AP9" s="1171"/>
      <c r="AQ9" s="1171"/>
      <c r="AR9" s="1171"/>
      <c r="AS9" s="1171"/>
      <c r="AT9" s="1171"/>
      <c r="AU9" s="1171"/>
      <c r="AV9" s="1171"/>
      <c r="AW9" s="1171"/>
      <c r="AX9" s="1171"/>
    </row>
    <row r="10" spans="1:50">
      <c r="A10" s="1165"/>
      <c r="B10" s="1365" t="s">
        <v>170</v>
      </c>
      <c r="C10" s="1366"/>
      <c r="D10" s="1366"/>
      <c r="E10" s="1366"/>
      <c r="F10" s="1366"/>
      <c r="G10" s="1170"/>
      <c r="H10" s="1170"/>
      <c r="I10" s="1170"/>
      <c r="J10" s="1170"/>
      <c r="K10" s="1170"/>
      <c r="L10" s="1170"/>
      <c r="M10" s="1170"/>
      <c r="N10" s="1171"/>
      <c r="O10" s="1171"/>
      <c r="P10" s="1171"/>
      <c r="Q10" s="1171"/>
      <c r="R10" s="1171"/>
      <c r="S10" s="1171"/>
      <c r="T10" s="1171"/>
      <c r="U10" s="1171"/>
      <c r="V10" s="1171"/>
      <c r="W10" s="1171"/>
      <c r="X10" s="1171"/>
      <c r="Y10" s="1171"/>
      <c r="Z10" s="1171"/>
      <c r="AA10" s="1171"/>
      <c r="AB10" s="1171"/>
      <c r="AC10" s="1171"/>
      <c r="AD10" s="1171"/>
      <c r="AE10" s="1171"/>
      <c r="AF10" s="1171"/>
      <c r="AG10" s="1171"/>
      <c r="AH10" s="1171"/>
      <c r="AI10" s="1171"/>
      <c r="AJ10" s="1171"/>
      <c r="AK10" s="1171"/>
      <c r="AL10" s="1171"/>
      <c r="AM10" s="1171"/>
      <c r="AN10" s="1171"/>
      <c r="AO10" s="1171"/>
      <c r="AP10" s="1171"/>
      <c r="AQ10" s="1171"/>
      <c r="AR10" s="1171"/>
      <c r="AS10" s="1171"/>
      <c r="AT10" s="1171"/>
      <c r="AU10" s="1171"/>
      <c r="AV10" s="1171"/>
      <c r="AW10" s="1171"/>
      <c r="AX10" s="1171"/>
    </row>
    <row r="11" spans="1:50">
      <c r="A11" s="1165"/>
      <c r="B11" s="1365" t="s">
        <v>1391</v>
      </c>
      <c r="C11" s="1366"/>
      <c r="D11" s="1366"/>
      <c r="E11" s="1366"/>
      <c r="F11" s="1366"/>
      <c r="G11" s="1170"/>
      <c r="H11" s="1170"/>
      <c r="I11" s="1170"/>
      <c r="J11" s="1170"/>
      <c r="K11" s="1170"/>
      <c r="L11" s="1170"/>
      <c r="M11" s="1170"/>
      <c r="N11" s="1171"/>
      <c r="O11" s="1171"/>
      <c r="P11" s="1171"/>
      <c r="Q11" s="1171"/>
      <c r="R11" s="1171"/>
      <c r="S11" s="1171"/>
      <c r="T11" s="1171"/>
      <c r="U11" s="1171"/>
      <c r="V11" s="1171"/>
      <c r="W11" s="1171"/>
      <c r="X11" s="1171"/>
      <c r="Y11" s="1171"/>
      <c r="Z11" s="1171"/>
      <c r="AA11" s="1171"/>
      <c r="AB11" s="1171"/>
      <c r="AC11" s="1171"/>
      <c r="AD11" s="1171"/>
      <c r="AE11" s="1171"/>
      <c r="AF11" s="1171"/>
      <c r="AG11" s="1171"/>
      <c r="AH11" s="1171"/>
      <c r="AI11" s="1171"/>
      <c r="AJ11" s="1171"/>
      <c r="AK11" s="1171"/>
      <c r="AL11" s="1171"/>
      <c r="AM11" s="1171"/>
      <c r="AN11" s="1171"/>
      <c r="AO11" s="1171"/>
      <c r="AP11" s="1171"/>
      <c r="AQ11" s="1171"/>
      <c r="AR11" s="1171"/>
      <c r="AS11" s="1171"/>
      <c r="AT11" s="1171"/>
      <c r="AU11" s="1171"/>
      <c r="AV11" s="1171"/>
      <c r="AW11" s="1171"/>
      <c r="AX11" s="1171"/>
    </row>
    <row r="12" spans="1:50">
      <c r="B12" s="1365" t="s">
        <v>1392</v>
      </c>
      <c r="C12" s="1366"/>
      <c r="D12" s="1366"/>
      <c r="E12" s="1366"/>
      <c r="F12" s="1366"/>
      <c r="G12" s="1170"/>
      <c r="H12" s="1170"/>
      <c r="I12" s="1170"/>
      <c r="J12" s="1170"/>
      <c r="K12" s="1170"/>
      <c r="L12" s="1170"/>
      <c r="M12" s="1170"/>
      <c r="N12" s="1171"/>
      <c r="O12" s="1171"/>
      <c r="P12" s="1171"/>
      <c r="Q12" s="1171"/>
      <c r="R12" s="1171"/>
      <c r="S12" s="1171"/>
      <c r="T12" s="1171"/>
      <c r="U12" s="1171"/>
      <c r="V12" s="1171"/>
      <c r="W12" s="1171"/>
      <c r="X12" s="1171"/>
      <c r="Y12" s="1171"/>
      <c r="Z12" s="1171"/>
      <c r="AA12" s="1171"/>
      <c r="AB12" s="1171"/>
      <c r="AC12" s="1171"/>
      <c r="AD12" s="1171"/>
      <c r="AE12" s="1171"/>
      <c r="AF12" s="1171"/>
      <c r="AG12" s="1171"/>
      <c r="AH12" s="1171"/>
      <c r="AI12" s="1171"/>
      <c r="AJ12" s="1171"/>
      <c r="AK12" s="1171"/>
      <c r="AL12" s="1171"/>
      <c r="AM12" s="1171"/>
      <c r="AN12" s="1171"/>
      <c r="AO12" s="1171"/>
      <c r="AP12" s="1171"/>
      <c r="AQ12" s="1171"/>
      <c r="AR12" s="1171"/>
      <c r="AS12" s="1171"/>
      <c r="AT12" s="1171"/>
      <c r="AU12" s="1171"/>
      <c r="AV12" s="1171"/>
      <c r="AW12" s="1171"/>
      <c r="AX12" s="1171"/>
    </row>
    <row r="13" spans="1:50">
      <c r="A13" s="1165"/>
      <c r="B13" s="1365" t="s">
        <v>171</v>
      </c>
      <c r="C13" s="1365"/>
      <c r="D13" s="1365"/>
      <c r="E13" s="1365"/>
      <c r="F13" s="1365"/>
      <c r="G13" s="1170"/>
      <c r="H13" s="1170"/>
      <c r="I13" s="1170"/>
      <c r="J13" s="1170"/>
      <c r="K13" s="1170"/>
      <c r="L13" s="1170"/>
      <c r="M13" s="1170"/>
      <c r="N13" s="1171"/>
      <c r="O13" s="1171"/>
      <c r="P13" s="1171"/>
      <c r="Q13" s="1171"/>
      <c r="R13" s="1171"/>
      <c r="S13" s="1171"/>
      <c r="T13" s="1171"/>
      <c r="U13" s="1171"/>
      <c r="V13" s="1171"/>
      <c r="W13" s="1171"/>
      <c r="X13" s="1171"/>
      <c r="Y13" s="1171"/>
      <c r="Z13" s="1171"/>
      <c r="AA13" s="1171"/>
      <c r="AB13" s="1171"/>
      <c r="AC13" s="1171"/>
      <c r="AD13" s="1171"/>
      <c r="AE13" s="1171"/>
      <c r="AF13" s="1171"/>
      <c r="AG13" s="1171"/>
      <c r="AH13" s="1171"/>
      <c r="AI13" s="1171"/>
      <c r="AJ13" s="1171"/>
      <c r="AK13" s="1171"/>
      <c r="AL13" s="1171"/>
      <c r="AM13" s="1171"/>
      <c r="AN13" s="1171"/>
      <c r="AO13" s="1171"/>
      <c r="AP13" s="1171"/>
      <c r="AQ13" s="1171"/>
      <c r="AR13" s="1171"/>
      <c r="AS13" s="1171"/>
      <c r="AT13" s="1171"/>
      <c r="AU13" s="1171"/>
      <c r="AV13" s="1171"/>
      <c r="AW13" s="1171"/>
      <c r="AX13" s="1171"/>
    </row>
    <row r="14" spans="1:50">
      <c r="B14" s="1365" t="s">
        <v>172</v>
      </c>
      <c r="C14" s="1365"/>
      <c r="D14" s="1365"/>
      <c r="E14" s="1365"/>
      <c r="F14" s="1365"/>
      <c r="G14" s="1170"/>
      <c r="H14" s="1170"/>
      <c r="I14" s="1170"/>
      <c r="J14" s="1170"/>
      <c r="K14" s="1170"/>
      <c r="L14" s="1170"/>
      <c r="M14" s="1170"/>
      <c r="N14" s="1171"/>
      <c r="O14" s="1171"/>
      <c r="P14" s="1171"/>
      <c r="Q14" s="1171"/>
      <c r="R14" s="1171"/>
      <c r="S14" s="1171"/>
      <c r="T14" s="1171"/>
      <c r="U14" s="1171"/>
      <c r="V14" s="1171"/>
      <c r="W14" s="1171"/>
      <c r="X14" s="1171"/>
      <c r="Y14" s="1171"/>
      <c r="Z14" s="1171"/>
      <c r="AA14" s="1171"/>
      <c r="AB14" s="1171"/>
      <c r="AC14" s="1171"/>
      <c r="AD14" s="1171"/>
      <c r="AE14" s="1171"/>
      <c r="AF14" s="1171"/>
      <c r="AG14" s="1171"/>
      <c r="AH14" s="1171"/>
      <c r="AI14" s="1171"/>
      <c r="AJ14" s="1171"/>
      <c r="AK14" s="1171"/>
      <c r="AL14" s="1171"/>
      <c r="AM14" s="1171"/>
      <c r="AN14" s="1171"/>
      <c r="AO14" s="1171"/>
      <c r="AP14" s="1171"/>
      <c r="AQ14" s="1171"/>
      <c r="AR14" s="1171"/>
      <c r="AS14" s="1171"/>
      <c r="AT14" s="1171"/>
      <c r="AU14" s="1171"/>
      <c r="AV14" s="1171"/>
      <c r="AW14" s="1171"/>
      <c r="AX14" s="1171"/>
    </row>
    <row r="15" spans="1:50">
      <c r="A15" s="1166"/>
      <c r="B15" s="1365" t="s">
        <v>173</v>
      </c>
      <c r="C15" s="1365"/>
      <c r="D15" s="1365"/>
      <c r="E15" s="1365"/>
      <c r="F15" s="1365"/>
      <c r="G15" s="1170"/>
      <c r="H15" s="1170"/>
      <c r="I15" s="1170"/>
      <c r="J15" s="1170"/>
      <c r="K15" s="1170"/>
      <c r="L15" s="1170"/>
      <c r="M15" s="1170"/>
      <c r="N15" s="1171"/>
      <c r="O15" s="1171"/>
      <c r="P15" s="1171"/>
      <c r="Q15" s="1171"/>
      <c r="R15" s="1171"/>
      <c r="S15" s="1171"/>
      <c r="T15" s="1171"/>
      <c r="U15" s="1171"/>
      <c r="V15" s="1171"/>
      <c r="W15" s="1171"/>
      <c r="X15" s="1171"/>
      <c r="Y15" s="1171"/>
      <c r="Z15" s="1171"/>
      <c r="AA15" s="1171"/>
      <c r="AB15" s="1171"/>
      <c r="AC15" s="1171"/>
      <c r="AD15" s="1171"/>
      <c r="AE15" s="1171"/>
      <c r="AF15" s="1171"/>
      <c r="AG15" s="1171"/>
      <c r="AH15" s="1171"/>
      <c r="AI15" s="1171"/>
      <c r="AJ15" s="1171"/>
      <c r="AK15" s="1171"/>
      <c r="AL15" s="1171"/>
      <c r="AM15" s="1171"/>
      <c r="AN15" s="1171"/>
      <c r="AO15" s="1171"/>
      <c r="AP15" s="1171"/>
      <c r="AQ15" s="1171"/>
      <c r="AR15" s="1171"/>
      <c r="AS15" s="1171"/>
      <c r="AT15" s="1171"/>
      <c r="AU15" s="1171"/>
      <c r="AV15" s="1171"/>
      <c r="AW15" s="1171"/>
      <c r="AX15" s="1171"/>
    </row>
    <row r="16" spans="1:50">
      <c r="A16" s="1169"/>
      <c r="B16" s="1170"/>
      <c r="C16" s="1170"/>
      <c r="D16" s="1170"/>
      <c r="E16" s="1170"/>
      <c r="F16" s="1170"/>
      <c r="G16" s="1170"/>
      <c r="H16" s="1170"/>
      <c r="I16" s="1170"/>
      <c r="J16" s="1170"/>
      <c r="K16" s="1170"/>
      <c r="L16" s="1170"/>
      <c r="M16" s="1170"/>
      <c r="N16" s="1171"/>
      <c r="O16" s="1171"/>
      <c r="P16" s="1171"/>
      <c r="Q16" s="1171"/>
      <c r="R16" s="1171"/>
      <c r="S16" s="1171"/>
      <c r="T16" s="1171"/>
      <c r="U16" s="1171"/>
      <c r="V16" s="1171"/>
      <c r="W16" s="1171"/>
      <c r="X16" s="1171"/>
      <c r="Y16" s="1171"/>
      <c r="Z16" s="1171"/>
      <c r="AA16" s="1171"/>
      <c r="AB16" s="1171"/>
      <c r="AC16" s="1171"/>
      <c r="AD16" s="1171"/>
      <c r="AE16" s="1171"/>
      <c r="AF16" s="1171"/>
      <c r="AG16" s="1171"/>
      <c r="AH16" s="1171"/>
      <c r="AI16" s="1171"/>
      <c r="AJ16" s="1171"/>
      <c r="AK16" s="1171"/>
      <c r="AL16" s="1171"/>
      <c r="AM16" s="1171"/>
      <c r="AN16" s="1171"/>
      <c r="AO16" s="1171"/>
      <c r="AP16" s="1171"/>
      <c r="AQ16" s="1171"/>
      <c r="AR16" s="1171"/>
      <c r="AS16" s="1171"/>
      <c r="AT16" s="1171"/>
      <c r="AU16" s="1171"/>
      <c r="AV16" s="1171"/>
      <c r="AW16" s="1171"/>
      <c r="AX16" s="1171"/>
    </row>
    <row r="17" spans="1:50">
      <c r="A17" s="1169"/>
      <c r="B17" s="1170"/>
      <c r="C17" s="1170"/>
      <c r="D17" s="1170"/>
      <c r="E17" s="1170"/>
      <c r="F17" s="1170"/>
      <c r="G17" s="1170"/>
      <c r="H17" s="1170"/>
      <c r="I17" s="1170"/>
      <c r="J17" s="1170"/>
      <c r="K17" s="1170"/>
      <c r="L17" s="1170"/>
      <c r="M17" s="1170"/>
      <c r="N17" s="1171"/>
      <c r="O17" s="1171"/>
      <c r="P17" s="1171"/>
      <c r="Q17" s="1171"/>
      <c r="R17" s="1171"/>
      <c r="S17" s="1171"/>
      <c r="T17" s="1171"/>
      <c r="U17" s="1171"/>
      <c r="V17" s="1171"/>
      <c r="W17" s="1171"/>
      <c r="X17" s="1171"/>
      <c r="Y17" s="1171"/>
      <c r="Z17" s="1171"/>
      <c r="AA17" s="1171"/>
      <c r="AB17" s="1171"/>
      <c r="AC17" s="1171"/>
      <c r="AD17" s="1171"/>
      <c r="AE17" s="1171"/>
      <c r="AF17" s="1171"/>
      <c r="AG17" s="1171"/>
      <c r="AH17" s="1171"/>
      <c r="AI17" s="1171"/>
      <c r="AJ17" s="1171"/>
      <c r="AK17" s="1171"/>
      <c r="AL17" s="1171"/>
      <c r="AM17" s="1171"/>
      <c r="AN17" s="1171"/>
      <c r="AO17" s="1171"/>
      <c r="AP17" s="1171"/>
      <c r="AQ17" s="1171"/>
      <c r="AR17" s="1171"/>
      <c r="AS17" s="1171"/>
      <c r="AT17" s="1171"/>
      <c r="AU17" s="1171"/>
      <c r="AV17" s="1171"/>
      <c r="AW17" s="1171"/>
      <c r="AX17" s="1171"/>
    </row>
    <row r="18" spans="1:50">
      <c r="A18" s="1166"/>
      <c r="B18" s="1170"/>
      <c r="C18" s="1170"/>
      <c r="D18" s="1170"/>
      <c r="E18" s="1170"/>
      <c r="F18" s="1170"/>
      <c r="G18" s="1170"/>
      <c r="H18" s="1170"/>
      <c r="I18" s="1170"/>
      <c r="J18" s="1170"/>
      <c r="K18" s="1170"/>
      <c r="L18" s="1170"/>
      <c r="M18" s="1170"/>
      <c r="N18" s="1171"/>
      <c r="O18" s="1171"/>
      <c r="P18" s="1171"/>
      <c r="Q18" s="1171"/>
      <c r="R18" s="1171"/>
      <c r="S18" s="1171"/>
      <c r="T18" s="1171"/>
      <c r="U18" s="1171"/>
      <c r="V18" s="1171"/>
      <c r="W18" s="1171"/>
      <c r="X18" s="1171"/>
      <c r="Y18" s="1171"/>
      <c r="Z18" s="1171"/>
      <c r="AA18" s="1171"/>
      <c r="AB18" s="1171"/>
      <c r="AC18" s="1171"/>
      <c r="AD18" s="1171"/>
      <c r="AE18" s="1171"/>
      <c r="AF18" s="1171"/>
      <c r="AG18" s="1171"/>
      <c r="AH18" s="1171"/>
      <c r="AI18" s="1171"/>
      <c r="AJ18" s="1171"/>
      <c r="AK18" s="1171"/>
      <c r="AL18" s="1171"/>
      <c r="AM18" s="1171"/>
      <c r="AN18" s="1171"/>
      <c r="AO18" s="1171"/>
      <c r="AP18" s="1171"/>
      <c r="AQ18" s="1171"/>
      <c r="AR18" s="1171"/>
      <c r="AS18" s="1171"/>
      <c r="AT18" s="1171"/>
      <c r="AU18" s="1171"/>
      <c r="AV18" s="1171"/>
      <c r="AW18" s="1171"/>
      <c r="AX18" s="1171"/>
    </row>
    <row r="19" spans="1:50">
      <c r="A19" s="1166"/>
      <c r="B19" s="1170"/>
      <c r="C19" s="1170"/>
      <c r="D19" s="1170"/>
      <c r="E19" s="1170"/>
      <c r="F19" s="1170"/>
      <c r="G19" s="1170"/>
      <c r="H19" s="1170"/>
      <c r="I19" s="1170"/>
      <c r="J19" s="1170"/>
      <c r="K19" s="1170"/>
      <c r="L19" s="1170"/>
      <c r="M19" s="1170"/>
      <c r="N19" s="1171"/>
      <c r="O19" s="1171"/>
      <c r="P19" s="1171"/>
      <c r="Q19" s="1171"/>
      <c r="R19" s="1171"/>
      <c r="S19" s="1171"/>
      <c r="T19" s="1171"/>
      <c r="U19" s="1171"/>
      <c r="V19" s="1171"/>
      <c r="W19" s="1171"/>
      <c r="X19" s="1171"/>
      <c r="Y19" s="1171"/>
      <c r="Z19" s="1171"/>
      <c r="AA19" s="1171"/>
      <c r="AB19" s="1171"/>
      <c r="AC19" s="1171"/>
      <c r="AD19" s="1171"/>
      <c r="AE19" s="1171"/>
      <c r="AF19" s="1171"/>
      <c r="AG19" s="1171"/>
      <c r="AH19" s="1171"/>
      <c r="AI19" s="1171"/>
      <c r="AJ19" s="1171"/>
      <c r="AK19" s="1171"/>
      <c r="AL19" s="1171"/>
      <c r="AM19" s="1171"/>
      <c r="AN19" s="1171"/>
      <c r="AO19" s="1171"/>
      <c r="AP19" s="1171"/>
      <c r="AQ19" s="1171"/>
      <c r="AR19" s="1171"/>
      <c r="AS19" s="1171"/>
      <c r="AT19" s="1171"/>
      <c r="AU19" s="1171"/>
      <c r="AV19" s="1171"/>
      <c r="AW19" s="1171"/>
      <c r="AX19" s="1171"/>
    </row>
    <row r="20" spans="1:50">
      <c r="B20" s="1170"/>
      <c r="C20" s="1170"/>
      <c r="D20" s="1170"/>
      <c r="E20" s="1171"/>
      <c r="F20" s="1170"/>
      <c r="G20" s="1170"/>
      <c r="H20" s="1170"/>
      <c r="I20" s="1170"/>
      <c r="J20" s="1170"/>
      <c r="K20" s="1170"/>
      <c r="L20" s="1170"/>
      <c r="M20" s="1170"/>
      <c r="N20" s="1171"/>
      <c r="O20" s="1171"/>
      <c r="P20" s="1171"/>
      <c r="Q20" s="1171"/>
      <c r="R20" s="1171"/>
      <c r="S20" s="1171"/>
      <c r="T20" s="1171"/>
      <c r="U20" s="1171"/>
      <c r="V20" s="1171"/>
      <c r="W20" s="1171"/>
      <c r="X20" s="1171"/>
      <c r="Y20" s="1171"/>
      <c r="Z20" s="1171"/>
      <c r="AA20" s="1171"/>
      <c r="AB20" s="1171"/>
      <c r="AC20" s="1171"/>
      <c r="AD20" s="1171"/>
      <c r="AE20" s="1171"/>
      <c r="AF20" s="1171"/>
      <c r="AG20" s="1171"/>
      <c r="AH20" s="1171"/>
      <c r="AI20" s="1171"/>
      <c r="AJ20" s="1171"/>
      <c r="AK20" s="1171"/>
      <c r="AL20" s="1171"/>
      <c r="AM20" s="1171"/>
      <c r="AN20" s="1171"/>
      <c r="AO20" s="1171"/>
      <c r="AP20" s="1171"/>
      <c r="AQ20" s="1171"/>
      <c r="AR20" s="1171"/>
      <c r="AS20" s="1171"/>
      <c r="AT20" s="1171"/>
      <c r="AU20" s="1171"/>
      <c r="AV20" s="1171"/>
      <c r="AW20" s="1171"/>
      <c r="AX20" s="1171"/>
    </row>
    <row r="21" spans="1:50">
      <c r="B21" s="1170"/>
      <c r="C21" s="1170"/>
      <c r="D21" s="1170"/>
      <c r="E21" s="1170"/>
      <c r="F21" s="1170"/>
      <c r="G21" s="1170"/>
      <c r="H21" s="1170"/>
      <c r="I21" s="1170"/>
      <c r="J21" s="1170"/>
      <c r="K21" s="1170"/>
      <c r="L21" s="1170"/>
      <c r="M21" s="1170"/>
      <c r="N21" s="1171"/>
      <c r="O21" s="1171"/>
      <c r="P21" s="1171"/>
      <c r="Q21" s="1171"/>
      <c r="R21" s="1171"/>
      <c r="S21" s="1171"/>
      <c r="T21" s="1171"/>
      <c r="U21" s="1171"/>
      <c r="V21" s="1171"/>
      <c r="W21" s="1171"/>
      <c r="X21" s="1171"/>
      <c r="Y21" s="1171"/>
      <c r="Z21" s="1171"/>
      <c r="AA21" s="1171"/>
      <c r="AB21" s="1171"/>
      <c r="AC21" s="1171"/>
      <c r="AD21" s="1171"/>
      <c r="AE21" s="1171"/>
      <c r="AF21" s="1171"/>
      <c r="AG21" s="1171"/>
      <c r="AH21" s="1171"/>
      <c r="AI21" s="1171"/>
      <c r="AJ21" s="1171"/>
      <c r="AK21" s="1171"/>
      <c r="AL21" s="1171"/>
      <c r="AM21" s="1171"/>
      <c r="AN21" s="1171"/>
      <c r="AO21" s="1171"/>
      <c r="AP21" s="1171"/>
      <c r="AQ21" s="1171"/>
      <c r="AR21" s="1171"/>
      <c r="AS21" s="1171"/>
      <c r="AT21" s="1171"/>
      <c r="AU21" s="1171"/>
      <c r="AV21" s="1171"/>
      <c r="AW21" s="1171"/>
      <c r="AX21" s="1171"/>
    </row>
    <row r="22" spans="1:50">
      <c r="B22" s="1170"/>
      <c r="C22" s="1170"/>
      <c r="D22" s="1170"/>
      <c r="E22" s="1170"/>
      <c r="F22" s="1170"/>
      <c r="G22" s="1170"/>
      <c r="H22" s="1170"/>
      <c r="I22" s="1170"/>
      <c r="J22" s="1170"/>
      <c r="K22" s="1170"/>
      <c r="L22" s="1170"/>
      <c r="M22" s="1170"/>
      <c r="N22" s="1171"/>
      <c r="O22" s="1171"/>
      <c r="P22" s="1171"/>
      <c r="Q22" s="1171"/>
      <c r="R22" s="1171"/>
      <c r="S22" s="1171"/>
      <c r="T22" s="1171"/>
      <c r="U22" s="1171"/>
      <c r="V22" s="1171"/>
      <c r="W22" s="1171"/>
      <c r="X22" s="1171"/>
      <c r="Y22" s="1171"/>
      <c r="Z22" s="1171"/>
      <c r="AA22" s="1171"/>
      <c r="AB22" s="1171"/>
      <c r="AC22" s="1171"/>
      <c r="AD22" s="1171"/>
      <c r="AE22" s="1171"/>
      <c r="AF22" s="1171"/>
      <c r="AG22" s="1171"/>
      <c r="AH22" s="1171"/>
      <c r="AI22" s="1171"/>
      <c r="AJ22" s="1171"/>
      <c r="AK22" s="1171"/>
      <c r="AL22" s="1171"/>
      <c r="AM22" s="1171"/>
      <c r="AN22" s="1171"/>
      <c r="AO22" s="1171"/>
      <c r="AP22" s="1171"/>
      <c r="AQ22" s="1171"/>
      <c r="AR22" s="1171"/>
      <c r="AS22" s="1171"/>
      <c r="AT22" s="1171"/>
      <c r="AU22" s="1171"/>
      <c r="AV22" s="1171"/>
      <c r="AW22" s="1171"/>
      <c r="AX22" s="1171"/>
    </row>
    <row r="23" spans="1:50">
      <c r="B23" s="1170"/>
      <c r="C23" s="1170"/>
      <c r="D23" s="1170"/>
      <c r="E23" s="1170"/>
      <c r="F23" s="1170"/>
      <c r="G23" s="1170"/>
      <c r="H23" s="1170"/>
      <c r="I23" s="1170"/>
      <c r="J23" s="1170"/>
      <c r="K23" s="1170"/>
      <c r="L23" s="1170"/>
      <c r="M23" s="1170"/>
      <c r="N23" s="1171"/>
      <c r="O23" s="1171"/>
      <c r="P23" s="1171"/>
      <c r="Q23" s="1171"/>
      <c r="R23" s="1171"/>
      <c r="S23" s="1171"/>
      <c r="T23" s="1171"/>
      <c r="U23" s="1171"/>
      <c r="V23" s="1171"/>
      <c r="W23" s="1171"/>
      <c r="X23" s="1171"/>
      <c r="Y23" s="1171"/>
      <c r="Z23" s="1171"/>
      <c r="AA23" s="1171"/>
      <c r="AB23" s="1171"/>
      <c r="AC23" s="1171"/>
      <c r="AD23" s="1171"/>
      <c r="AE23" s="1171"/>
      <c r="AF23" s="1171"/>
      <c r="AG23" s="1171"/>
      <c r="AH23" s="1171"/>
      <c r="AI23" s="1171"/>
      <c r="AJ23" s="1171"/>
      <c r="AK23" s="1171"/>
      <c r="AL23" s="1171"/>
      <c r="AM23" s="1171"/>
      <c r="AN23" s="1171"/>
      <c r="AO23" s="1171"/>
      <c r="AP23" s="1171"/>
      <c r="AQ23" s="1171"/>
      <c r="AR23" s="1171"/>
      <c r="AS23" s="1171"/>
      <c r="AT23" s="1171"/>
      <c r="AU23" s="1171"/>
      <c r="AV23" s="1171"/>
      <c r="AW23" s="1171"/>
      <c r="AX23" s="1171"/>
    </row>
    <row r="24" spans="1:50">
      <c r="B24" s="1170"/>
      <c r="C24" s="1170"/>
      <c r="D24" s="1170"/>
      <c r="E24" s="1170"/>
      <c r="F24" s="1170"/>
      <c r="G24" s="1170"/>
      <c r="H24" s="1170"/>
      <c r="I24" s="1170"/>
      <c r="J24" s="1170"/>
      <c r="K24" s="1170"/>
      <c r="L24" s="1170"/>
      <c r="M24" s="1170"/>
      <c r="N24" s="1171"/>
      <c r="O24" s="1171"/>
      <c r="P24" s="1171"/>
      <c r="Q24" s="1171"/>
      <c r="R24" s="1171"/>
      <c r="S24" s="1171"/>
      <c r="T24" s="1171"/>
      <c r="U24" s="1171"/>
      <c r="V24" s="1171"/>
      <c r="W24" s="1171"/>
      <c r="X24" s="1171"/>
      <c r="Y24" s="1171"/>
      <c r="Z24" s="1171"/>
      <c r="AA24" s="1171"/>
      <c r="AB24" s="1171"/>
      <c r="AC24" s="1171"/>
      <c r="AD24" s="1171"/>
      <c r="AE24" s="1171"/>
      <c r="AF24" s="1171"/>
      <c r="AG24" s="1171"/>
      <c r="AH24" s="1171"/>
      <c r="AI24" s="1171"/>
      <c r="AJ24" s="1171"/>
      <c r="AK24" s="1171"/>
      <c r="AL24" s="1171"/>
      <c r="AM24" s="1171"/>
      <c r="AN24" s="1171"/>
      <c r="AO24" s="1171"/>
      <c r="AP24" s="1171"/>
      <c r="AQ24" s="1171"/>
      <c r="AR24" s="1171"/>
      <c r="AS24" s="1171"/>
      <c r="AT24" s="1171"/>
      <c r="AU24" s="1171"/>
      <c r="AV24" s="1171"/>
      <c r="AW24" s="1171"/>
      <c r="AX24" s="1171"/>
    </row>
    <row r="25" spans="1:50">
      <c r="B25" s="1170"/>
      <c r="C25" s="1170"/>
      <c r="D25" s="1170"/>
      <c r="E25" s="1170"/>
      <c r="F25" s="1170"/>
      <c r="G25" s="1170"/>
      <c r="H25" s="1170"/>
      <c r="I25" s="1170"/>
      <c r="J25" s="1170"/>
      <c r="K25" s="1170"/>
      <c r="L25" s="1170"/>
      <c r="M25" s="1170"/>
      <c r="N25" s="1171"/>
      <c r="O25" s="1171"/>
      <c r="P25" s="1171"/>
      <c r="Q25" s="1171"/>
      <c r="R25" s="1171"/>
      <c r="S25" s="1171"/>
      <c r="T25" s="1171"/>
      <c r="U25" s="1171"/>
      <c r="V25" s="1171"/>
      <c r="W25" s="1171"/>
      <c r="X25" s="1171"/>
      <c r="Y25" s="1171"/>
      <c r="Z25" s="1171"/>
      <c r="AA25" s="1171"/>
      <c r="AB25" s="1171"/>
      <c r="AC25" s="1171"/>
      <c r="AD25" s="1171"/>
      <c r="AE25" s="1171"/>
      <c r="AF25" s="1171"/>
      <c r="AG25" s="1171"/>
      <c r="AH25" s="1171"/>
      <c r="AI25" s="1171"/>
      <c r="AJ25" s="1171"/>
      <c r="AK25" s="1171"/>
      <c r="AL25" s="1171"/>
      <c r="AM25" s="1171"/>
      <c r="AN25" s="1171"/>
      <c r="AO25" s="1171"/>
      <c r="AP25" s="1171"/>
      <c r="AQ25" s="1171"/>
      <c r="AR25" s="1171"/>
      <c r="AS25" s="1171"/>
      <c r="AT25" s="1171"/>
      <c r="AU25" s="1171"/>
      <c r="AV25" s="1171"/>
      <c r="AW25" s="1171"/>
      <c r="AX25" s="1171"/>
    </row>
    <row r="26" spans="1:50">
      <c r="B26" s="1170"/>
      <c r="C26" s="1170"/>
      <c r="D26" s="1170"/>
      <c r="E26" s="1170"/>
      <c r="F26" s="1170"/>
      <c r="G26" s="1170"/>
      <c r="H26" s="1170"/>
      <c r="I26" s="1170"/>
      <c r="J26" s="1170"/>
      <c r="K26" s="1170"/>
      <c r="L26" s="1170"/>
      <c r="M26" s="1170"/>
      <c r="N26" s="1171"/>
      <c r="O26" s="1171"/>
      <c r="P26" s="1171"/>
      <c r="Q26" s="1171"/>
      <c r="R26" s="1171"/>
      <c r="S26" s="1171"/>
      <c r="T26" s="1171"/>
      <c r="U26" s="1171"/>
      <c r="V26" s="1171"/>
      <c r="W26" s="1171"/>
      <c r="X26" s="1171"/>
      <c r="Y26" s="1171"/>
      <c r="Z26" s="1171"/>
      <c r="AA26" s="1171"/>
      <c r="AB26" s="1171"/>
      <c r="AC26" s="1171"/>
      <c r="AD26" s="1171"/>
      <c r="AE26" s="1171"/>
      <c r="AF26" s="1171"/>
      <c r="AG26" s="1171"/>
      <c r="AH26" s="1171"/>
      <c r="AI26" s="1171"/>
      <c r="AJ26" s="1171"/>
      <c r="AK26" s="1171"/>
      <c r="AL26" s="1171"/>
      <c r="AM26" s="1171"/>
      <c r="AN26" s="1171"/>
      <c r="AO26" s="1171"/>
      <c r="AP26" s="1171"/>
      <c r="AQ26" s="1171"/>
      <c r="AR26" s="1171"/>
      <c r="AS26" s="1171"/>
      <c r="AT26" s="1171"/>
      <c r="AU26" s="1171"/>
      <c r="AV26" s="1171"/>
      <c r="AW26" s="1171"/>
      <c r="AX26" s="1171"/>
    </row>
    <row r="27" spans="1:50">
      <c r="B27" s="1170"/>
      <c r="C27" s="1170"/>
      <c r="D27" s="1170"/>
      <c r="E27" s="1170"/>
      <c r="F27" s="1170"/>
      <c r="G27" s="1170"/>
      <c r="H27" s="1170"/>
      <c r="I27" s="1170"/>
      <c r="J27" s="1170"/>
      <c r="K27" s="1170"/>
      <c r="L27" s="1170"/>
      <c r="M27" s="1170"/>
      <c r="N27" s="1171"/>
      <c r="O27" s="1171"/>
      <c r="P27" s="1171"/>
      <c r="Q27" s="1171"/>
      <c r="R27" s="1171"/>
      <c r="S27" s="1171"/>
      <c r="T27" s="1171"/>
      <c r="U27" s="1171"/>
      <c r="V27" s="1171"/>
      <c r="W27" s="1171"/>
      <c r="X27" s="1171"/>
      <c r="Y27" s="1171"/>
      <c r="Z27" s="1171"/>
      <c r="AA27" s="1171"/>
      <c r="AB27" s="1171"/>
      <c r="AC27" s="1171"/>
      <c r="AD27" s="1171"/>
      <c r="AE27" s="1171"/>
      <c r="AF27" s="1171"/>
      <c r="AG27" s="1171"/>
      <c r="AH27" s="1171"/>
      <c r="AI27" s="1171"/>
      <c r="AJ27" s="1171"/>
      <c r="AK27" s="1171"/>
      <c r="AL27" s="1171"/>
      <c r="AM27" s="1171"/>
      <c r="AN27" s="1171"/>
      <c r="AO27" s="1171"/>
      <c r="AP27" s="1171"/>
      <c r="AQ27" s="1171"/>
      <c r="AR27" s="1171"/>
      <c r="AS27" s="1171"/>
      <c r="AT27" s="1171"/>
      <c r="AU27" s="1171"/>
      <c r="AV27" s="1171"/>
      <c r="AW27" s="1171"/>
      <c r="AX27" s="1171"/>
    </row>
    <row r="28" spans="1:50">
      <c r="B28" s="1170"/>
      <c r="C28" s="1170"/>
      <c r="D28" s="1170"/>
      <c r="E28" s="1170"/>
      <c r="F28" s="1170"/>
      <c r="G28" s="1170"/>
      <c r="H28" s="1170"/>
      <c r="I28" s="1170"/>
      <c r="J28" s="1170"/>
      <c r="K28" s="1170"/>
      <c r="L28" s="1170"/>
      <c r="M28" s="1170"/>
      <c r="N28" s="1171"/>
      <c r="O28" s="1171"/>
      <c r="P28" s="1171"/>
      <c r="Q28" s="1171"/>
      <c r="R28" s="1171"/>
      <c r="S28" s="1171"/>
      <c r="T28" s="1171"/>
      <c r="U28" s="1171"/>
      <c r="V28" s="1171"/>
      <c r="W28" s="1171"/>
      <c r="X28" s="1171"/>
      <c r="Y28" s="1171"/>
      <c r="Z28" s="1171"/>
      <c r="AA28" s="1171"/>
      <c r="AB28" s="1171"/>
      <c r="AC28" s="1171"/>
      <c r="AD28" s="1171"/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1"/>
      <c r="AQ28" s="1171"/>
      <c r="AR28" s="1171"/>
      <c r="AS28" s="1171"/>
      <c r="AT28" s="1171"/>
      <c r="AU28" s="1171"/>
      <c r="AV28" s="1171"/>
      <c r="AW28" s="1171"/>
      <c r="AX28" s="1171"/>
    </row>
    <row r="29" spans="1:50">
      <c r="B29" s="1170"/>
      <c r="C29" s="1170"/>
      <c r="D29" s="1170"/>
      <c r="E29" s="1170"/>
      <c r="F29" s="1170"/>
      <c r="G29" s="1170"/>
      <c r="H29" s="1170"/>
      <c r="I29" s="1170"/>
      <c r="J29" s="1170"/>
      <c r="K29" s="1170"/>
      <c r="L29" s="1170"/>
      <c r="M29" s="1170"/>
      <c r="N29" s="1171"/>
      <c r="O29" s="1171"/>
      <c r="P29" s="1171"/>
      <c r="Q29" s="1171"/>
      <c r="R29" s="1171"/>
      <c r="S29" s="1171"/>
      <c r="T29" s="1171"/>
      <c r="U29" s="1171"/>
      <c r="V29" s="1171"/>
      <c r="W29" s="1171"/>
      <c r="X29" s="1171"/>
      <c r="Y29" s="1171"/>
      <c r="Z29" s="1171"/>
      <c r="AA29" s="1171"/>
      <c r="AB29" s="1171"/>
      <c r="AC29" s="1171"/>
      <c r="AD29" s="1171"/>
      <c r="AE29" s="1171"/>
      <c r="AF29" s="1171"/>
      <c r="AG29" s="1171"/>
      <c r="AH29" s="1171"/>
      <c r="AI29" s="1171"/>
      <c r="AJ29" s="1171"/>
      <c r="AK29" s="1171"/>
      <c r="AL29" s="1171"/>
      <c r="AM29" s="1171"/>
      <c r="AN29" s="1171"/>
      <c r="AO29" s="1171"/>
      <c r="AP29" s="1171"/>
      <c r="AQ29" s="1171"/>
      <c r="AR29" s="1171"/>
      <c r="AS29" s="1171"/>
      <c r="AT29" s="1171"/>
      <c r="AU29" s="1171"/>
      <c r="AV29" s="1171"/>
      <c r="AW29" s="1171"/>
      <c r="AX29" s="1171"/>
    </row>
    <row r="30" spans="1:50">
      <c r="B30" s="1170"/>
      <c r="C30" s="1170"/>
      <c r="D30" s="1170"/>
      <c r="E30" s="1170"/>
      <c r="F30" s="1170"/>
      <c r="G30" s="1170"/>
      <c r="H30" s="1170"/>
      <c r="I30" s="1170"/>
      <c r="J30" s="1170"/>
      <c r="K30" s="1170"/>
      <c r="L30" s="1170"/>
      <c r="M30" s="1170"/>
      <c r="N30" s="1171"/>
      <c r="O30" s="1171"/>
      <c r="P30" s="1171"/>
      <c r="Q30" s="1171"/>
      <c r="R30" s="1171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1"/>
      <c r="AD30" s="1171"/>
      <c r="AE30" s="1171"/>
      <c r="AF30" s="1171"/>
      <c r="AG30" s="1171"/>
      <c r="AH30" s="1171"/>
      <c r="AI30" s="1171"/>
      <c r="AJ30" s="1171"/>
      <c r="AK30" s="1171"/>
      <c r="AL30" s="1171"/>
      <c r="AM30" s="1171"/>
      <c r="AN30" s="1171"/>
      <c r="AO30" s="1171"/>
      <c r="AP30" s="1171"/>
      <c r="AQ30" s="1171"/>
      <c r="AR30" s="1171"/>
      <c r="AS30" s="1171"/>
      <c r="AT30" s="1171"/>
      <c r="AU30" s="1171"/>
      <c r="AV30" s="1171"/>
      <c r="AW30" s="1171"/>
      <c r="AX30" s="1171"/>
    </row>
    <row r="31" spans="1:50">
      <c r="B31" s="1170"/>
      <c r="C31" s="1170"/>
      <c r="D31" s="1170"/>
      <c r="E31" s="1170"/>
      <c r="F31" s="1170"/>
      <c r="G31" s="1170"/>
      <c r="H31" s="1170"/>
      <c r="I31" s="1170"/>
      <c r="J31" s="1170"/>
      <c r="K31" s="1170"/>
      <c r="L31" s="1170"/>
      <c r="M31" s="1170"/>
      <c r="N31" s="1171"/>
      <c r="O31" s="1171"/>
      <c r="P31" s="1171"/>
      <c r="Q31" s="1171"/>
      <c r="R31" s="1171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1"/>
      <c r="AD31" s="1171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1"/>
      <c r="AQ31" s="1171"/>
      <c r="AR31" s="1171"/>
      <c r="AS31" s="1171"/>
      <c r="AT31" s="1171"/>
      <c r="AU31" s="1171"/>
      <c r="AV31" s="1171"/>
      <c r="AW31" s="1171"/>
      <c r="AX31" s="1171"/>
    </row>
    <row r="32" spans="1:50">
      <c r="B32" s="1170"/>
      <c r="C32" s="1170"/>
      <c r="D32" s="1170"/>
      <c r="E32" s="1170"/>
      <c r="F32" s="1170"/>
      <c r="G32" s="1170"/>
      <c r="H32" s="1170"/>
      <c r="I32" s="1170"/>
      <c r="J32" s="1170"/>
      <c r="K32" s="1170"/>
      <c r="L32" s="1170"/>
      <c r="M32" s="1170"/>
      <c r="N32" s="1171"/>
      <c r="O32" s="1171"/>
      <c r="P32" s="1171"/>
      <c r="Q32" s="1171"/>
      <c r="R32" s="1171"/>
      <c r="S32" s="1171"/>
      <c r="T32" s="1171"/>
      <c r="U32" s="1171"/>
      <c r="V32" s="1171"/>
      <c r="W32" s="1171"/>
      <c r="X32" s="1171"/>
      <c r="Y32" s="1171"/>
      <c r="Z32" s="1171"/>
      <c r="AA32" s="1171"/>
      <c r="AB32" s="1171"/>
      <c r="AC32" s="1171"/>
      <c r="AD32" s="1171"/>
      <c r="AE32" s="1171"/>
      <c r="AF32" s="1171"/>
      <c r="AG32" s="1171"/>
      <c r="AH32" s="1171"/>
      <c r="AI32" s="1171"/>
      <c r="AJ32" s="1171"/>
      <c r="AK32" s="1171"/>
      <c r="AL32" s="1171"/>
      <c r="AM32" s="1171"/>
      <c r="AN32" s="1171"/>
      <c r="AO32" s="1171"/>
      <c r="AP32" s="1171"/>
      <c r="AQ32" s="1171"/>
      <c r="AR32" s="1171"/>
      <c r="AS32" s="1171"/>
      <c r="AT32" s="1171"/>
      <c r="AU32" s="1171"/>
      <c r="AV32" s="1171"/>
      <c r="AW32" s="1171"/>
      <c r="AX32" s="1171"/>
    </row>
    <row r="33" spans="2:50">
      <c r="B33" s="1171"/>
      <c r="C33" s="1171"/>
      <c r="D33" s="1171"/>
      <c r="E33" s="1171"/>
      <c r="F33" s="1171"/>
      <c r="G33" s="1171"/>
      <c r="H33" s="1171"/>
      <c r="I33" s="1171"/>
      <c r="J33" s="1171"/>
      <c r="K33" s="1171"/>
      <c r="L33" s="1171"/>
      <c r="M33" s="1171"/>
      <c r="N33" s="1171"/>
      <c r="O33" s="1171"/>
      <c r="P33" s="1171"/>
      <c r="Q33" s="1171"/>
      <c r="R33" s="1171"/>
      <c r="S33" s="1171"/>
      <c r="T33" s="1171"/>
      <c r="U33" s="1171"/>
      <c r="V33" s="1171"/>
      <c r="W33" s="1171"/>
      <c r="X33" s="1171"/>
      <c r="Y33" s="1171"/>
      <c r="Z33" s="1171"/>
      <c r="AA33" s="1171"/>
      <c r="AB33" s="1171"/>
      <c r="AC33" s="1171"/>
      <c r="AD33" s="1171"/>
      <c r="AE33" s="1171"/>
      <c r="AF33" s="1171"/>
      <c r="AG33" s="1171"/>
      <c r="AH33" s="1171"/>
      <c r="AI33" s="1171"/>
      <c r="AJ33" s="1171"/>
      <c r="AK33" s="1171"/>
      <c r="AL33" s="1171"/>
      <c r="AM33" s="1171"/>
      <c r="AN33" s="1171"/>
      <c r="AO33" s="1171"/>
      <c r="AP33" s="1171"/>
      <c r="AQ33" s="1171"/>
      <c r="AR33" s="1171"/>
      <c r="AS33" s="1171"/>
      <c r="AT33" s="1171"/>
      <c r="AU33" s="1171"/>
      <c r="AV33" s="1171"/>
      <c r="AW33" s="1171"/>
      <c r="AX33" s="1171"/>
    </row>
    <row r="34" spans="2:50">
      <c r="B34" s="1171"/>
      <c r="C34" s="1171"/>
      <c r="D34" s="1171"/>
      <c r="E34" s="1171"/>
      <c r="F34" s="1171"/>
      <c r="G34" s="1171"/>
      <c r="H34" s="1171"/>
      <c r="I34" s="1171"/>
      <c r="J34" s="1171"/>
      <c r="K34" s="1171"/>
      <c r="L34" s="1171"/>
      <c r="M34" s="1171"/>
      <c r="N34" s="1171"/>
      <c r="O34" s="1171"/>
      <c r="P34" s="1171"/>
      <c r="Q34" s="1171"/>
      <c r="R34" s="1171"/>
      <c r="S34" s="1171"/>
      <c r="T34" s="1171"/>
      <c r="U34" s="1171"/>
      <c r="V34" s="1171"/>
      <c r="W34" s="1171"/>
      <c r="X34" s="1171"/>
      <c r="Y34" s="1171"/>
      <c r="Z34" s="1171"/>
      <c r="AA34" s="1171"/>
      <c r="AB34" s="1171"/>
      <c r="AC34" s="1171"/>
      <c r="AD34" s="1171"/>
      <c r="AE34" s="1171"/>
      <c r="AF34" s="1171"/>
      <c r="AG34" s="1171"/>
      <c r="AH34" s="1171"/>
      <c r="AI34" s="1171"/>
      <c r="AJ34" s="1171"/>
      <c r="AK34" s="1171"/>
      <c r="AL34" s="1171"/>
      <c r="AM34" s="1171"/>
      <c r="AN34" s="1171"/>
      <c r="AO34" s="1171"/>
      <c r="AP34" s="1171"/>
      <c r="AQ34" s="1171"/>
      <c r="AR34" s="1171"/>
      <c r="AS34" s="1171"/>
      <c r="AT34" s="1171"/>
      <c r="AU34" s="1171"/>
      <c r="AV34" s="1171"/>
      <c r="AW34" s="1171"/>
      <c r="AX34" s="1171"/>
    </row>
    <row r="35" spans="2:50">
      <c r="B35" s="1171"/>
      <c r="C35" s="1171"/>
      <c r="D35" s="1171"/>
      <c r="E35" s="1171"/>
      <c r="F35" s="1171"/>
      <c r="G35" s="1171"/>
      <c r="H35" s="1171"/>
      <c r="I35" s="1171"/>
      <c r="J35" s="1171"/>
      <c r="K35" s="1171"/>
      <c r="L35" s="1171"/>
      <c r="M35" s="1171"/>
      <c r="N35" s="1171"/>
      <c r="O35" s="1171"/>
      <c r="P35" s="1171"/>
      <c r="Q35" s="1171"/>
      <c r="R35" s="1171"/>
      <c r="S35" s="1171"/>
      <c r="T35" s="1171"/>
      <c r="U35" s="1171"/>
      <c r="V35" s="1171"/>
      <c r="W35" s="1171"/>
      <c r="X35" s="1171"/>
      <c r="Y35" s="1171"/>
      <c r="Z35" s="1171"/>
      <c r="AA35" s="1171"/>
      <c r="AB35" s="1171"/>
      <c r="AC35" s="1171"/>
      <c r="AD35" s="1171"/>
      <c r="AE35" s="1171"/>
      <c r="AF35" s="1171"/>
      <c r="AG35" s="1171"/>
      <c r="AH35" s="1171"/>
      <c r="AI35" s="1171"/>
      <c r="AJ35" s="1171"/>
      <c r="AK35" s="1171"/>
      <c r="AL35" s="1171"/>
      <c r="AM35" s="1171"/>
      <c r="AN35" s="1171"/>
      <c r="AO35" s="1171"/>
      <c r="AP35" s="1171"/>
      <c r="AQ35" s="1171"/>
      <c r="AR35" s="1171"/>
      <c r="AS35" s="1171"/>
      <c r="AT35" s="1171"/>
      <c r="AU35" s="1171"/>
      <c r="AV35" s="1171"/>
      <c r="AW35" s="1171"/>
      <c r="AX35" s="1171"/>
    </row>
    <row r="36" spans="2:50">
      <c r="B36" s="1171"/>
      <c r="C36" s="1171"/>
      <c r="D36" s="1171"/>
      <c r="E36" s="1171"/>
      <c r="F36" s="1171"/>
      <c r="G36" s="1171"/>
      <c r="H36" s="1171"/>
      <c r="I36" s="1171"/>
      <c r="J36" s="1171"/>
      <c r="K36" s="1171"/>
      <c r="L36" s="1171"/>
      <c r="M36" s="1171"/>
      <c r="N36" s="1171"/>
      <c r="O36" s="1171"/>
      <c r="P36" s="1171"/>
      <c r="Q36" s="1171"/>
      <c r="R36" s="1171"/>
      <c r="S36" s="1171"/>
      <c r="T36" s="1171"/>
      <c r="U36" s="1171"/>
      <c r="V36" s="1171"/>
      <c r="W36" s="1171"/>
      <c r="X36" s="1171"/>
      <c r="Y36" s="1171"/>
      <c r="Z36" s="1171"/>
      <c r="AA36" s="1171"/>
      <c r="AB36" s="1171"/>
      <c r="AC36" s="1171"/>
      <c r="AD36" s="1171"/>
      <c r="AE36" s="1171"/>
      <c r="AF36" s="1171"/>
      <c r="AG36" s="1171"/>
      <c r="AH36" s="1171"/>
      <c r="AI36" s="1171"/>
      <c r="AJ36" s="1171"/>
      <c r="AK36" s="1171"/>
      <c r="AL36" s="1171"/>
      <c r="AM36" s="1171"/>
      <c r="AN36" s="1171"/>
      <c r="AO36" s="1171"/>
      <c r="AP36" s="1171"/>
      <c r="AQ36" s="1171"/>
      <c r="AR36" s="1171"/>
      <c r="AS36" s="1171"/>
      <c r="AT36" s="1171"/>
      <c r="AU36" s="1171"/>
      <c r="AV36" s="1171"/>
      <c r="AW36" s="1171"/>
      <c r="AX36" s="1171"/>
    </row>
    <row r="37" spans="2:50">
      <c r="B37" s="1171"/>
      <c r="C37" s="1171"/>
      <c r="D37" s="1171"/>
      <c r="E37" s="1171"/>
      <c r="F37" s="1171"/>
      <c r="G37" s="1171"/>
      <c r="H37" s="1171"/>
      <c r="I37" s="1171"/>
      <c r="J37" s="1171"/>
      <c r="K37" s="1171"/>
      <c r="L37" s="1171"/>
      <c r="M37" s="1171"/>
      <c r="N37" s="1171"/>
      <c r="O37" s="1171"/>
      <c r="P37" s="1171"/>
      <c r="Q37" s="1171"/>
      <c r="R37" s="1171"/>
      <c r="S37" s="1171"/>
      <c r="T37" s="1171"/>
      <c r="U37" s="1171"/>
      <c r="V37" s="1171"/>
      <c r="W37" s="1171"/>
      <c r="X37" s="1171"/>
      <c r="Y37" s="1171"/>
      <c r="Z37" s="1171"/>
      <c r="AA37" s="1171"/>
      <c r="AB37" s="1171"/>
      <c r="AC37" s="1171"/>
      <c r="AD37" s="1171"/>
      <c r="AE37" s="1171"/>
      <c r="AF37" s="1171"/>
      <c r="AG37" s="1171"/>
      <c r="AH37" s="1171"/>
      <c r="AI37" s="1171"/>
      <c r="AJ37" s="1171"/>
      <c r="AK37" s="1171"/>
      <c r="AL37" s="1171"/>
      <c r="AM37" s="1171"/>
      <c r="AN37" s="1171"/>
      <c r="AO37" s="1171"/>
      <c r="AP37" s="1171"/>
      <c r="AQ37" s="1171"/>
      <c r="AR37" s="1171"/>
      <c r="AS37" s="1171"/>
      <c r="AT37" s="1171"/>
      <c r="AU37" s="1171"/>
      <c r="AV37" s="1171"/>
      <c r="AW37" s="1171"/>
      <c r="AX37" s="1171"/>
    </row>
    <row r="38" spans="2:50">
      <c r="B38" s="1171"/>
      <c r="C38" s="1171"/>
      <c r="D38" s="1171"/>
      <c r="E38" s="1171"/>
      <c r="F38" s="1171"/>
      <c r="G38" s="1171"/>
      <c r="H38" s="1171"/>
      <c r="I38" s="1171"/>
      <c r="J38" s="1171"/>
      <c r="K38" s="1171"/>
      <c r="L38" s="1171"/>
      <c r="M38" s="1171"/>
      <c r="N38" s="1171"/>
      <c r="O38" s="1171"/>
      <c r="P38" s="1171"/>
      <c r="Q38" s="1171"/>
      <c r="R38" s="1171"/>
      <c r="S38" s="1171"/>
      <c r="T38" s="1171"/>
      <c r="U38" s="1171"/>
      <c r="V38" s="1171"/>
      <c r="W38" s="1171"/>
      <c r="X38" s="1171"/>
      <c r="Y38" s="1171"/>
      <c r="Z38" s="1171"/>
      <c r="AA38" s="1171"/>
      <c r="AB38" s="1171"/>
      <c r="AC38" s="1171"/>
      <c r="AD38" s="1171"/>
      <c r="AE38" s="1171"/>
      <c r="AF38" s="1171"/>
      <c r="AG38" s="1171"/>
      <c r="AH38" s="1171"/>
      <c r="AI38" s="1171"/>
      <c r="AJ38" s="1171"/>
      <c r="AK38" s="1171"/>
      <c r="AL38" s="1171"/>
      <c r="AM38" s="1171"/>
      <c r="AN38" s="1171"/>
      <c r="AO38" s="1171"/>
      <c r="AP38" s="1171"/>
      <c r="AQ38" s="1171"/>
      <c r="AR38" s="1171"/>
      <c r="AS38" s="1171"/>
      <c r="AT38" s="1171"/>
      <c r="AU38" s="1171"/>
      <c r="AV38" s="1171"/>
      <c r="AW38" s="1171"/>
      <c r="AX38" s="1171"/>
    </row>
    <row r="39" spans="2:50">
      <c r="B39" s="1171"/>
      <c r="C39" s="1171"/>
      <c r="D39" s="1171"/>
      <c r="E39" s="1171"/>
      <c r="F39" s="1171"/>
      <c r="G39" s="1171"/>
      <c r="H39" s="1171"/>
      <c r="I39" s="1171"/>
      <c r="J39" s="1171"/>
      <c r="K39" s="1171"/>
      <c r="L39" s="1171"/>
      <c r="M39" s="1171"/>
      <c r="N39" s="1171"/>
      <c r="O39" s="1171"/>
      <c r="P39" s="1171"/>
      <c r="Q39" s="1171"/>
      <c r="R39" s="1171"/>
      <c r="S39" s="1171"/>
      <c r="T39" s="1171"/>
      <c r="U39" s="1171"/>
      <c r="V39" s="1171"/>
      <c r="W39" s="1171"/>
      <c r="X39" s="1171"/>
      <c r="Y39" s="1171"/>
      <c r="Z39" s="1171"/>
      <c r="AA39" s="1171"/>
      <c r="AB39" s="1171"/>
      <c r="AC39" s="1171"/>
      <c r="AD39" s="1171"/>
      <c r="AE39" s="1171"/>
      <c r="AF39" s="1171"/>
      <c r="AG39" s="1171"/>
      <c r="AH39" s="1171"/>
      <c r="AI39" s="1171"/>
      <c r="AJ39" s="1171"/>
      <c r="AK39" s="1171"/>
      <c r="AL39" s="1171"/>
      <c r="AM39" s="1171"/>
      <c r="AN39" s="1171"/>
      <c r="AO39" s="1171"/>
      <c r="AP39" s="1171"/>
      <c r="AQ39" s="1171"/>
      <c r="AR39" s="1171"/>
      <c r="AS39" s="1171"/>
      <c r="AT39" s="1171"/>
      <c r="AU39" s="1171"/>
      <c r="AV39" s="1171"/>
      <c r="AW39" s="1171"/>
      <c r="AX39" s="1171"/>
    </row>
    <row r="40" spans="2:50">
      <c r="B40" s="1171"/>
      <c r="C40" s="1171"/>
      <c r="D40" s="1171"/>
      <c r="E40" s="1171"/>
      <c r="F40" s="1171"/>
      <c r="G40" s="1171"/>
      <c r="H40" s="1171"/>
      <c r="I40" s="1171"/>
      <c r="J40" s="1171"/>
      <c r="K40" s="1171"/>
      <c r="L40" s="1171"/>
      <c r="M40" s="1171"/>
      <c r="N40" s="1171"/>
      <c r="O40" s="1171"/>
      <c r="P40" s="1171"/>
      <c r="Q40" s="1171"/>
      <c r="R40" s="1171"/>
      <c r="S40" s="1171"/>
      <c r="T40" s="1171"/>
      <c r="U40" s="1171"/>
      <c r="V40" s="1171"/>
      <c r="W40" s="1171"/>
      <c r="X40" s="1171"/>
      <c r="Y40" s="1171"/>
      <c r="Z40" s="1171"/>
      <c r="AA40" s="1171"/>
      <c r="AB40" s="1171"/>
      <c r="AC40" s="1171"/>
      <c r="AD40" s="1171"/>
      <c r="AE40" s="1171"/>
      <c r="AF40" s="1171"/>
      <c r="AG40" s="1171"/>
      <c r="AH40" s="1171"/>
      <c r="AI40" s="1171"/>
      <c r="AJ40" s="1171"/>
      <c r="AK40" s="1171"/>
      <c r="AL40" s="1171"/>
      <c r="AM40" s="1171"/>
      <c r="AN40" s="1171"/>
      <c r="AO40" s="1171"/>
      <c r="AP40" s="1171"/>
      <c r="AQ40" s="1171"/>
      <c r="AR40" s="1171"/>
      <c r="AS40" s="1171"/>
      <c r="AT40" s="1171"/>
      <c r="AU40" s="1171"/>
      <c r="AV40" s="1171"/>
      <c r="AW40" s="1171"/>
      <c r="AX40" s="1171"/>
    </row>
    <row r="41" spans="2:50">
      <c r="B41" s="1171"/>
      <c r="C41" s="1171"/>
      <c r="D41" s="1171"/>
      <c r="E41" s="1171"/>
      <c r="F41" s="1171"/>
      <c r="G41" s="1171"/>
      <c r="H41" s="1171"/>
      <c r="I41" s="1171"/>
      <c r="J41" s="1171"/>
      <c r="K41" s="1171"/>
      <c r="L41" s="1171"/>
      <c r="M41" s="1171"/>
      <c r="N41" s="1171"/>
      <c r="O41" s="1171"/>
      <c r="P41" s="1171"/>
      <c r="Q41" s="1171"/>
      <c r="R41" s="1171"/>
      <c r="S41" s="1171"/>
      <c r="T41" s="1171"/>
      <c r="U41" s="1171"/>
      <c r="V41" s="1171"/>
      <c r="W41" s="1171"/>
      <c r="X41" s="1171"/>
      <c r="Y41" s="1171"/>
      <c r="Z41" s="1171"/>
      <c r="AA41" s="1171"/>
      <c r="AB41" s="1171"/>
      <c r="AC41" s="1171"/>
      <c r="AD41" s="1171"/>
      <c r="AE41" s="1171"/>
      <c r="AF41" s="1171"/>
      <c r="AG41" s="1171"/>
      <c r="AH41" s="1171"/>
      <c r="AI41" s="1171"/>
      <c r="AJ41" s="1171"/>
      <c r="AK41" s="1171"/>
      <c r="AL41" s="1171"/>
      <c r="AM41" s="1171"/>
      <c r="AN41" s="1171"/>
      <c r="AO41" s="1171"/>
      <c r="AP41" s="1171"/>
      <c r="AQ41" s="1171"/>
      <c r="AR41" s="1171"/>
      <c r="AS41" s="1171"/>
      <c r="AT41" s="1171"/>
      <c r="AU41" s="1171"/>
      <c r="AV41" s="1171"/>
      <c r="AW41" s="1171"/>
      <c r="AX41" s="1171"/>
    </row>
    <row r="42" spans="2:50">
      <c r="B42" s="1171"/>
      <c r="C42" s="1171"/>
      <c r="D42" s="1171"/>
      <c r="E42" s="1171"/>
      <c r="F42" s="1171"/>
      <c r="G42" s="1171"/>
      <c r="H42" s="1171"/>
      <c r="I42" s="1171"/>
      <c r="J42" s="1171"/>
      <c r="K42" s="1171"/>
      <c r="L42" s="1171"/>
      <c r="M42" s="1171"/>
      <c r="N42" s="1171"/>
      <c r="O42" s="1171"/>
      <c r="P42" s="1171"/>
      <c r="Q42" s="1171"/>
      <c r="R42" s="1171"/>
      <c r="S42" s="1171"/>
      <c r="T42" s="1171"/>
      <c r="U42" s="1171"/>
      <c r="V42" s="1171"/>
      <c r="W42" s="1171"/>
      <c r="X42" s="1171"/>
      <c r="Y42" s="1171"/>
      <c r="Z42" s="1171"/>
      <c r="AA42" s="1171"/>
      <c r="AB42" s="1171"/>
      <c r="AC42" s="1171"/>
      <c r="AD42" s="1171"/>
      <c r="AE42" s="1171"/>
      <c r="AF42" s="1171"/>
      <c r="AG42" s="1171"/>
      <c r="AH42" s="1171"/>
      <c r="AI42" s="1171"/>
      <c r="AJ42" s="1171"/>
      <c r="AK42" s="1171"/>
      <c r="AL42" s="1171"/>
      <c r="AM42" s="1171"/>
      <c r="AN42" s="1171"/>
      <c r="AO42" s="1171"/>
      <c r="AP42" s="1171"/>
      <c r="AQ42" s="1171"/>
      <c r="AR42" s="1171"/>
      <c r="AS42" s="1171"/>
      <c r="AT42" s="1171"/>
      <c r="AU42" s="1171"/>
      <c r="AV42" s="1171"/>
      <c r="AW42" s="1171"/>
      <c r="AX42" s="1171"/>
    </row>
    <row r="43" spans="2:50">
      <c r="B43" s="1171"/>
      <c r="C43" s="1171"/>
      <c r="D43" s="1171"/>
      <c r="E43" s="1171"/>
      <c r="F43" s="1171"/>
      <c r="G43" s="1171"/>
      <c r="H43" s="1171"/>
      <c r="I43" s="1171"/>
      <c r="J43" s="1171"/>
      <c r="K43" s="1171"/>
      <c r="L43" s="1171"/>
      <c r="M43" s="1171"/>
      <c r="N43" s="1171"/>
      <c r="O43" s="1171"/>
      <c r="P43" s="1171"/>
      <c r="Q43" s="1171"/>
      <c r="R43" s="1171"/>
      <c r="S43" s="1171"/>
      <c r="T43" s="1171"/>
      <c r="U43" s="1171"/>
      <c r="V43" s="1171"/>
      <c r="W43" s="1171"/>
      <c r="X43" s="1171"/>
      <c r="Y43" s="1171"/>
      <c r="Z43" s="1171"/>
      <c r="AA43" s="1171"/>
      <c r="AB43" s="1171"/>
      <c r="AC43" s="1171"/>
      <c r="AD43" s="1171"/>
      <c r="AE43" s="1171"/>
      <c r="AF43" s="1171"/>
      <c r="AG43" s="1171"/>
      <c r="AH43" s="1171"/>
      <c r="AI43" s="1171"/>
      <c r="AJ43" s="1171"/>
      <c r="AK43" s="1171"/>
      <c r="AL43" s="1171"/>
      <c r="AM43" s="1171"/>
      <c r="AN43" s="1171"/>
      <c r="AO43" s="1171"/>
      <c r="AP43" s="1171"/>
      <c r="AQ43" s="1171"/>
      <c r="AR43" s="1171"/>
      <c r="AS43" s="1171"/>
      <c r="AT43" s="1171"/>
      <c r="AU43" s="1171"/>
      <c r="AV43" s="1171"/>
      <c r="AW43" s="1171"/>
      <c r="AX43" s="1171"/>
    </row>
    <row r="44" spans="2:50">
      <c r="B44" s="1171"/>
      <c r="C44" s="1171"/>
      <c r="D44" s="1171"/>
      <c r="E44" s="1171"/>
      <c r="F44" s="1171"/>
      <c r="G44" s="1171"/>
      <c r="H44" s="1171"/>
      <c r="I44" s="1171"/>
      <c r="J44" s="1171"/>
      <c r="K44" s="1171"/>
      <c r="L44" s="1171"/>
      <c r="M44" s="1171"/>
      <c r="N44" s="1171"/>
      <c r="O44" s="1171"/>
      <c r="P44" s="1171"/>
      <c r="Q44" s="1171"/>
      <c r="R44" s="1171"/>
      <c r="S44" s="1171"/>
      <c r="T44" s="1171"/>
      <c r="U44" s="1171"/>
      <c r="V44" s="1171"/>
      <c r="W44" s="1171"/>
      <c r="X44" s="1171"/>
      <c r="Y44" s="1171"/>
      <c r="Z44" s="1171"/>
      <c r="AA44" s="1171"/>
      <c r="AB44" s="1171"/>
      <c r="AC44" s="1171"/>
      <c r="AD44" s="1171"/>
      <c r="AE44" s="1171"/>
      <c r="AF44" s="1171"/>
      <c r="AG44" s="1171"/>
      <c r="AH44" s="1171"/>
      <c r="AI44" s="1171"/>
      <c r="AJ44" s="1171"/>
      <c r="AK44" s="1171"/>
      <c r="AL44" s="1171"/>
      <c r="AM44" s="1171"/>
      <c r="AN44" s="1171"/>
      <c r="AO44" s="1171"/>
      <c r="AP44" s="1171"/>
      <c r="AQ44" s="1171"/>
      <c r="AR44" s="1171"/>
      <c r="AS44" s="1171"/>
      <c r="AT44" s="1171"/>
      <c r="AU44" s="1171"/>
      <c r="AV44" s="1171"/>
      <c r="AW44" s="1171"/>
      <c r="AX44" s="1171"/>
    </row>
    <row r="45" spans="2:50">
      <c r="B45" s="1171"/>
      <c r="C45" s="1171"/>
      <c r="D45" s="1171"/>
      <c r="E45" s="1171"/>
      <c r="F45" s="1171"/>
      <c r="G45" s="1171"/>
      <c r="H45" s="1171"/>
      <c r="I45" s="1171"/>
      <c r="J45" s="1171"/>
      <c r="K45" s="1171"/>
      <c r="L45" s="1171"/>
      <c r="M45" s="1171"/>
      <c r="N45" s="1171"/>
      <c r="O45" s="1171"/>
      <c r="P45" s="1171"/>
      <c r="Q45" s="1171"/>
      <c r="R45" s="1171"/>
      <c r="S45" s="1171"/>
      <c r="T45" s="1171"/>
      <c r="U45" s="1171"/>
      <c r="V45" s="1171"/>
      <c r="W45" s="1171"/>
      <c r="X45" s="1171"/>
      <c r="Y45" s="1171"/>
      <c r="Z45" s="1171"/>
      <c r="AA45" s="1171"/>
      <c r="AB45" s="1171"/>
      <c r="AC45" s="1171"/>
      <c r="AD45" s="1171"/>
      <c r="AE45" s="1171"/>
      <c r="AF45" s="1171"/>
      <c r="AG45" s="1171"/>
      <c r="AH45" s="1171"/>
      <c r="AI45" s="1171"/>
      <c r="AJ45" s="1171"/>
      <c r="AK45" s="1171"/>
      <c r="AL45" s="1171"/>
      <c r="AM45" s="1171"/>
      <c r="AN45" s="1171"/>
      <c r="AO45" s="1171"/>
      <c r="AP45" s="1171"/>
      <c r="AQ45" s="1171"/>
      <c r="AR45" s="1171"/>
      <c r="AS45" s="1171"/>
      <c r="AT45" s="1171"/>
      <c r="AU45" s="1171"/>
      <c r="AV45" s="1171"/>
      <c r="AW45" s="1171"/>
      <c r="AX45" s="1171"/>
    </row>
    <row r="46" spans="2:50">
      <c r="B46" s="1171"/>
      <c r="C46" s="1171"/>
      <c r="D46" s="1171"/>
      <c r="E46" s="1171"/>
      <c r="F46" s="1171"/>
      <c r="G46" s="1171"/>
      <c r="H46" s="1171"/>
      <c r="I46" s="1171"/>
      <c r="J46" s="1171"/>
      <c r="K46" s="1171"/>
      <c r="L46" s="1171"/>
      <c r="M46" s="1171"/>
      <c r="N46" s="1171"/>
      <c r="O46" s="1171"/>
      <c r="P46" s="1171"/>
      <c r="Q46" s="1171"/>
      <c r="R46" s="1171"/>
      <c r="S46" s="1171"/>
      <c r="T46" s="1171"/>
      <c r="U46" s="1171"/>
      <c r="V46" s="1171"/>
      <c r="W46" s="1171"/>
      <c r="X46" s="1171"/>
      <c r="Y46" s="1171"/>
      <c r="Z46" s="1171"/>
      <c r="AA46" s="1171"/>
      <c r="AB46" s="1171"/>
      <c r="AC46" s="1171"/>
      <c r="AD46" s="1171"/>
      <c r="AE46" s="1171"/>
      <c r="AF46" s="1171"/>
      <c r="AG46" s="1171"/>
      <c r="AH46" s="1171"/>
      <c r="AI46" s="1171"/>
      <c r="AJ46" s="1171"/>
      <c r="AK46" s="1171"/>
      <c r="AL46" s="1171"/>
      <c r="AM46" s="1171"/>
      <c r="AN46" s="1171"/>
      <c r="AO46" s="1171"/>
      <c r="AP46" s="1171"/>
      <c r="AQ46" s="1171"/>
      <c r="AR46" s="1171"/>
      <c r="AS46" s="1171"/>
      <c r="AT46" s="1171"/>
      <c r="AU46" s="1171"/>
      <c r="AV46" s="1171"/>
      <c r="AW46" s="1171"/>
      <c r="AX46" s="1171"/>
    </row>
    <row r="47" spans="2:50">
      <c r="B47" s="1171"/>
      <c r="C47" s="1171"/>
      <c r="D47" s="1171"/>
      <c r="E47" s="1171"/>
      <c r="F47" s="1171"/>
      <c r="G47" s="1171"/>
      <c r="H47" s="1171"/>
      <c r="I47" s="1171"/>
      <c r="J47" s="1171"/>
      <c r="K47" s="1171"/>
      <c r="L47" s="1171"/>
      <c r="M47" s="1171"/>
      <c r="N47" s="1171"/>
      <c r="O47" s="1171"/>
      <c r="P47" s="1171"/>
      <c r="Q47" s="1171"/>
      <c r="R47" s="1171"/>
      <c r="S47" s="1171"/>
      <c r="T47" s="1171"/>
      <c r="U47" s="1171"/>
      <c r="V47" s="1171"/>
      <c r="W47" s="1171"/>
      <c r="X47" s="1171"/>
      <c r="Y47" s="1171"/>
      <c r="Z47" s="1171"/>
      <c r="AA47" s="1171"/>
      <c r="AB47" s="1171"/>
      <c r="AC47" s="1171"/>
      <c r="AD47" s="1171"/>
      <c r="AE47" s="1171"/>
      <c r="AF47" s="1171"/>
      <c r="AG47" s="1171"/>
      <c r="AH47" s="1171"/>
      <c r="AI47" s="1171"/>
      <c r="AJ47" s="1171"/>
      <c r="AK47" s="1171"/>
      <c r="AL47" s="1171"/>
      <c r="AM47" s="1171"/>
      <c r="AN47" s="1171"/>
      <c r="AO47" s="1171"/>
      <c r="AP47" s="1171"/>
      <c r="AQ47" s="1171"/>
      <c r="AR47" s="1171"/>
      <c r="AS47" s="1171"/>
      <c r="AT47" s="1171"/>
      <c r="AU47" s="1171"/>
      <c r="AV47" s="1171"/>
      <c r="AW47" s="1171"/>
      <c r="AX47" s="1171"/>
    </row>
    <row r="48" spans="2:50">
      <c r="B48" s="1171"/>
      <c r="C48" s="1171"/>
      <c r="D48" s="1171"/>
      <c r="E48" s="1171"/>
      <c r="F48" s="1171"/>
      <c r="G48" s="1171"/>
      <c r="H48" s="1171"/>
      <c r="I48" s="1171"/>
      <c r="J48" s="1171"/>
      <c r="K48" s="1171"/>
      <c r="L48" s="1171"/>
      <c r="M48" s="1171"/>
      <c r="N48" s="1171"/>
      <c r="O48" s="1171"/>
      <c r="P48" s="1171"/>
      <c r="Q48" s="1171"/>
      <c r="R48" s="1171"/>
      <c r="S48" s="1171"/>
      <c r="T48" s="1171"/>
      <c r="U48" s="1171"/>
      <c r="V48" s="1171"/>
      <c r="W48" s="1171"/>
      <c r="X48" s="1171"/>
      <c r="Y48" s="1171"/>
      <c r="Z48" s="1171"/>
      <c r="AA48" s="1171"/>
      <c r="AB48" s="1171"/>
      <c r="AC48" s="1171"/>
      <c r="AD48" s="1171"/>
      <c r="AE48" s="1171"/>
      <c r="AF48" s="1171"/>
      <c r="AG48" s="1171"/>
      <c r="AH48" s="1171"/>
      <c r="AI48" s="1171"/>
      <c r="AJ48" s="1171"/>
      <c r="AK48" s="1171"/>
      <c r="AL48" s="1171"/>
      <c r="AM48" s="1171"/>
      <c r="AN48" s="1171"/>
      <c r="AO48" s="1171"/>
      <c r="AP48" s="1171"/>
      <c r="AQ48" s="1171"/>
      <c r="AR48" s="1171"/>
      <c r="AS48" s="1171"/>
      <c r="AT48" s="1171"/>
      <c r="AU48" s="1171"/>
      <c r="AV48" s="1171"/>
      <c r="AW48" s="1171"/>
      <c r="AX48" s="1171"/>
    </row>
    <row r="49" spans="2:50">
      <c r="B49" s="1171"/>
      <c r="C49" s="1171"/>
      <c r="D49" s="1171"/>
      <c r="E49" s="1171"/>
      <c r="F49" s="1171"/>
      <c r="G49" s="1171"/>
      <c r="H49" s="1171"/>
      <c r="I49" s="1171"/>
      <c r="J49" s="1171"/>
      <c r="K49" s="1171"/>
      <c r="L49" s="1171"/>
      <c r="M49" s="1171"/>
      <c r="N49" s="1171"/>
      <c r="O49" s="1171"/>
      <c r="P49" s="1171"/>
      <c r="Q49" s="1171"/>
      <c r="R49" s="1171"/>
      <c r="S49" s="1171"/>
      <c r="T49" s="1171"/>
      <c r="U49" s="1171"/>
      <c r="V49" s="1171"/>
      <c r="W49" s="1171"/>
      <c r="X49" s="1171"/>
      <c r="Y49" s="1171"/>
      <c r="Z49" s="1171"/>
      <c r="AA49" s="1171"/>
      <c r="AB49" s="1171"/>
      <c r="AC49" s="1171"/>
      <c r="AD49" s="1171"/>
      <c r="AE49" s="1171"/>
      <c r="AF49" s="1171"/>
      <c r="AG49" s="1171"/>
      <c r="AH49" s="1171"/>
      <c r="AI49" s="1171"/>
      <c r="AJ49" s="1171"/>
      <c r="AK49" s="1171"/>
      <c r="AL49" s="1171"/>
      <c r="AM49" s="1171"/>
      <c r="AN49" s="1171"/>
      <c r="AO49" s="1171"/>
      <c r="AP49" s="1171"/>
      <c r="AQ49" s="1171"/>
      <c r="AR49" s="1171"/>
      <c r="AS49" s="1171"/>
      <c r="AT49" s="1171"/>
      <c r="AU49" s="1171"/>
      <c r="AV49" s="1171"/>
      <c r="AW49" s="1171"/>
      <c r="AX49" s="1171"/>
    </row>
    <row r="50" spans="2:50">
      <c r="B50" s="1171"/>
      <c r="C50" s="1171"/>
      <c r="D50" s="1171"/>
      <c r="E50" s="1171"/>
      <c r="F50" s="1171"/>
      <c r="G50" s="1171"/>
      <c r="H50" s="1171"/>
      <c r="I50" s="1171"/>
      <c r="J50" s="1171"/>
      <c r="K50" s="1171"/>
      <c r="L50" s="1171"/>
      <c r="M50" s="1171"/>
      <c r="N50" s="1171"/>
      <c r="O50" s="1171"/>
      <c r="P50" s="1171"/>
      <c r="Q50" s="1171"/>
      <c r="R50" s="1171"/>
      <c r="S50" s="1171"/>
      <c r="T50" s="1171"/>
      <c r="U50" s="1171"/>
      <c r="V50" s="1171"/>
      <c r="W50" s="1171"/>
      <c r="X50" s="1171"/>
      <c r="Y50" s="1171"/>
      <c r="Z50" s="1171"/>
      <c r="AA50" s="1171"/>
      <c r="AB50" s="1171"/>
      <c r="AC50" s="1171"/>
      <c r="AD50" s="1171"/>
      <c r="AE50" s="1171"/>
      <c r="AF50" s="1171"/>
      <c r="AG50" s="1171"/>
      <c r="AH50" s="1171"/>
      <c r="AI50" s="1171"/>
      <c r="AJ50" s="1171"/>
      <c r="AK50" s="1171"/>
      <c r="AL50" s="1171"/>
      <c r="AM50" s="1171"/>
      <c r="AN50" s="1171"/>
      <c r="AO50" s="1171"/>
      <c r="AP50" s="1171"/>
      <c r="AQ50" s="1171"/>
      <c r="AR50" s="1171"/>
      <c r="AS50" s="1171"/>
      <c r="AT50" s="1171"/>
      <c r="AU50" s="1171"/>
      <c r="AV50" s="1171"/>
      <c r="AW50" s="1171"/>
      <c r="AX50" s="1171"/>
    </row>
  </sheetData>
  <sheetProtection password="CC08" sheet="1" objects="1" scenarios="1"/>
  <protectedRanges>
    <protectedRange sqref="B3:B5 B8:IV65536" name="Range1"/>
  </protectedRanges>
  <phoneticPr fontId="5" type="noConversion"/>
  <pageMargins left="0.75" right="0.75" top="1" bottom="1" header="0.5" footer="0.5"/>
  <pageSetup orientation="portrait" r:id="rId1"/>
  <headerFooter alignWithMargins="0"/>
  <legacyDrawing r:id="rId2"/>
  <controls>
    <control shapeId="12292" r:id="rId3" name="MainMenu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Y87"/>
  <sheetViews>
    <sheetView showGridLines="0" zoomScaleNormal="75" workbookViewId="0">
      <selection activeCell="K40" sqref="K40"/>
    </sheetView>
  </sheetViews>
  <sheetFormatPr defaultRowHeight="12.75"/>
  <cols>
    <col min="1" max="1" width="10.42578125" style="1" customWidth="1"/>
    <col min="2" max="2" width="11" style="1" bestFit="1" customWidth="1"/>
    <col min="3" max="3" width="9.5703125" style="1" bestFit="1" customWidth="1"/>
    <col min="4" max="7" width="9.28515625" style="1" bestFit="1" customWidth="1"/>
    <col min="8" max="11" width="9.140625" style="1"/>
    <col min="12" max="12" width="10.28515625" style="1" bestFit="1" customWidth="1"/>
    <col min="13" max="13" width="9.28515625" style="1" bestFit="1" customWidth="1"/>
    <col min="14" max="14" width="9.140625" style="1"/>
    <col min="15" max="15" width="14.28515625" style="1" bestFit="1" customWidth="1"/>
    <col min="16" max="17" width="9.140625" style="1"/>
    <col min="18" max="21" width="9" style="1" customWidth="1"/>
    <col min="22" max="16384" width="9.140625" style="1"/>
  </cols>
  <sheetData>
    <row r="1" spans="1:25">
      <c r="A1" s="33" t="s">
        <v>152</v>
      </c>
      <c r="B1" s="16"/>
      <c r="C1" s="16"/>
      <c r="D1" s="16"/>
      <c r="E1" s="27" t="s">
        <v>129</v>
      </c>
      <c r="F1" s="1477"/>
      <c r="G1" s="1478"/>
      <c r="H1" s="1479"/>
      <c r="I1" s="16"/>
      <c r="J1" s="16"/>
      <c r="K1" s="16" t="str">
        <f>""</f>
        <v/>
      </c>
      <c r="O1" s="31" t="str">
        <f>IF(F1="","",F1)</f>
        <v/>
      </c>
      <c r="P1"/>
    </row>
    <row r="2" spans="1:25">
      <c r="A2" s="16"/>
      <c r="B2" s="16"/>
      <c r="C2" s="16"/>
      <c r="D2" s="16"/>
      <c r="E2" s="27" t="s">
        <v>128</v>
      </c>
      <c r="F2" s="1477"/>
      <c r="G2" s="1478"/>
      <c r="H2" s="1479"/>
      <c r="I2" s="16"/>
      <c r="J2" s="16"/>
      <c r="K2" s="16" t="str">
        <f>""</f>
        <v/>
      </c>
      <c r="O2" s="31" t="str">
        <f>IF(F2="","",F2)</f>
        <v/>
      </c>
      <c r="P2"/>
    </row>
    <row r="3" spans="1:25" ht="13.5">
      <c r="A3" s="16" t="s">
        <v>136</v>
      </c>
      <c r="B3" s="16"/>
      <c r="C3" s="16"/>
      <c r="D3" s="16"/>
      <c r="E3" s="27" t="s">
        <v>137</v>
      </c>
      <c r="F3" s="90"/>
      <c r="G3" s="91"/>
      <c r="H3" s="78"/>
      <c r="I3" s="16"/>
      <c r="J3" s="16"/>
      <c r="K3" s="16" t="str">
        <f>""</f>
        <v/>
      </c>
      <c r="O3" s="31" t="str">
        <f>IF(F3="","",F3&amp;":  "&amp;H3)</f>
        <v/>
      </c>
      <c r="P3"/>
    </row>
    <row r="4" spans="1:25" ht="14.25">
      <c r="A4" s="26" t="s">
        <v>108</v>
      </c>
      <c r="B4" s="79"/>
      <c r="C4" s="25"/>
      <c r="D4" s="25"/>
      <c r="E4" s="27" t="s">
        <v>130</v>
      </c>
      <c r="F4" s="1480"/>
      <c r="G4" s="1481"/>
      <c r="H4" s="1482"/>
      <c r="I4" s="16"/>
      <c r="J4" s="16"/>
      <c r="K4" s="16" t="str">
        <f>""</f>
        <v/>
      </c>
      <c r="L4"/>
      <c r="M4"/>
      <c r="N4" s="1476" t="str">
        <f>IF(F4="","",F4)</f>
        <v/>
      </c>
      <c r="O4" s="1476"/>
      <c r="P4" s="1476"/>
      <c r="S4"/>
      <c r="T4"/>
      <c r="U4"/>
      <c r="V4"/>
      <c r="W4"/>
      <c r="X4"/>
      <c r="Y4"/>
    </row>
    <row r="5" spans="1:25">
      <c r="A5" s="88" t="s">
        <v>154</v>
      </c>
      <c r="B5" s="79"/>
      <c r="C5" s="16"/>
      <c r="D5" s="16"/>
      <c r="E5" s="27" t="s">
        <v>131</v>
      </c>
      <c r="F5" s="1483"/>
      <c r="G5" s="1484"/>
      <c r="H5" s="1485"/>
      <c r="I5" s="16"/>
      <c r="J5" s="16"/>
      <c r="K5" s="16" t="str">
        <f>""</f>
        <v/>
      </c>
      <c r="L5"/>
      <c r="M5"/>
      <c r="N5"/>
      <c r="O5" s="80" t="str">
        <f>IF(F40=0,"","n = "&amp;F40)</f>
        <v/>
      </c>
      <c r="P5"/>
      <c r="R5"/>
      <c r="S5"/>
      <c r="T5"/>
      <c r="U5"/>
      <c r="V5"/>
      <c r="W5"/>
      <c r="X5"/>
      <c r="Y5"/>
    </row>
    <row r="6" spans="1:25" ht="12.75" customHeight="1">
      <c r="A6" s="88" t="s">
        <v>155</v>
      </c>
      <c r="B6" s="79"/>
      <c r="C6"/>
      <c r="D6"/>
      <c r="E6" s="27" t="s">
        <v>132</v>
      </c>
      <c r="F6" s="1483"/>
      <c r="G6" s="1484"/>
      <c r="H6" s="1485"/>
      <c r="I6" s="16"/>
      <c r="J6" s="16"/>
      <c r="K6" s="16" t="str">
        <f>""</f>
        <v/>
      </c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25" ht="13.5" thickBot="1">
      <c r="A7" s="32"/>
      <c r="B7" s="16"/>
      <c r="C7" s="16"/>
      <c r="D7" s="17"/>
      <c r="E7" s="16"/>
      <c r="F7" s="81" t="s">
        <v>133</v>
      </c>
      <c r="G7" s="16"/>
      <c r="H7" s="16"/>
      <c r="I7" s="16"/>
      <c r="J7" s="16"/>
      <c r="K7" s="16" t="str">
        <f>""</f>
        <v/>
      </c>
      <c r="S7" s="2"/>
      <c r="T7" s="2"/>
      <c r="U7" s="2"/>
      <c r="V7" s="2"/>
      <c r="W7" s="2"/>
    </row>
    <row r="8" spans="1:25" ht="13.5" thickBot="1">
      <c r="A8" s="32" t="s">
        <v>411</v>
      </c>
      <c r="C8" s="205">
        <v>20</v>
      </c>
      <c r="D8" s="17"/>
      <c r="E8" s="16"/>
      <c r="F8" s="81" t="s">
        <v>134</v>
      </c>
      <c r="G8" s="16"/>
      <c r="H8" s="16"/>
      <c r="I8" s="16"/>
      <c r="J8" s="16"/>
      <c r="K8" s="16" t="str">
        <f>""</f>
        <v/>
      </c>
      <c r="S8" s="2"/>
      <c r="T8" s="2"/>
      <c r="U8" s="2"/>
      <c r="V8" s="2"/>
      <c r="W8" s="2"/>
    </row>
    <row r="9" spans="1:25" ht="13.5" thickBot="1">
      <c r="A9" s="16" t="s">
        <v>412</v>
      </c>
      <c r="B9" s="16"/>
      <c r="C9" s="206">
        <f>COUNT(A12:A31)</f>
        <v>20</v>
      </c>
      <c r="D9" s="17"/>
      <c r="E9" s="16"/>
      <c r="F9" s="81" t="s">
        <v>135</v>
      </c>
      <c r="G9" s="16"/>
      <c r="H9" s="16"/>
      <c r="I9" s="16"/>
      <c r="J9" s="16"/>
      <c r="K9" s="16" t="str">
        <f>""</f>
        <v/>
      </c>
      <c r="R9" s="2"/>
      <c r="U9" s="2"/>
      <c r="V9" s="2"/>
      <c r="W9" s="2"/>
    </row>
    <row r="10" spans="1:25">
      <c r="A10" s="16"/>
      <c r="B10" s="18" t="s">
        <v>109</v>
      </c>
      <c r="C10" s="19"/>
      <c r="D10" s="16"/>
      <c r="E10" s="34" t="s">
        <v>110</v>
      </c>
      <c r="F10" s="35" t="s">
        <v>111</v>
      </c>
      <c r="G10" s="36" t="s">
        <v>112</v>
      </c>
      <c r="H10" s="16"/>
      <c r="I10" s="16"/>
      <c r="J10" s="16"/>
      <c r="K10" s="16" t="str">
        <f>""</f>
        <v/>
      </c>
      <c r="R10" s="2"/>
      <c r="U10" s="2"/>
      <c r="V10" s="2"/>
      <c r="W10" s="2"/>
    </row>
    <row r="11" spans="1:25" ht="14.25" thickBot="1">
      <c r="A11" s="20" t="s">
        <v>113</v>
      </c>
      <c r="B11" s="21" t="s">
        <v>114</v>
      </c>
      <c r="C11" s="21" t="s">
        <v>115</v>
      </c>
      <c r="D11" s="16"/>
      <c r="E11" s="37" t="s">
        <v>111</v>
      </c>
      <c r="F11" s="37" t="s">
        <v>116</v>
      </c>
      <c r="G11" s="37" t="s">
        <v>117</v>
      </c>
      <c r="H11" s="37" t="s">
        <v>110</v>
      </c>
      <c r="I11" s="37" t="s">
        <v>156</v>
      </c>
      <c r="J11" s="16"/>
      <c r="K11" s="16" t="str">
        <f>""</f>
        <v/>
      </c>
      <c r="R11"/>
      <c r="U11"/>
      <c r="V11" s="2"/>
      <c r="W11" s="2"/>
    </row>
    <row r="12" spans="1:25" ht="13.5" thickTop="1">
      <c r="A12" s="20">
        <v>1</v>
      </c>
      <c r="B12" s="212"/>
      <c r="C12" s="213"/>
      <c r="E12" s="38"/>
      <c r="F12" s="89" t="str">
        <f>IF(B12="","",AVERAGE(B12:C12))</f>
        <v/>
      </c>
      <c r="G12" s="39" t="str">
        <f>IF(C12="","",ABS(B12-C12))</f>
        <v/>
      </c>
      <c r="H12" s="39" t="str">
        <f>IF(B12="","",G32)</f>
        <v/>
      </c>
      <c r="I12" s="39" t="str">
        <f>IF(B12="","",3.267*G32)</f>
        <v/>
      </c>
      <c r="J12" s="16" t="str">
        <f>IF(B12="","",IF(G12&gt;I12,"Error?",""))</f>
        <v/>
      </c>
      <c r="K12" s="16" t="str">
        <f>""</f>
        <v/>
      </c>
      <c r="R12"/>
    </row>
    <row r="13" spans="1:25">
      <c r="A13" s="20">
        <v>2</v>
      </c>
      <c r="B13" s="212"/>
      <c r="C13" s="213"/>
      <c r="D13" s="16"/>
      <c r="E13" s="89" t="str">
        <f>IF(F13="","",ABS(F13-F12))</f>
        <v/>
      </c>
      <c r="F13" s="39" t="str">
        <f>IF(B13="","",AVERAGE(B13:C13))</f>
        <v/>
      </c>
      <c r="G13" s="39" t="str">
        <f>IF(C13="","",ABS(B13-C13))</f>
        <v/>
      </c>
      <c r="H13" s="39" t="str">
        <f>H12</f>
        <v/>
      </c>
      <c r="I13" s="39" t="str">
        <f>I12</f>
        <v/>
      </c>
      <c r="J13" s="16" t="str">
        <f>IF(B13="","",IF(G13&gt;I13,"Error?",""))</f>
        <v/>
      </c>
      <c r="K13" s="16" t="str">
        <f>""</f>
        <v/>
      </c>
      <c r="R13"/>
    </row>
    <row r="14" spans="1:25">
      <c r="A14" s="20">
        <v>3</v>
      </c>
      <c r="B14" s="212"/>
      <c r="C14" s="213"/>
      <c r="D14" s="16"/>
      <c r="E14" s="89" t="str">
        <f t="shared" ref="E14:E31" si="0">IF(F14="","",ABS(F14-F13))</f>
        <v/>
      </c>
      <c r="F14" s="39" t="str">
        <f t="shared" ref="F14:F31" si="1">IF(B14="","",AVERAGE(B14:C14))</f>
        <v/>
      </c>
      <c r="G14" s="39" t="str">
        <f t="shared" ref="G14:G31" si="2">IF(C14="","",ABS(B14-C14))</f>
        <v/>
      </c>
      <c r="H14" s="39" t="str">
        <f t="shared" ref="H14:H31" si="3">H13</f>
        <v/>
      </c>
      <c r="I14" s="39" t="str">
        <f t="shared" ref="I14:I31" si="4">I13</f>
        <v/>
      </c>
      <c r="J14" s="16" t="str">
        <f t="shared" ref="J14:J31" si="5">IF(B14="","",IF(G14&gt;I14,"Error?",""))</f>
        <v/>
      </c>
      <c r="K14" s="16" t="str">
        <f>""</f>
        <v/>
      </c>
      <c r="R14"/>
    </row>
    <row r="15" spans="1:25">
      <c r="A15" s="20">
        <v>4</v>
      </c>
      <c r="B15" s="212"/>
      <c r="C15" s="213"/>
      <c r="D15" s="16"/>
      <c r="E15" s="89" t="str">
        <f t="shared" si="0"/>
        <v/>
      </c>
      <c r="F15" s="39" t="str">
        <f t="shared" si="1"/>
        <v/>
      </c>
      <c r="G15" s="39" t="str">
        <f t="shared" si="2"/>
        <v/>
      </c>
      <c r="H15" s="39" t="str">
        <f t="shared" si="3"/>
        <v/>
      </c>
      <c r="I15" s="39" t="str">
        <f t="shared" si="4"/>
        <v/>
      </c>
      <c r="J15" s="16" t="str">
        <f t="shared" si="5"/>
        <v/>
      </c>
      <c r="R15"/>
      <c r="X15" s="2"/>
    </row>
    <row r="16" spans="1:25">
      <c r="A16" s="20">
        <v>5</v>
      </c>
      <c r="B16" s="212"/>
      <c r="C16" s="213"/>
      <c r="D16" s="16"/>
      <c r="E16" s="89" t="str">
        <f t="shared" si="0"/>
        <v/>
      </c>
      <c r="F16" s="39" t="str">
        <f t="shared" si="1"/>
        <v/>
      </c>
      <c r="G16" s="39" t="str">
        <f t="shared" si="2"/>
        <v/>
      </c>
      <c r="H16" s="39" t="str">
        <f t="shared" si="3"/>
        <v/>
      </c>
      <c r="I16" s="39" t="str">
        <f t="shared" si="4"/>
        <v/>
      </c>
      <c r="J16" s="16" t="str">
        <f t="shared" si="5"/>
        <v/>
      </c>
      <c r="R16"/>
      <c r="X16" s="2"/>
    </row>
    <row r="17" spans="1:24">
      <c r="A17" s="20">
        <v>6</v>
      </c>
      <c r="B17" s="212"/>
      <c r="C17" s="213"/>
      <c r="D17" s="16"/>
      <c r="E17" s="89" t="str">
        <f t="shared" si="0"/>
        <v/>
      </c>
      <c r="F17" s="39" t="str">
        <f t="shared" si="1"/>
        <v/>
      </c>
      <c r="G17" s="39" t="str">
        <f t="shared" si="2"/>
        <v/>
      </c>
      <c r="H17" s="39" t="str">
        <f t="shared" si="3"/>
        <v/>
      </c>
      <c r="I17" s="39" t="str">
        <f t="shared" si="4"/>
        <v/>
      </c>
      <c r="J17" s="16" t="str">
        <f t="shared" si="5"/>
        <v/>
      </c>
      <c r="K17" s="16" t="str">
        <f>""</f>
        <v/>
      </c>
      <c r="R17"/>
      <c r="X17" s="2"/>
    </row>
    <row r="18" spans="1:24">
      <c r="A18" s="20">
        <v>7</v>
      </c>
      <c r="B18" s="212"/>
      <c r="C18" s="213"/>
      <c r="D18" s="16"/>
      <c r="E18" s="89" t="str">
        <f t="shared" si="0"/>
        <v/>
      </c>
      <c r="F18" s="39" t="str">
        <f t="shared" si="1"/>
        <v/>
      </c>
      <c r="G18" s="39" t="str">
        <f t="shared" si="2"/>
        <v/>
      </c>
      <c r="H18" s="39" t="str">
        <f t="shared" si="3"/>
        <v/>
      </c>
      <c r="I18" s="39" t="str">
        <f t="shared" si="4"/>
        <v/>
      </c>
      <c r="J18" s="16" t="str">
        <f t="shared" si="5"/>
        <v/>
      </c>
      <c r="K18" s="16" t="str">
        <f>""</f>
        <v/>
      </c>
      <c r="R18"/>
    </row>
    <row r="19" spans="1:24">
      <c r="A19" s="20">
        <v>8</v>
      </c>
      <c r="B19" s="212"/>
      <c r="C19" s="213"/>
      <c r="D19" s="16"/>
      <c r="E19" s="89" t="str">
        <f t="shared" si="0"/>
        <v/>
      </c>
      <c r="F19" s="39" t="str">
        <f t="shared" si="1"/>
        <v/>
      </c>
      <c r="G19" s="39" t="str">
        <f t="shared" si="2"/>
        <v/>
      </c>
      <c r="H19" s="39" t="str">
        <f t="shared" si="3"/>
        <v/>
      </c>
      <c r="I19" s="39" t="str">
        <f t="shared" si="4"/>
        <v/>
      </c>
      <c r="J19" s="16" t="str">
        <f t="shared" si="5"/>
        <v/>
      </c>
      <c r="K19" s="16" t="str">
        <f>""</f>
        <v/>
      </c>
      <c r="R19"/>
      <c r="S19"/>
      <c r="T19"/>
      <c r="U19"/>
      <c r="V19"/>
      <c r="W19"/>
    </row>
    <row r="20" spans="1:24">
      <c r="A20" s="20">
        <v>9</v>
      </c>
      <c r="B20" s="212"/>
      <c r="C20" s="213"/>
      <c r="D20" s="16"/>
      <c r="E20" s="89" t="str">
        <f t="shared" si="0"/>
        <v/>
      </c>
      <c r="F20" s="39" t="str">
        <f t="shared" si="1"/>
        <v/>
      </c>
      <c r="G20" s="39" t="str">
        <f t="shared" si="2"/>
        <v/>
      </c>
      <c r="H20" s="39" t="str">
        <f t="shared" si="3"/>
        <v/>
      </c>
      <c r="I20" s="39" t="str">
        <f t="shared" si="4"/>
        <v/>
      </c>
      <c r="J20" s="16" t="str">
        <f t="shared" si="5"/>
        <v/>
      </c>
      <c r="K20" s="16" t="str">
        <f>""</f>
        <v/>
      </c>
      <c r="R20"/>
      <c r="S20"/>
      <c r="T20"/>
      <c r="U20"/>
      <c r="V20"/>
      <c r="W20" s="7"/>
    </row>
    <row r="21" spans="1:24">
      <c r="A21" s="20">
        <v>10</v>
      </c>
      <c r="B21" s="212"/>
      <c r="C21" s="213"/>
      <c r="D21" s="16"/>
      <c r="E21" s="89" t="str">
        <f t="shared" si="0"/>
        <v/>
      </c>
      <c r="F21" s="39" t="str">
        <f t="shared" si="1"/>
        <v/>
      </c>
      <c r="G21" s="39" t="str">
        <f t="shared" si="2"/>
        <v/>
      </c>
      <c r="H21" s="39" t="str">
        <f t="shared" si="3"/>
        <v/>
      </c>
      <c r="I21" s="39" t="str">
        <f t="shared" si="4"/>
        <v/>
      </c>
      <c r="J21" s="16" t="str">
        <f t="shared" si="5"/>
        <v/>
      </c>
      <c r="K21" s="16" t="str">
        <f>""</f>
        <v/>
      </c>
      <c r="R21"/>
      <c r="S21"/>
      <c r="T21"/>
      <c r="U21"/>
      <c r="V21"/>
      <c r="W21" s="7"/>
    </row>
    <row r="22" spans="1:24">
      <c r="A22" s="20">
        <v>11</v>
      </c>
      <c r="B22" s="212"/>
      <c r="C22" s="213"/>
      <c r="D22" s="16"/>
      <c r="E22" s="89" t="str">
        <f t="shared" si="0"/>
        <v/>
      </c>
      <c r="F22" s="39" t="str">
        <f t="shared" si="1"/>
        <v/>
      </c>
      <c r="G22" s="39" t="str">
        <f t="shared" si="2"/>
        <v/>
      </c>
      <c r="H22" s="39" t="str">
        <f t="shared" si="3"/>
        <v/>
      </c>
      <c r="I22" s="39" t="str">
        <f t="shared" si="4"/>
        <v/>
      </c>
      <c r="J22" s="16" t="str">
        <f t="shared" si="5"/>
        <v/>
      </c>
      <c r="K22" s="16" t="str">
        <f>""</f>
        <v/>
      </c>
      <c r="R22"/>
      <c r="S22"/>
      <c r="T22"/>
      <c r="U22"/>
      <c r="V22"/>
      <c r="W22" s="7"/>
    </row>
    <row r="23" spans="1:24">
      <c r="A23" s="20">
        <v>12</v>
      </c>
      <c r="B23" s="212"/>
      <c r="C23" s="213"/>
      <c r="D23" s="16"/>
      <c r="E23" s="89" t="str">
        <f t="shared" si="0"/>
        <v/>
      </c>
      <c r="F23" s="39" t="str">
        <f t="shared" si="1"/>
        <v/>
      </c>
      <c r="G23" s="39" t="str">
        <f t="shared" si="2"/>
        <v/>
      </c>
      <c r="H23" s="39" t="str">
        <f t="shared" si="3"/>
        <v/>
      </c>
      <c r="I23" s="39" t="str">
        <f t="shared" si="4"/>
        <v/>
      </c>
      <c r="J23" s="16" t="str">
        <f t="shared" si="5"/>
        <v/>
      </c>
      <c r="K23" s="16" t="str">
        <f>""</f>
        <v/>
      </c>
      <c r="R23"/>
      <c r="S23" s="2"/>
      <c r="T23" s="2"/>
      <c r="U23" s="2"/>
      <c r="V23" s="2"/>
      <c r="W23" s="2"/>
    </row>
    <row r="24" spans="1:24">
      <c r="A24" s="20">
        <v>13</v>
      </c>
      <c r="B24" s="212"/>
      <c r="C24" s="213"/>
      <c r="D24" s="16"/>
      <c r="E24" s="89" t="str">
        <f t="shared" si="0"/>
        <v/>
      </c>
      <c r="F24" s="39" t="str">
        <f t="shared" si="1"/>
        <v/>
      </c>
      <c r="G24" s="39" t="str">
        <f t="shared" si="2"/>
        <v/>
      </c>
      <c r="H24" s="39" t="str">
        <f t="shared" si="3"/>
        <v/>
      </c>
      <c r="I24" s="39" t="str">
        <f t="shared" si="4"/>
        <v/>
      </c>
      <c r="J24" s="16" t="str">
        <f t="shared" si="5"/>
        <v/>
      </c>
      <c r="K24" s="16" t="str">
        <f>""</f>
        <v/>
      </c>
      <c r="R24" s="2"/>
      <c r="S24" s="2"/>
      <c r="T24" s="2"/>
      <c r="U24" s="2"/>
      <c r="V24" s="2"/>
      <c r="W24" s="2"/>
    </row>
    <row r="25" spans="1:24">
      <c r="A25" s="20">
        <v>14</v>
      </c>
      <c r="B25" s="212"/>
      <c r="C25" s="213"/>
      <c r="D25" s="16"/>
      <c r="E25" s="89" t="str">
        <f t="shared" si="0"/>
        <v/>
      </c>
      <c r="F25" s="39" t="str">
        <f t="shared" si="1"/>
        <v/>
      </c>
      <c r="G25" s="39" t="str">
        <f t="shared" si="2"/>
        <v/>
      </c>
      <c r="H25" s="39" t="str">
        <f t="shared" si="3"/>
        <v/>
      </c>
      <c r="I25" s="39" t="str">
        <f t="shared" si="4"/>
        <v/>
      </c>
      <c r="J25" s="16" t="str">
        <f t="shared" si="5"/>
        <v/>
      </c>
      <c r="K25" s="16" t="str">
        <f>""</f>
        <v/>
      </c>
      <c r="R25" s="2"/>
      <c r="S25" s="2"/>
      <c r="T25" s="2"/>
      <c r="U25" s="2"/>
      <c r="V25" s="2"/>
      <c r="W25" s="2"/>
    </row>
    <row r="26" spans="1:24">
      <c r="A26" s="20">
        <v>15</v>
      </c>
      <c r="B26" s="212"/>
      <c r="C26" s="213"/>
      <c r="D26" s="16"/>
      <c r="E26" s="89" t="str">
        <f t="shared" si="0"/>
        <v/>
      </c>
      <c r="F26" s="39" t="str">
        <f t="shared" si="1"/>
        <v/>
      </c>
      <c r="G26" s="39" t="str">
        <f t="shared" si="2"/>
        <v/>
      </c>
      <c r="H26" s="39" t="str">
        <f t="shared" si="3"/>
        <v/>
      </c>
      <c r="I26" s="39" t="str">
        <f t="shared" si="4"/>
        <v/>
      </c>
      <c r="J26" s="16" t="str">
        <f t="shared" si="5"/>
        <v/>
      </c>
      <c r="K26" s="16" t="str">
        <f>""</f>
        <v/>
      </c>
      <c r="R26"/>
    </row>
    <row r="27" spans="1:24">
      <c r="A27" s="20">
        <v>16</v>
      </c>
      <c r="B27" s="212"/>
      <c r="C27" s="213"/>
      <c r="D27" s="16"/>
      <c r="E27" s="89" t="str">
        <f t="shared" si="0"/>
        <v/>
      </c>
      <c r="F27" s="39" t="str">
        <f t="shared" si="1"/>
        <v/>
      </c>
      <c r="G27" s="39" t="str">
        <f t="shared" si="2"/>
        <v/>
      </c>
      <c r="H27" s="39" t="str">
        <f t="shared" si="3"/>
        <v/>
      </c>
      <c r="I27" s="39" t="str">
        <f t="shared" si="4"/>
        <v/>
      </c>
      <c r="J27" s="16" t="str">
        <f t="shared" si="5"/>
        <v/>
      </c>
      <c r="K27" s="16" t="str">
        <f>""</f>
        <v/>
      </c>
    </row>
    <row r="28" spans="1:24">
      <c r="A28" s="20">
        <v>17</v>
      </c>
      <c r="B28" s="212"/>
      <c r="C28" s="213"/>
      <c r="D28" s="16"/>
      <c r="E28" s="89" t="str">
        <f t="shared" si="0"/>
        <v/>
      </c>
      <c r="F28" s="39" t="str">
        <f t="shared" si="1"/>
        <v/>
      </c>
      <c r="G28" s="39" t="str">
        <f t="shared" si="2"/>
        <v/>
      </c>
      <c r="H28" s="39" t="str">
        <f t="shared" si="3"/>
        <v/>
      </c>
      <c r="I28" s="39" t="str">
        <f t="shared" si="4"/>
        <v/>
      </c>
      <c r="J28" s="16" t="str">
        <f t="shared" si="5"/>
        <v/>
      </c>
      <c r="K28" s="16" t="str">
        <f>""</f>
        <v/>
      </c>
    </row>
    <row r="29" spans="1:24">
      <c r="A29" s="20">
        <v>18</v>
      </c>
      <c r="B29" s="212"/>
      <c r="C29" s="213"/>
      <c r="D29" s="16"/>
      <c r="E29" s="89" t="str">
        <f t="shared" si="0"/>
        <v/>
      </c>
      <c r="F29" s="39" t="str">
        <f t="shared" si="1"/>
        <v/>
      </c>
      <c r="G29" s="39" t="str">
        <f t="shared" si="2"/>
        <v/>
      </c>
      <c r="H29" s="39" t="str">
        <f t="shared" si="3"/>
        <v/>
      </c>
      <c r="I29" s="39" t="str">
        <f t="shared" si="4"/>
        <v/>
      </c>
      <c r="J29" s="16" t="str">
        <f t="shared" si="5"/>
        <v/>
      </c>
      <c r="K29" s="16" t="str">
        <f>""</f>
        <v/>
      </c>
    </row>
    <row r="30" spans="1:24">
      <c r="A30" s="20">
        <v>19</v>
      </c>
      <c r="B30" s="212"/>
      <c r="C30" s="213"/>
      <c r="D30" s="16"/>
      <c r="E30" s="89" t="str">
        <f t="shared" si="0"/>
        <v/>
      </c>
      <c r="F30" s="39" t="str">
        <f t="shared" si="1"/>
        <v/>
      </c>
      <c r="G30" s="39" t="str">
        <f t="shared" si="2"/>
        <v/>
      </c>
      <c r="H30" s="39" t="str">
        <f t="shared" si="3"/>
        <v/>
      </c>
      <c r="I30" s="39" t="str">
        <f t="shared" si="4"/>
        <v/>
      </c>
      <c r="J30" s="16" t="str">
        <f t="shared" si="5"/>
        <v/>
      </c>
      <c r="K30" s="16" t="str">
        <f>""</f>
        <v/>
      </c>
    </row>
    <row r="31" spans="1:24">
      <c r="A31" s="20">
        <v>20</v>
      </c>
      <c r="B31" s="212"/>
      <c r="C31" s="213"/>
      <c r="D31" s="16"/>
      <c r="E31" s="89" t="str">
        <f t="shared" si="0"/>
        <v/>
      </c>
      <c r="F31" s="39" t="str">
        <f t="shared" si="1"/>
        <v/>
      </c>
      <c r="G31" s="39" t="str">
        <f t="shared" si="2"/>
        <v/>
      </c>
      <c r="H31" s="39" t="str">
        <f t="shared" si="3"/>
        <v/>
      </c>
      <c r="I31" s="39" t="str">
        <f t="shared" si="4"/>
        <v/>
      </c>
      <c r="J31" s="16" t="str">
        <f t="shared" si="5"/>
        <v/>
      </c>
      <c r="K31" s="16" t="str">
        <f>""</f>
        <v/>
      </c>
    </row>
    <row r="32" spans="1:24">
      <c r="D32" s="40" t="s">
        <v>126</v>
      </c>
      <c r="E32" s="40" t="e">
        <f>AVERAGE(E12:E31)</f>
        <v>#DIV/0!</v>
      </c>
      <c r="F32" s="40" t="e">
        <f>AVERAGE(F12:F31)</f>
        <v>#DIV/0!</v>
      </c>
      <c r="G32" s="40" t="e">
        <f>AVERAGE(G12:G31)</f>
        <v>#DIV/0!</v>
      </c>
      <c r="H32" s="16"/>
      <c r="I32" s="16"/>
      <c r="J32" s="16" t="str">
        <f>IF(B27="","",IF(G27&gt;I27,"Error?",""))</f>
        <v/>
      </c>
      <c r="K32" s="16" t="str">
        <f>""</f>
        <v/>
      </c>
    </row>
    <row r="33" spans="1:23" ht="13.5" thickBot="1">
      <c r="A33" s="22"/>
      <c r="B33" s="23"/>
      <c r="C33" s="16"/>
      <c r="D33" s="16"/>
      <c r="E33" s="1474" t="s">
        <v>153</v>
      </c>
      <c r="F33" s="1474"/>
      <c r="G33" s="16"/>
      <c r="H33" s="16"/>
      <c r="I33" s="16"/>
      <c r="J33" s="16" t="str">
        <f>IF(B28="","",IF(G28&gt;I28,"Error?",""))</f>
        <v/>
      </c>
      <c r="K33" s="16" t="str">
        <f>""</f>
        <v/>
      </c>
    </row>
    <row r="34" spans="1:23">
      <c r="A34" s="22"/>
      <c r="B34" s="23"/>
      <c r="C34" s="16"/>
      <c r="D34" s="16"/>
      <c r="E34" s="83">
        <f>B5</f>
        <v>0</v>
      </c>
      <c r="F34" s="84">
        <f>B5</f>
        <v>0</v>
      </c>
      <c r="G34" s="16"/>
      <c r="H34" s="16"/>
      <c r="I34" s="16"/>
      <c r="J34" s="16" t="str">
        <f>IF(B29="","",IF(G29&gt;I29,"Error?",""))</f>
        <v/>
      </c>
      <c r="K34" s="16" t="str">
        <f>""</f>
        <v/>
      </c>
    </row>
    <row r="35" spans="1:23">
      <c r="A35" s="22"/>
      <c r="B35" s="23"/>
      <c r="C35" s="16"/>
      <c r="D35" s="16"/>
      <c r="E35" s="82">
        <f>B6</f>
        <v>0</v>
      </c>
      <c r="F35" s="85">
        <f>B5</f>
        <v>0</v>
      </c>
      <c r="G35" s="16"/>
      <c r="H35" s="16"/>
      <c r="I35" s="16"/>
      <c r="J35" s="16" t="str">
        <f>IF(B30="","",IF(G30&gt;I30,"Error?",""))</f>
        <v/>
      </c>
      <c r="K35" s="16" t="str">
        <f>""</f>
        <v/>
      </c>
      <c r="L35"/>
      <c r="M35"/>
      <c r="N35"/>
      <c r="O35"/>
      <c r="P35"/>
      <c r="Q35"/>
    </row>
    <row r="36" spans="1:23">
      <c r="A36" s="22"/>
      <c r="B36" s="23"/>
      <c r="C36" s="16"/>
      <c r="D36" s="16"/>
      <c r="E36" s="82">
        <f>B6</f>
        <v>0</v>
      </c>
      <c r="F36" s="85">
        <f>B6</f>
        <v>0</v>
      </c>
      <c r="G36" s="16"/>
      <c r="H36" s="16"/>
      <c r="I36" s="16"/>
      <c r="J36" s="16" t="str">
        <f>IF(B31="","",IF(G31&gt;I31,"Error?",""))</f>
        <v/>
      </c>
      <c r="K36" s="16" t="str">
        <f>""</f>
        <v/>
      </c>
      <c r="L36"/>
      <c r="M36"/>
      <c r="N36"/>
      <c r="O36"/>
      <c r="P36"/>
      <c r="Q36"/>
    </row>
    <row r="37" spans="1:23" ht="15.75">
      <c r="A37" s="22"/>
      <c r="B37" s="23"/>
      <c r="C37" s="16"/>
      <c r="D37" s="16"/>
      <c r="E37" s="82">
        <f>B5</f>
        <v>0</v>
      </c>
      <c r="F37" s="85">
        <f>B6</f>
        <v>0</v>
      </c>
      <c r="G37" s="16"/>
      <c r="H37" s="16"/>
      <c r="I37" s="16"/>
      <c r="J37" s="16"/>
      <c r="K37" s="16" t="str">
        <f>""</f>
        <v/>
      </c>
      <c r="L37" s="3" t="s">
        <v>118</v>
      </c>
      <c r="M37" s="12" t="e">
        <f>G32/1.128</f>
        <v>#DIV/0!</v>
      </c>
      <c r="N37" s="4" t="s">
        <v>119</v>
      </c>
      <c r="O37" s="13" t="e">
        <f>1-(M37^2/M39^2)</f>
        <v>#DIV/0!</v>
      </c>
      <c r="P37" s="5"/>
      <c r="Q37"/>
    </row>
    <row r="38" spans="1:23" ht="15" thickBot="1">
      <c r="A38" s="22"/>
      <c r="B38" s="23"/>
      <c r="C38" s="16"/>
      <c r="D38" s="16"/>
      <c r="E38" s="86">
        <f>B5</f>
        <v>0</v>
      </c>
      <c r="F38" s="87">
        <f>B5</f>
        <v>0</v>
      </c>
      <c r="G38" s="16"/>
      <c r="H38" s="16"/>
      <c r="I38" s="16"/>
      <c r="J38" s="16"/>
      <c r="K38" s="16" t="str">
        <f>""</f>
        <v/>
      </c>
      <c r="L38" s="3" t="s">
        <v>120</v>
      </c>
      <c r="M38" s="12" t="e">
        <f>SQRT(M39^2-M37^2)</f>
        <v>#DIV/0!</v>
      </c>
      <c r="N38" s="6" t="s">
        <v>121</v>
      </c>
      <c r="O38" s="14" t="e">
        <f>SQRT((1+O37)/(1-O37))</f>
        <v>#DIV/0!</v>
      </c>
      <c r="P38" s="5"/>
      <c r="Q38"/>
    </row>
    <row r="39" spans="1:23" ht="15.75">
      <c r="A39" s="22"/>
      <c r="B39" s="23"/>
      <c r="C39" s="16"/>
      <c r="D39" s="16"/>
      <c r="E39" s="16"/>
      <c r="F39" s="16"/>
      <c r="G39" s="16"/>
      <c r="H39" s="16"/>
      <c r="I39" s="16"/>
      <c r="J39" s="16"/>
      <c r="K39" s="16" t="str">
        <f>""</f>
        <v/>
      </c>
      <c r="L39" s="3" t="s">
        <v>122</v>
      </c>
      <c r="M39" s="12" t="e">
        <f>IF(B4="",SQRT((STDEV(F12:F31)^2)+(0.5*M37^2)),B4)</f>
        <v>#DIV/0!</v>
      </c>
      <c r="N39" s="8" t="s">
        <v>123</v>
      </c>
      <c r="O39" s="15" t="e">
        <f>1-O37</f>
        <v>#DIV/0!</v>
      </c>
      <c r="P39" s="5" t="s">
        <v>124</v>
      </c>
      <c r="Q39"/>
    </row>
    <row r="40" spans="1:23">
      <c r="A40" s="22"/>
      <c r="B40" s="23"/>
      <c r="C40" s="16"/>
      <c r="D40" s="16"/>
      <c r="E40" s="41" t="s">
        <v>125</v>
      </c>
      <c r="F40" s="42">
        <f>COUNT(B12:B31)</f>
        <v>0</v>
      </c>
      <c r="G40" s="40"/>
      <c r="H40" s="16"/>
      <c r="I40" s="16"/>
      <c r="J40" s="16"/>
      <c r="K40" s="16" t="str">
        <f>""</f>
        <v/>
      </c>
      <c r="L40" s="24"/>
      <c r="N40" s="10"/>
      <c r="Q40"/>
    </row>
    <row r="41" spans="1:23">
      <c r="A41" s="22"/>
      <c r="B41" s="23"/>
      <c r="C41" s="16"/>
      <c r="D41" s="16"/>
      <c r="E41" s="16"/>
      <c r="F41" s="16"/>
      <c r="G41" s="16"/>
      <c r="H41" s="16"/>
      <c r="I41" s="16"/>
      <c r="J41" s="16"/>
      <c r="K41" s="16" t="str">
        <f>""</f>
        <v/>
      </c>
      <c r="L41" s="9" t="e">
        <f>IF(OR(O38=7,O38&gt;7),"Measurement Discrimination is Adequate","Measurement Discrimination is NOT adequate")</f>
        <v>#DIV/0!</v>
      </c>
      <c r="M41" s="2"/>
      <c r="N41" s="2"/>
      <c r="O41" s="2"/>
      <c r="P41" s="2"/>
      <c r="Q41"/>
    </row>
    <row r="42" spans="1:23" ht="13.5" thickBot="1">
      <c r="A42" s="22"/>
      <c r="B42" s="23"/>
      <c r="C42" s="16"/>
      <c r="D42" s="16"/>
      <c r="E42" s="1475" t="s">
        <v>127</v>
      </c>
      <c r="F42" s="1475"/>
      <c r="G42" s="1475"/>
      <c r="H42" s="1475"/>
      <c r="I42" s="1475"/>
      <c r="J42" s="16"/>
      <c r="L42" s="2"/>
      <c r="M42" s="2"/>
      <c r="N42" s="2"/>
      <c r="O42" s="2"/>
      <c r="P42" s="2"/>
      <c r="Q42"/>
    </row>
    <row r="43" spans="1:23" ht="13.5" thickTop="1">
      <c r="E43" s="28">
        <f>(MAX(B12:C31)-MIN(B12:C31))/5</f>
        <v>0</v>
      </c>
      <c r="F43" s="29">
        <f>MIN(B12:C31)-E43</f>
        <v>0</v>
      </c>
      <c r="G43" s="29"/>
      <c r="H43" s="29">
        <f t="shared" ref="H43:H50" si="6">F43</f>
        <v>0</v>
      </c>
      <c r="I43" s="29"/>
      <c r="J43" s="16"/>
      <c r="K43"/>
      <c r="L43" s="11" t="s">
        <v>157</v>
      </c>
      <c r="M43"/>
      <c r="N43"/>
      <c r="O43"/>
      <c r="P43"/>
      <c r="Q43"/>
      <c r="R43"/>
      <c r="S43"/>
      <c r="T43"/>
      <c r="U43"/>
      <c r="V43"/>
      <c r="W43"/>
    </row>
    <row r="44" spans="1:23">
      <c r="E44" s="29"/>
      <c r="F44" s="29">
        <f t="shared" ref="F44:F50" si="7">F43+$E$43</f>
        <v>0</v>
      </c>
      <c r="G44" s="29"/>
      <c r="H44" s="29">
        <f t="shared" si="6"/>
        <v>0</v>
      </c>
      <c r="I44" s="29"/>
      <c r="J44" s="16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>
      <c r="E45" s="29"/>
      <c r="F45" s="29">
        <f t="shared" si="7"/>
        <v>0</v>
      </c>
      <c r="G45" s="29"/>
      <c r="H45" s="29">
        <f t="shared" si="6"/>
        <v>0</v>
      </c>
      <c r="I45" s="29"/>
      <c r="J45" s="16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>
      <c r="E46" s="29"/>
      <c r="F46" s="29">
        <f t="shared" si="7"/>
        <v>0</v>
      </c>
      <c r="G46" s="29"/>
      <c r="H46" s="29">
        <f t="shared" si="6"/>
        <v>0</v>
      </c>
      <c r="I46" s="29"/>
      <c r="J46" s="1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>
      <c r="E47" s="29"/>
      <c r="F47" s="29">
        <f t="shared" si="7"/>
        <v>0</v>
      </c>
      <c r="G47" s="29"/>
      <c r="H47" s="29">
        <f t="shared" si="6"/>
        <v>0</v>
      </c>
      <c r="I47" s="29"/>
      <c r="J47" s="16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>
      <c r="E48" s="29"/>
      <c r="F48" s="29">
        <f t="shared" si="7"/>
        <v>0</v>
      </c>
      <c r="G48" s="29"/>
      <c r="H48" s="29">
        <f t="shared" si="6"/>
        <v>0</v>
      </c>
      <c r="I48" s="29"/>
      <c r="J48" s="16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>
      <c r="E49" s="29"/>
      <c r="F49" s="29">
        <f t="shared" si="7"/>
        <v>0</v>
      </c>
      <c r="G49" s="29"/>
      <c r="H49" s="29">
        <f t="shared" si="6"/>
        <v>0</v>
      </c>
      <c r="I49" s="2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>
      <c r="E50" s="30"/>
      <c r="F50" s="29">
        <f t="shared" si="7"/>
        <v>0</v>
      </c>
      <c r="G50" s="30"/>
      <c r="H50" s="29">
        <f t="shared" si="6"/>
        <v>0</v>
      </c>
      <c r="I50" s="3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>
      <c r="E51" s="29"/>
      <c r="F51" s="29"/>
      <c r="G51" s="30"/>
      <c r="H51" s="29"/>
      <c r="I51" s="30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>
      <c r="A53"/>
      <c r="B53"/>
      <c r="D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>
      <c r="A54"/>
      <c r="B54"/>
      <c r="D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>
      <c r="A55"/>
      <c r="B55"/>
      <c r="D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>
      <c r="A56"/>
      <c r="B56"/>
      <c r="D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>
      <c r="A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>
      <c r="A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>
      <c r="A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>
      <c r="A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>
      <c r="A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>
      <c r="A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>
      <c r="A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>
      <c r="A82"/>
      <c r="B82"/>
      <c r="C82"/>
      <c r="D82"/>
      <c r="E82"/>
      <c r="F82"/>
      <c r="G82"/>
      <c r="H82"/>
      <c r="I82"/>
      <c r="J82"/>
    </row>
    <row r="83" spans="1:23">
      <c r="D83"/>
      <c r="J83"/>
    </row>
    <row r="84" spans="1:23">
      <c r="D84"/>
      <c r="J84"/>
    </row>
    <row r="85" spans="1:23">
      <c r="D85"/>
      <c r="J85"/>
    </row>
    <row r="86" spans="1:23">
      <c r="D86"/>
      <c r="J86"/>
    </row>
    <row r="87" spans="1:23">
      <c r="J87"/>
    </row>
  </sheetData>
  <sheetProtection password="CC08" sheet="1" scenarios="1"/>
  <protectedRanges>
    <protectedRange sqref="F1:H6 B4:B6 C8 B12:C65526" name="Range1"/>
  </protectedRanges>
  <mergeCells count="8">
    <mergeCell ref="E33:F33"/>
    <mergeCell ref="E42:I42"/>
    <mergeCell ref="N4:P4"/>
    <mergeCell ref="F1:H1"/>
    <mergeCell ref="F4:H4"/>
    <mergeCell ref="F5:H5"/>
    <mergeCell ref="F6:H6"/>
    <mergeCell ref="F2:H2"/>
  </mergeCells>
  <phoneticPr fontId="5" type="noConversion"/>
  <conditionalFormatting sqref="B12:C31">
    <cfRule type="expression" dxfId="72" priority="1" stopIfTrue="1">
      <formula>$G12&gt;$I12</formula>
    </cfRule>
  </conditionalFormatting>
  <pageMargins left="0.75" right="0.75" top="0.75" bottom="0.25" header="0.5" footer="0.5"/>
  <pageSetup orientation="portrait" horizontalDpi="4294967292" r:id="rId1"/>
  <headerFooter alignWithMargins="0">
    <oddHeader>&amp;C&amp;"Arial,Bold"&amp;12Measurement Discrimination Study</oddHeader>
  </headerFooter>
  <colBreaks count="1" manualBreakCount="1">
    <brk id="10" max="1048575" man="1"/>
  </colBreaks>
  <drawing r:id="rId2"/>
  <legacyDrawing r:id="rId3"/>
  <controls>
    <control shapeId="17415" r:id="rId4" name="MainMenu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Z324"/>
  <sheetViews>
    <sheetView showGridLines="0" zoomScale="75" workbookViewId="0">
      <selection activeCell="N7" sqref="N7"/>
    </sheetView>
  </sheetViews>
  <sheetFormatPr defaultRowHeight="12.75"/>
  <cols>
    <col min="1" max="1" width="6.5703125" customWidth="1"/>
    <col min="13" max="13" width="13.140625" bestFit="1" customWidth="1"/>
    <col min="14" max="28" width="9.28515625" customWidth="1"/>
  </cols>
  <sheetData>
    <row r="1" spans="1:52" ht="15.75">
      <c r="F1" s="97" t="s">
        <v>174</v>
      </c>
    </row>
    <row r="2" spans="1:52" ht="15.75">
      <c r="F2" s="97" t="s">
        <v>175</v>
      </c>
      <c r="X2" s="98" t="s">
        <v>176</v>
      </c>
      <c r="AG2" s="98" t="s">
        <v>176</v>
      </c>
      <c r="AP2" s="98" t="s">
        <v>176</v>
      </c>
      <c r="AY2" s="98" t="s">
        <v>176</v>
      </c>
    </row>
    <row r="3" spans="1:52">
      <c r="C3" s="99" t="s">
        <v>177</v>
      </c>
      <c r="D3" s="938"/>
      <c r="E3" s="939"/>
      <c r="F3" s="939"/>
      <c r="G3" s="939"/>
      <c r="H3" s="939"/>
      <c r="I3" s="919"/>
      <c r="X3" s="98" t="s">
        <v>178</v>
      </c>
      <c r="AG3" s="98" t="s">
        <v>179</v>
      </c>
      <c r="AP3" s="98" t="s">
        <v>180</v>
      </c>
      <c r="AY3" s="98" t="s">
        <v>181</v>
      </c>
    </row>
    <row r="4" spans="1:52">
      <c r="C4" s="99" t="s">
        <v>182</v>
      </c>
      <c r="D4" s="938"/>
      <c r="E4" s="939"/>
      <c r="F4" s="939"/>
      <c r="G4" s="939"/>
      <c r="H4" s="939"/>
      <c r="I4" s="919"/>
      <c r="X4" s="44" t="str">
        <f>IF($D$3="","",$D$3)</f>
        <v/>
      </c>
      <c r="AG4" s="44" t="str">
        <f>IF($D$3="","",$D$3)</f>
        <v/>
      </c>
      <c r="AP4" s="44" t="str">
        <f>IF($D$3="","",$D$3)</f>
        <v/>
      </c>
      <c r="AY4" s="44" t="str">
        <f>IF($D$3="","",$D$3)</f>
        <v/>
      </c>
    </row>
    <row r="5" spans="1:52">
      <c r="C5" s="99" t="s">
        <v>183</v>
      </c>
      <c r="D5" s="940"/>
      <c r="E5" s="925"/>
      <c r="F5" s="925"/>
      <c r="G5" s="927"/>
      <c r="H5" s="941"/>
      <c r="I5" s="927"/>
      <c r="X5" s="44" t="str">
        <f>IF($D$4="","",$D$4)</f>
        <v/>
      </c>
      <c r="AG5" s="44" t="str">
        <f>IF($D$4="","",$D$4)</f>
        <v/>
      </c>
      <c r="AP5" s="44" t="str">
        <f>IF($D$4="","",$D$4)</f>
        <v/>
      </c>
      <c r="AY5" s="44" t="str">
        <f>IF($D$4="","",$D$4)</f>
        <v/>
      </c>
    </row>
    <row r="6" spans="1:52">
      <c r="C6" s="99" t="s">
        <v>184</v>
      </c>
      <c r="D6" s="942"/>
      <c r="E6" s="939"/>
      <c r="F6" s="939"/>
      <c r="G6" s="939"/>
      <c r="H6" s="939"/>
      <c r="I6" s="919"/>
      <c r="X6" s="44" t="str">
        <f>IF($D$5="","",$D$5&amp;":  "&amp;$H$5)</f>
        <v/>
      </c>
      <c r="AG6" s="44" t="str">
        <f>IF($D$5="","",$D$5&amp;":  "&amp;$H$5)</f>
        <v/>
      </c>
      <c r="AP6" s="44" t="str">
        <f>IF($D$5="","",$D$5&amp;":  "&amp;$H$5)</f>
        <v/>
      </c>
      <c r="AY6" s="44" t="str">
        <f>IF($D$5="","",$D$5&amp;":  "&amp;$H$5)</f>
        <v/>
      </c>
    </row>
    <row r="7" spans="1:52">
      <c r="C7" s="99" t="s">
        <v>185</v>
      </c>
      <c r="D7" s="943"/>
      <c r="E7" s="919"/>
      <c r="F7" s="94"/>
      <c r="G7" s="94"/>
      <c r="H7" s="94"/>
      <c r="I7" s="94"/>
      <c r="W7" s="1471" t="str">
        <f>IF($D$6="","",$D$6)</f>
        <v/>
      </c>
      <c r="X7" s="1471"/>
      <c r="Y7" s="1471"/>
      <c r="AF7" s="1471" t="str">
        <f>IF($D$6="","",$D$6)</f>
        <v/>
      </c>
      <c r="AG7" s="1471"/>
      <c r="AH7" s="1471"/>
      <c r="AO7" s="1471" t="str">
        <f>IF($D$6="","",$D$6)</f>
        <v/>
      </c>
      <c r="AP7" s="1471"/>
      <c r="AQ7" s="1471"/>
      <c r="AX7" s="1471" t="str">
        <f>IF($D$6="","",$D$6)</f>
        <v/>
      </c>
      <c r="AY7" s="1471"/>
      <c r="AZ7" s="1471"/>
    </row>
    <row r="8" spans="1:52" ht="15.75">
      <c r="C8" s="100" t="s">
        <v>369</v>
      </c>
      <c r="D8" s="944"/>
      <c r="E8" s="94"/>
      <c r="H8" s="99" t="s">
        <v>186</v>
      </c>
      <c r="I8" s="944"/>
      <c r="J8" s="101" t="s">
        <v>187</v>
      </c>
    </row>
    <row r="9" spans="1:52">
      <c r="A9" s="102" t="s">
        <v>188</v>
      </c>
      <c r="D9" s="103" t="str">
        <f>IF(D13="","You need at least two operators to perform a reproducibility study","")</f>
        <v>You need at least two operators to perform a reproducibility study</v>
      </c>
    </row>
    <row r="10" spans="1:52">
      <c r="A10" s="104" t="str">
        <f>IF(OR(G43="",I43=""),"You may want to adjust the graphical output to plot only the number of operators you had in your study","")</f>
        <v>You may want to adjust the graphical output to plot only the number of operators you had in your study</v>
      </c>
    </row>
    <row r="11" spans="1:52">
      <c r="B11" s="105" t="s">
        <v>189</v>
      </c>
      <c r="C11" s="106"/>
      <c r="D11" s="105" t="s">
        <v>190</v>
      </c>
      <c r="E11" s="106"/>
      <c r="F11" s="105" t="s">
        <v>191</v>
      </c>
      <c r="G11" s="106"/>
      <c r="H11" s="105" t="s">
        <v>192</v>
      </c>
      <c r="I11" s="107"/>
      <c r="J11" s="108" t="s">
        <v>113</v>
      </c>
    </row>
    <row r="12" spans="1:52">
      <c r="A12" s="109" t="s">
        <v>113</v>
      </c>
      <c r="B12" s="110" t="s">
        <v>193</v>
      </c>
      <c r="C12" s="109" t="s">
        <v>194</v>
      </c>
      <c r="D12" s="110" t="s">
        <v>193</v>
      </c>
      <c r="E12" s="109" t="s">
        <v>194</v>
      </c>
      <c r="F12" s="110" t="s">
        <v>193</v>
      </c>
      <c r="G12" s="109" t="s">
        <v>194</v>
      </c>
      <c r="H12" s="110" t="s">
        <v>193</v>
      </c>
      <c r="I12" s="109" t="s">
        <v>194</v>
      </c>
      <c r="J12" s="108" t="s">
        <v>195</v>
      </c>
    </row>
    <row r="13" spans="1:52">
      <c r="A13" s="109">
        <v>1</v>
      </c>
      <c r="B13" s="212"/>
      <c r="C13" s="213"/>
      <c r="D13" s="212"/>
      <c r="E13" s="213"/>
      <c r="F13" s="212"/>
      <c r="G13" s="213"/>
      <c r="H13" s="212"/>
      <c r="I13" s="213"/>
      <c r="J13" s="111" t="str">
        <f t="shared" ref="J13:J42" si="0">IF(B13="","",AVERAGE(B13:I13))</f>
        <v/>
      </c>
      <c r="K13">
        <v>10.199999999999999</v>
      </c>
      <c r="L13">
        <v>10.6</v>
      </c>
      <c r="M13">
        <f>K13-0.5</f>
        <v>9.6999999999999993</v>
      </c>
      <c r="N13">
        <f>L13-0.5</f>
        <v>10.1</v>
      </c>
    </row>
    <row r="14" spans="1:52">
      <c r="A14" s="109">
        <v>2</v>
      </c>
      <c r="B14" s="212"/>
      <c r="C14" s="213"/>
      <c r="D14" s="212"/>
      <c r="E14" s="213"/>
      <c r="F14" s="212"/>
      <c r="G14" s="213"/>
      <c r="H14" s="212"/>
      <c r="I14" s="213"/>
      <c r="J14" s="111" t="str">
        <f t="shared" si="0"/>
        <v/>
      </c>
      <c r="K14">
        <v>5.9</v>
      </c>
      <c r="L14">
        <v>5.4</v>
      </c>
      <c r="M14">
        <f>K14-0.8</f>
        <v>5.1000000000000005</v>
      </c>
      <c r="N14">
        <f>L14-0.8</f>
        <v>4.6000000000000005</v>
      </c>
    </row>
    <row r="15" spans="1:52">
      <c r="A15" s="109">
        <v>3</v>
      </c>
      <c r="B15" s="212"/>
      <c r="C15" s="213"/>
      <c r="D15" s="212"/>
      <c r="E15" s="213"/>
      <c r="F15" s="212"/>
      <c r="G15" s="213"/>
      <c r="H15" s="212"/>
      <c r="I15" s="213"/>
      <c r="J15" s="111" t="str">
        <f t="shared" si="0"/>
        <v/>
      </c>
      <c r="K15">
        <v>1.2</v>
      </c>
      <c r="L15">
        <v>1.8</v>
      </c>
      <c r="M15">
        <f>K15-0.2</f>
        <v>1</v>
      </c>
      <c r="N15">
        <f>L15-0.2</f>
        <v>1.6</v>
      </c>
    </row>
    <row r="16" spans="1:52">
      <c r="A16" s="109">
        <v>4</v>
      </c>
      <c r="B16" s="212"/>
      <c r="C16" s="213"/>
      <c r="D16" s="212"/>
      <c r="E16" s="213"/>
      <c r="F16" s="212"/>
      <c r="G16" s="213"/>
      <c r="H16" s="212"/>
      <c r="I16" s="213"/>
      <c r="J16" s="111" t="str">
        <f t="shared" si="0"/>
        <v/>
      </c>
      <c r="K16">
        <v>12.1</v>
      </c>
      <c r="L16">
        <v>11.5</v>
      </c>
      <c r="M16">
        <f>K16-0.5</f>
        <v>11.6</v>
      </c>
      <c r="N16">
        <f>L16-0.5</f>
        <v>11</v>
      </c>
      <c r="Q16" s="112"/>
    </row>
    <row r="17" spans="1:44">
      <c r="A17" s="109">
        <v>5</v>
      </c>
      <c r="B17" s="212"/>
      <c r="C17" s="213"/>
      <c r="D17" s="212"/>
      <c r="E17" s="213"/>
      <c r="F17" s="212"/>
      <c r="G17" s="213"/>
      <c r="H17" s="212"/>
      <c r="I17" s="213"/>
      <c r="J17" s="111" t="str">
        <f t="shared" si="0"/>
        <v/>
      </c>
      <c r="K17">
        <v>14.5</v>
      </c>
      <c r="L17">
        <v>14.8</v>
      </c>
      <c r="M17">
        <f>K17-0.8</f>
        <v>13.7</v>
      </c>
      <c r="N17">
        <f>L17-0.8</f>
        <v>14</v>
      </c>
    </row>
    <row r="18" spans="1:44">
      <c r="A18" s="109">
        <v>6</v>
      </c>
      <c r="B18" s="212"/>
      <c r="C18" s="213"/>
      <c r="D18" s="212"/>
      <c r="E18" s="213"/>
      <c r="F18" s="212"/>
      <c r="G18" s="213"/>
      <c r="H18" s="212"/>
      <c r="I18" s="213"/>
      <c r="J18" s="111" t="str">
        <f t="shared" si="0"/>
        <v/>
      </c>
      <c r="K18">
        <v>8.5</v>
      </c>
      <c r="L18">
        <v>7.4</v>
      </c>
      <c r="M18">
        <f>K18-0.2</f>
        <v>8.3000000000000007</v>
      </c>
      <c r="N18">
        <f>L18-0.2</f>
        <v>7.2</v>
      </c>
    </row>
    <row r="19" spans="1:44">
      <c r="A19" s="109">
        <v>7</v>
      </c>
      <c r="B19" s="212"/>
      <c r="C19" s="213"/>
      <c r="D19" s="212"/>
      <c r="E19" s="213"/>
      <c r="F19" s="212"/>
      <c r="G19" s="213"/>
      <c r="H19" s="212"/>
      <c r="I19" s="213"/>
      <c r="J19" s="111" t="str">
        <f t="shared" si="0"/>
        <v/>
      </c>
      <c r="K19">
        <v>9.3000000000000007</v>
      </c>
      <c r="L19">
        <v>10.1</v>
      </c>
      <c r="M19">
        <f>K19-0.5</f>
        <v>8.8000000000000007</v>
      </c>
      <c r="N19">
        <f>L19-0.5</f>
        <v>9.6</v>
      </c>
    </row>
    <row r="20" spans="1:44">
      <c r="A20" s="109">
        <v>8</v>
      </c>
      <c r="B20" s="212"/>
      <c r="C20" s="213"/>
      <c r="D20" s="212"/>
      <c r="E20" s="213"/>
      <c r="F20" s="212"/>
      <c r="G20" s="213"/>
      <c r="H20" s="212"/>
      <c r="I20" s="213"/>
      <c r="J20" s="111" t="str">
        <f t="shared" si="0"/>
        <v/>
      </c>
      <c r="K20">
        <v>9.4</v>
      </c>
      <c r="L20">
        <v>8.6</v>
      </c>
      <c r="M20">
        <f>K20-0.8</f>
        <v>8.6</v>
      </c>
      <c r="N20">
        <f>L20-0.8</f>
        <v>7.8</v>
      </c>
    </row>
    <row r="21" spans="1:44">
      <c r="A21" s="109">
        <v>9</v>
      </c>
      <c r="B21" s="212"/>
      <c r="C21" s="213"/>
      <c r="D21" s="212"/>
      <c r="E21" s="213"/>
      <c r="F21" s="212"/>
      <c r="G21" s="213"/>
      <c r="H21" s="212"/>
      <c r="I21" s="213"/>
      <c r="J21" s="111" t="str">
        <f t="shared" si="0"/>
        <v/>
      </c>
      <c r="K21">
        <v>6.5</v>
      </c>
      <c r="L21">
        <v>5.9</v>
      </c>
      <c r="M21">
        <f>K21-0.2</f>
        <v>6.3</v>
      </c>
      <c r="N21">
        <f>L21-0.2</f>
        <v>5.7</v>
      </c>
    </row>
    <row r="22" spans="1:44">
      <c r="A22" s="109">
        <v>10</v>
      </c>
      <c r="B22" s="212"/>
      <c r="C22" s="213"/>
      <c r="D22" s="212"/>
      <c r="E22" s="213"/>
      <c r="F22" s="212"/>
      <c r="G22" s="213"/>
      <c r="H22" s="212"/>
      <c r="I22" s="213"/>
      <c r="J22" s="111" t="str">
        <f t="shared" si="0"/>
        <v/>
      </c>
      <c r="K22">
        <v>4.8</v>
      </c>
      <c r="L22">
        <v>5.2</v>
      </c>
      <c r="M22">
        <f>K22-0.5</f>
        <v>4.3</v>
      </c>
      <c r="N22">
        <f>L22-0.5</f>
        <v>4.7</v>
      </c>
    </row>
    <row r="23" spans="1:44">
      <c r="A23" s="109">
        <v>11</v>
      </c>
      <c r="B23" s="212"/>
      <c r="C23" s="213"/>
      <c r="D23" s="212"/>
      <c r="E23" s="213"/>
      <c r="F23" s="212"/>
      <c r="G23" s="213"/>
      <c r="H23" s="212"/>
      <c r="I23" s="213"/>
      <c r="J23" s="111" t="str">
        <f t="shared" si="0"/>
        <v/>
      </c>
      <c r="K23">
        <v>6.9</v>
      </c>
      <c r="L23">
        <v>7.2</v>
      </c>
      <c r="M23">
        <f>K23-0.8</f>
        <v>6.1000000000000005</v>
      </c>
      <c r="N23">
        <f>L23-0.8</f>
        <v>6.4</v>
      </c>
      <c r="X23" s="44"/>
    </row>
    <row r="24" spans="1:44" ht="15.75">
      <c r="A24" s="109">
        <v>12</v>
      </c>
      <c r="B24" s="212"/>
      <c r="C24" s="213"/>
      <c r="D24" s="212"/>
      <c r="E24" s="213"/>
      <c r="F24" s="212"/>
      <c r="G24" s="213"/>
      <c r="H24" s="212"/>
      <c r="I24" s="213"/>
      <c r="J24" s="111" t="str">
        <f t="shared" si="0"/>
        <v/>
      </c>
      <c r="K24">
        <v>4.5</v>
      </c>
      <c r="L24">
        <v>3.9</v>
      </c>
      <c r="M24">
        <f>K24-0.2</f>
        <v>4.3</v>
      </c>
      <c r="N24">
        <f>L24-0.2</f>
        <v>3.6999999999999997</v>
      </c>
      <c r="R24" s="44"/>
      <c r="S24" s="44"/>
      <c r="T24" s="44"/>
      <c r="U24" s="44"/>
      <c r="V24" s="44"/>
      <c r="W24" s="44"/>
      <c r="AM24" s="100" t="s">
        <v>370</v>
      </c>
      <c r="AN24" t="e">
        <f>ROUND(I87,I8)</f>
        <v>#DIV/0!</v>
      </c>
      <c r="AQ24" s="100" t="s">
        <v>370</v>
      </c>
      <c r="AR24" t="e">
        <f>ROUND(I118,I8)</f>
        <v>#DIV/0!</v>
      </c>
    </row>
    <row r="25" spans="1:44">
      <c r="A25" s="109">
        <v>13</v>
      </c>
      <c r="B25" s="212"/>
      <c r="C25" s="213"/>
      <c r="D25" s="212"/>
      <c r="E25" s="213"/>
      <c r="F25" s="212"/>
      <c r="G25" s="213"/>
      <c r="H25" s="212"/>
      <c r="I25" s="213"/>
      <c r="J25" s="111" t="str">
        <f t="shared" si="0"/>
        <v/>
      </c>
      <c r="K25">
        <v>2.8</v>
      </c>
      <c r="L25">
        <v>3.4</v>
      </c>
      <c r="M25">
        <f>K25-0.5</f>
        <v>2.2999999999999998</v>
      </c>
      <c r="N25">
        <f>L25-0.5</f>
        <v>2.9</v>
      </c>
      <c r="AM25" s="99" t="s">
        <v>196</v>
      </c>
      <c r="AN25" s="113" t="e">
        <f>I90</f>
        <v>#DIV/0!</v>
      </c>
      <c r="AQ25" s="99" t="s">
        <v>196</v>
      </c>
      <c r="AR25" s="113" t="e">
        <f>I121</f>
        <v>#DIV/0!</v>
      </c>
    </row>
    <row r="26" spans="1:44">
      <c r="A26" s="109">
        <v>14</v>
      </c>
      <c r="B26" s="212"/>
      <c r="C26" s="213"/>
      <c r="D26" s="212"/>
      <c r="E26" s="213"/>
      <c r="F26" s="212"/>
      <c r="G26" s="213"/>
      <c r="H26" s="212"/>
      <c r="I26" s="213"/>
      <c r="J26" s="111" t="str">
        <f t="shared" si="0"/>
        <v/>
      </c>
      <c r="K26">
        <v>8.6</v>
      </c>
      <c r="L26">
        <v>9.1</v>
      </c>
      <c r="M26">
        <f>K26-0.8</f>
        <v>7.8</v>
      </c>
      <c r="N26">
        <f>L26-0.8</f>
        <v>8.2999999999999989</v>
      </c>
      <c r="Z26" s="80"/>
    </row>
    <row r="27" spans="1:44">
      <c r="A27" s="109">
        <v>15</v>
      </c>
      <c r="B27" s="212"/>
      <c r="C27" s="213"/>
      <c r="D27" s="212"/>
      <c r="E27" s="213"/>
      <c r="F27" s="212"/>
      <c r="G27" s="213"/>
      <c r="H27" s="212"/>
      <c r="I27" s="213"/>
      <c r="J27" s="111" t="str">
        <f t="shared" si="0"/>
        <v/>
      </c>
      <c r="K27">
        <v>7.8</v>
      </c>
      <c r="L27">
        <v>7.1</v>
      </c>
      <c r="M27">
        <f>K27-0.2</f>
        <v>7.6</v>
      </c>
      <c r="N27">
        <f>L27-0.2</f>
        <v>6.8999999999999995</v>
      </c>
    </row>
    <row r="28" spans="1:44">
      <c r="A28" s="109">
        <v>16</v>
      </c>
      <c r="B28" s="212"/>
      <c r="C28" s="213"/>
      <c r="D28" s="212"/>
      <c r="E28" s="213"/>
      <c r="F28" s="212"/>
      <c r="G28" s="213"/>
      <c r="H28" s="212"/>
      <c r="I28" s="213"/>
      <c r="J28" s="111" t="str">
        <f t="shared" si="0"/>
        <v/>
      </c>
      <c r="K28">
        <v>5.8</v>
      </c>
      <c r="L28">
        <v>6.2</v>
      </c>
      <c r="M28">
        <f>K28-0.5</f>
        <v>5.3</v>
      </c>
      <c r="N28">
        <f>L28-0.5</f>
        <v>5.7</v>
      </c>
    </row>
    <row r="29" spans="1:44">
      <c r="A29" s="109">
        <v>17</v>
      </c>
      <c r="B29" s="212"/>
      <c r="C29" s="213"/>
      <c r="D29" s="212"/>
      <c r="E29" s="213"/>
      <c r="F29" s="212"/>
      <c r="G29" s="213"/>
      <c r="H29" s="212"/>
      <c r="I29" s="213"/>
      <c r="J29" s="111" t="str">
        <f t="shared" si="0"/>
        <v/>
      </c>
      <c r="K29">
        <v>6.5</v>
      </c>
      <c r="L29">
        <v>7.1</v>
      </c>
      <c r="M29">
        <f>K29-0.8</f>
        <v>5.7</v>
      </c>
      <c r="N29">
        <f>L29-0.8</f>
        <v>6.3</v>
      </c>
    </row>
    <row r="30" spans="1:44">
      <c r="A30" s="109">
        <v>18</v>
      </c>
      <c r="B30" s="212"/>
      <c r="C30" s="213"/>
      <c r="D30" s="212"/>
      <c r="E30" s="213"/>
      <c r="F30" s="212"/>
      <c r="G30" s="213"/>
      <c r="H30" s="212"/>
      <c r="I30" s="213"/>
      <c r="J30" s="111" t="str">
        <f t="shared" si="0"/>
        <v/>
      </c>
      <c r="K30">
        <v>2.9</v>
      </c>
      <c r="L30">
        <v>2.2999999999999998</v>
      </c>
      <c r="M30">
        <f>K30-0.2</f>
        <v>2.6999999999999997</v>
      </c>
      <c r="N30">
        <f>L30-0.2</f>
        <v>2.0999999999999996</v>
      </c>
    </row>
    <row r="31" spans="1:44">
      <c r="A31" s="109">
        <v>19</v>
      </c>
      <c r="B31" s="934"/>
      <c r="C31" s="935"/>
      <c r="D31" s="934"/>
      <c r="E31" s="935"/>
      <c r="F31" s="934"/>
      <c r="G31" s="935"/>
      <c r="H31" s="934"/>
      <c r="I31" s="935"/>
      <c r="J31" s="111" t="str">
        <f t="shared" si="0"/>
        <v/>
      </c>
      <c r="K31">
        <v>13.2</v>
      </c>
      <c r="L31">
        <v>12.6</v>
      </c>
      <c r="M31">
        <f>K31-0.5</f>
        <v>12.7</v>
      </c>
      <c r="N31">
        <f>L31-0.5</f>
        <v>12.1</v>
      </c>
    </row>
    <row r="32" spans="1:44">
      <c r="A32" s="109">
        <v>20</v>
      </c>
      <c r="B32" s="934"/>
      <c r="C32" s="935"/>
      <c r="D32" s="934"/>
      <c r="E32" s="935"/>
      <c r="F32" s="934"/>
      <c r="G32" s="935"/>
      <c r="H32" s="934"/>
      <c r="I32" s="935"/>
      <c r="J32" s="111" t="str">
        <f t="shared" si="0"/>
        <v/>
      </c>
      <c r="K32">
        <v>15.6</v>
      </c>
      <c r="L32">
        <v>15.9</v>
      </c>
      <c r="M32">
        <f>K32-0.8</f>
        <v>14.799999999999999</v>
      </c>
      <c r="N32">
        <f>L32-0.8</f>
        <v>15.1</v>
      </c>
    </row>
    <row r="33" spans="1:44">
      <c r="A33" s="109">
        <v>21</v>
      </c>
      <c r="B33" s="934"/>
      <c r="C33" s="935"/>
      <c r="D33" s="934"/>
      <c r="E33" s="935"/>
      <c r="F33" s="934"/>
      <c r="G33" s="935"/>
      <c r="H33" s="934"/>
      <c r="I33" s="935"/>
      <c r="J33" s="111" t="str">
        <f t="shared" si="0"/>
        <v/>
      </c>
      <c r="K33">
        <v>9.6</v>
      </c>
      <c r="L33">
        <v>9.1</v>
      </c>
      <c r="M33">
        <f>K33-0.2</f>
        <v>9.4</v>
      </c>
      <c r="N33">
        <f>L33-0.2</f>
        <v>8.9</v>
      </c>
    </row>
    <row r="34" spans="1:44" ht="18.75">
      <c r="A34" s="109">
        <v>22</v>
      </c>
      <c r="B34" s="934"/>
      <c r="C34" s="935"/>
      <c r="D34" s="934"/>
      <c r="E34" s="935"/>
      <c r="F34" s="934"/>
      <c r="G34" s="935"/>
      <c r="H34" s="934"/>
      <c r="I34" s="935"/>
      <c r="J34" s="111" t="str">
        <f t="shared" si="0"/>
        <v/>
      </c>
      <c r="K34">
        <v>10.4</v>
      </c>
      <c r="L34">
        <v>11.2</v>
      </c>
      <c r="M34">
        <f>K34-0.5</f>
        <v>9.9</v>
      </c>
      <c r="N34">
        <f>L34-0.5</f>
        <v>10.7</v>
      </c>
      <c r="AD34" s="114" t="s">
        <v>197</v>
      </c>
      <c r="AE34" s="115"/>
      <c r="AF34" s="116" t="s">
        <v>371</v>
      </c>
      <c r="AG34" s="95" t="e">
        <f>D51</f>
        <v>#DIV/0!</v>
      </c>
    </row>
    <row r="35" spans="1:44" ht="19.5">
      <c r="A35" s="109">
        <v>23</v>
      </c>
      <c r="B35" s="934"/>
      <c r="C35" s="935"/>
      <c r="D35" s="934"/>
      <c r="E35" s="935"/>
      <c r="F35" s="934"/>
      <c r="G35" s="935"/>
      <c r="H35" s="934"/>
      <c r="I35" s="935"/>
      <c r="J35" s="111" t="str">
        <f t="shared" si="0"/>
        <v/>
      </c>
      <c r="K35">
        <v>10.5</v>
      </c>
      <c r="L35">
        <v>9.6999999999999993</v>
      </c>
      <c r="M35">
        <f>K35-0.8</f>
        <v>9.6999999999999993</v>
      </c>
      <c r="N35">
        <f>L35-0.8</f>
        <v>8.8999999999999986</v>
      </c>
      <c r="AD35" s="114" t="s">
        <v>198</v>
      </c>
      <c r="AE35" s="115"/>
      <c r="AF35" s="116" t="s">
        <v>372</v>
      </c>
      <c r="AG35" s="95" t="e">
        <f>D52</f>
        <v>#DIV/0!</v>
      </c>
    </row>
    <row r="36" spans="1:44" ht="18.75">
      <c r="A36" s="109">
        <v>24</v>
      </c>
      <c r="B36" s="934"/>
      <c r="C36" s="935"/>
      <c r="D36" s="934"/>
      <c r="E36" s="935"/>
      <c r="F36" s="934"/>
      <c r="G36" s="935"/>
      <c r="H36" s="934"/>
      <c r="I36" s="935"/>
      <c r="J36" s="111" t="str">
        <f t="shared" si="0"/>
        <v/>
      </c>
      <c r="K36">
        <v>7.6</v>
      </c>
      <c r="L36">
        <v>6.5</v>
      </c>
      <c r="M36">
        <f>K36-0.2</f>
        <v>7.3999999999999995</v>
      </c>
      <c r="N36">
        <f>L36-0.2</f>
        <v>6.3</v>
      </c>
      <c r="AD36" s="114" t="s">
        <v>199</v>
      </c>
      <c r="AE36" s="115"/>
      <c r="AF36" s="116" t="s">
        <v>373</v>
      </c>
      <c r="AG36" s="95" t="e">
        <f>D53</f>
        <v>#DIV/0!</v>
      </c>
      <c r="AH36" s="117" t="e">
        <f>J53</f>
        <v>#DIV/0!</v>
      </c>
      <c r="AI36" s="118" t="s">
        <v>124</v>
      </c>
      <c r="AJ36" s="119"/>
    </row>
    <row r="37" spans="1:44" ht="18.75">
      <c r="A37" s="109">
        <v>25</v>
      </c>
      <c r="B37" s="934"/>
      <c r="C37" s="935"/>
      <c r="D37" s="934"/>
      <c r="E37" s="935"/>
      <c r="F37" s="934"/>
      <c r="G37" s="935"/>
      <c r="H37" s="934"/>
      <c r="I37" s="935"/>
      <c r="J37" s="111" t="str">
        <f t="shared" si="0"/>
        <v/>
      </c>
      <c r="K37">
        <v>5.3</v>
      </c>
      <c r="L37">
        <v>5.9</v>
      </c>
      <c r="M37">
        <f>K37-0.5</f>
        <v>4.8</v>
      </c>
      <c r="N37">
        <f>L37-0.5</f>
        <v>5.4</v>
      </c>
      <c r="X37" s="44"/>
      <c r="AD37" s="114" t="s">
        <v>200</v>
      </c>
      <c r="AE37" s="115"/>
      <c r="AF37" s="116" t="s">
        <v>374</v>
      </c>
      <c r="AG37" s="95" t="e">
        <f>D54</f>
        <v>#DIV/0!</v>
      </c>
    </row>
    <row r="38" spans="1:44">
      <c r="A38" s="109">
        <v>26</v>
      </c>
      <c r="B38" s="934"/>
      <c r="C38" s="935"/>
      <c r="D38" s="934"/>
      <c r="E38" s="935"/>
      <c r="F38" s="934"/>
      <c r="G38" s="935"/>
      <c r="H38" s="934"/>
      <c r="I38" s="935"/>
      <c r="J38" s="111" t="str">
        <f t="shared" si="0"/>
        <v/>
      </c>
      <c r="K38">
        <v>8</v>
      </c>
      <c r="L38">
        <v>8.3000000000000007</v>
      </c>
      <c r="M38">
        <f>K38-0.8</f>
        <v>7.2</v>
      </c>
      <c r="N38">
        <f>L38-0.8</f>
        <v>7.5000000000000009</v>
      </c>
      <c r="R38" s="44"/>
      <c r="S38" s="44"/>
      <c r="T38" s="44"/>
      <c r="U38" s="44"/>
      <c r="V38" s="44"/>
      <c r="W38" s="44"/>
      <c r="X38" s="44"/>
    </row>
    <row r="39" spans="1:44" ht="18.75">
      <c r="A39" s="109">
        <v>27</v>
      </c>
      <c r="B39" s="934"/>
      <c r="C39" s="935"/>
      <c r="D39" s="934"/>
      <c r="E39" s="935"/>
      <c r="F39" s="934"/>
      <c r="G39" s="935"/>
      <c r="H39" s="934"/>
      <c r="I39" s="935"/>
      <c r="J39" s="111" t="str">
        <f t="shared" si="0"/>
        <v/>
      </c>
      <c r="K39">
        <v>5.6</v>
      </c>
      <c r="L39">
        <v>5</v>
      </c>
      <c r="M39">
        <f>K39-0.2</f>
        <v>5.3999999999999995</v>
      </c>
      <c r="N39">
        <f>L39-0.2</f>
        <v>4.8</v>
      </c>
      <c r="AD39" s="120" t="s">
        <v>375</v>
      </c>
      <c r="AE39" s="121" t="e">
        <f>H51</f>
        <v>#DIV/0!</v>
      </c>
    </row>
    <row r="40" spans="1:44" ht="18.75">
      <c r="A40" s="109">
        <v>28</v>
      </c>
      <c r="B40" s="934"/>
      <c r="C40" s="935"/>
      <c r="D40" s="934"/>
      <c r="E40" s="935"/>
      <c r="F40" s="934"/>
      <c r="G40" s="935"/>
      <c r="H40" s="934"/>
      <c r="I40" s="935"/>
      <c r="J40" s="111" t="str">
        <f t="shared" si="0"/>
        <v/>
      </c>
      <c r="K40">
        <v>3.9</v>
      </c>
      <c r="L40">
        <v>4.5</v>
      </c>
      <c r="M40">
        <f>K40-0.5</f>
        <v>3.4</v>
      </c>
      <c r="N40">
        <f>L40-0.5</f>
        <v>4</v>
      </c>
      <c r="AD40" s="122" t="s">
        <v>376</v>
      </c>
      <c r="AE40" s="123" t="e">
        <f>H53</f>
        <v>#DIV/0!</v>
      </c>
      <c r="AG40" s="124" t="e">
        <f>E54</f>
        <v>#DIV/0!</v>
      </c>
      <c r="AM40" s="100" t="s">
        <v>370</v>
      </c>
      <c r="AN40" t="e">
        <f>ROUND(I149,I8)</f>
        <v>#VALUE!</v>
      </c>
      <c r="AQ40" s="100" t="s">
        <v>370</v>
      </c>
      <c r="AR40" t="e">
        <f>ROUND(I180,I8)</f>
        <v>#VALUE!</v>
      </c>
    </row>
    <row r="41" spans="1:44">
      <c r="A41" s="109">
        <v>29</v>
      </c>
      <c r="B41" s="934"/>
      <c r="C41" s="935"/>
      <c r="D41" s="934"/>
      <c r="E41" s="935"/>
      <c r="F41" s="934"/>
      <c r="G41" s="935"/>
      <c r="H41" s="934"/>
      <c r="I41" s="935"/>
      <c r="J41" s="111" t="str">
        <f t="shared" si="0"/>
        <v/>
      </c>
      <c r="K41">
        <v>9.6999999999999993</v>
      </c>
      <c r="L41">
        <v>10.199999999999999</v>
      </c>
      <c r="M41">
        <f>K41-0.8</f>
        <v>8.8999999999999986</v>
      </c>
      <c r="N41">
        <f>L41-0.8</f>
        <v>9.3999999999999986</v>
      </c>
      <c r="AE41" s="125"/>
      <c r="AF41" s="125"/>
      <c r="AG41" s="125"/>
      <c r="AH41" s="125"/>
      <c r="AI41" s="125"/>
      <c r="AJ41" s="125"/>
      <c r="AM41" s="99" t="s">
        <v>196</v>
      </c>
      <c r="AN41" s="113" t="str">
        <f>I152</f>
        <v/>
      </c>
      <c r="AQ41" s="99" t="s">
        <v>196</v>
      </c>
      <c r="AR41" s="113" t="str">
        <f>I183</f>
        <v/>
      </c>
    </row>
    <row r="42" spans="1:44" ht="13.5" thickBot="1">
      <c r="A42" s="109">
        <v>30</v>
      </c>
      <c r="B42" s="936"/>
      <c r="C42" s="937"/>
      <c r="D42" s="936"/>
      <c r="E42" s="937"/>
      <c r="F42" s="936"/>
      <c r="G42" s="937"/>
      <c r="H42" s="936"/>
      <c r="I42" s="937"/>
      <c r="J42" s="126" t="str">
        <f t="shared" si="0"/>
        <v/>
      </c>
      <c r="K42">
        <v>8.9</v>
      </c>
      <c r="L42">
        <v>8.1999999999999993</v>
      </c>
      <c r="M42">
        <f>K42-0.2</f>
        <v>8.7000000000000011</v>
      </c>
      <c r="N42">
        <f>L42-0.2</f>
        <v>7.9999999999999991</v>
      </c>
    </row>
    <row r="43" spans="1:44" ht="14.25" thickTop="1" thickBot="1">
      <c r="A43" s="127" t="s">
        <v>201</v>
      </c>
      <c r="B43" s="128" t="s">
        <v>202</v>
      </c>
      <c r="C43" s="129" t="e">
        <f>AVERAGE(B13:C42)</f>
        <v>#DIV/0!</v>
      </c>
      <c r="D43" s="128" t="s">
        <v>203</v>
      </c>
      <c r="E43" s="129" t="e">
        <f>AVERAGE(D13:E42)</f>
        <v>#DIV/0!</v>
      </c>
      <c r="F43" s="128" t="s">
        <v>204</v>
      </c>
      <c r="G43" s="129" t="str">
        <f>IF(F13="","",AVERAGE(F13:G42))</f>
        <v/>
      </c>
      <c r="H43" s="128" t="s">
        <v>205</v>
      </c>
      <c r="I43" s="129" t="str">
        <f>IF(H13="","",AVERAGE(H13:I42))</f>
        <v/>
      </c>
      <c r="J43" s="130" t="e">
        <f>AVERAGE(J13:J42)</f>
        <v>#DIV/0!</v>
      </c>
      <c r="K43" s="131" t="s">
        <v>206</v>
      </c>
      <c r="L43" s="132"/>
    </row>
    <row r="44" spans="1:44" ht="13.5" thickBot="1">
      <c r="A44" s="127" t="s">
        <v>207</v>
      </c>
      <c r="B44" s="133" t="s">
        <v>208</v>
      </c>
      <c r="C44" s="129" t="e">
        <f>AVERAGE(E61:E90)</f>
        <v>#DIV/0!</v>
      </c>
      <c r="D44" s="133" t="s">
        <v>209</v>
      </c>
      <c r="E44" s="129" t="e">
        <f>AVERAGE(E92:E121)</f>
        <v>#DIV/0!</v>
      </c>
      <c r="F44" s="133" t="s">
        <v>210</v>
      </c>
      <c r="G44" s="129" t="str">
        <f>IF(G43="","",AVERAGE(E123:E152))</f>
        <v/>
      </c>
      <c r="H44" s="133" t="s">
        <v>211</v>
      </c>
      <c r="I44" s="129" t="str">
        <f>IF(I43="","",AVERAGE(E154:E183))</f>
        <v/>
      </c>
      <c r="J44" s="130">
        <f>MAX(J13:J42)-MIN(J13:J42)</f>
        <v>0</v>
      </c>
      <c r="K44" s="131" t="s">
        <v>212</v>
      </c>
      <c r="L44" s="132"/>
    </row>
    <row r="45" spans="1:44">
      <c r="A45" s="127"/>
      <c r="B45" s="134"/>
      <c r="C45" s="135"/>
      <c r="D45" s="134">
        <f>MAX(J13:J42)-MIN(J13:J17)</f>
        <v>0</v>
      </c>
      <c r="E45" s="135"/>
      <c r="F45" s="134"/>
      <c r="G45" s="135"/>
      <c r="H45" s="134"/>
      <c r="I45" s="135"/>
      <c r="J45" s="135"/>
      <c r="K45" s="135"/>
      <c r="L45" s="135"/>
    </row>
    <row r="46" spans="1:44">
      <c r="A46" s="127"/>
      <c r="B46" s="127"/>
      <c r="C46" s="127"/>
      <c r="D46" s="127"/>
      <c r="E46" s="127"/>
      <c r="F46" s="127"/>
      <c r="G46" s="127"/>
      <c r="H46" s="127"/>
      <c r="I46" s="127"/>
      <c r="J46" s="127"/>
      <c r="K46" s="127"/>
      <c r="L46" s="127"/>
    </row>
    <row r="47" spans="1:44">
      <c r="A47" s="136"/>
      <c r="B47" s="136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t="e">
        <f>MAX(C43,E43,G43,I43)</f>
        <v>#DIV/0!</v>
      </c>
    </row>
    <row r="48" spans="1:44" ht="15.75">
      <c r="A48" s="133" t="s">
        <v>213</v>
      </c>
      <c r="B48" s="129">
        <f>0.5*(COUNT(B13:I13))</f>
        <v>0</v>
      </c>
      <c r="C48" s="127"/>
      <c r="D48" s="129" t="s">
        <v>377</v>
      </c>
      <c r="E48" s="129">
        <f>IF($B$48=2,1.128,IF($B$48=3,1.693,IF($B$48=4,2.059,0)))</f>
        <v>0</v>
      </c>
      <c r="F48" s="129" t="s">
        <v>378</v>
      </c>
      <c r="G48" s="132"/>
      <c r="H48" s="129">
        <v>1.1279999999999999</v>
      </c>
      <c r="I48" s="127"/>
      <c r="J48" s="127"/>
      <c r="K48" s="127"/>
      <c r="L48" s="127"/>
      <c r="M48" t="e">
        <f>MIN(C43,E43,G43,I43)</f>
        <v>#DIV/0!</v>
      </c>
      <c r="N48" t="e">
        <f>D51^2</f>
        <v>#DIV/0!</v>
      </c>
    </row>
    <row r="49" spans="1:18" ht="15.75">
      <c r="A49" s="133" t="s">
        <v>214</v>
      </c>
      <c r="B49" s="129">
        <f>COUNT(B13:B42)</f>
        <v>0</v>
      </c>
      <c r="C49" s="127"/>
      <c r="D49" s="129" t="s">
        <v>379</v>
      </c>
      <c r="E49" s="129" t="str">
        <f>IF(B49=5,2.326,IF(B49=6,2.534,IF(B49=7,2.704,IF(B49=8,2.847,IF(B49=9,2.97,IF(B49=10,3.078,"error"))))))</f>
        <v>error</v>
      </c>
      <c r="F49" s="127"/>
      <c r="G49" s="127"/>
      <c r="H49" s="127"/>
      <c r="I49" s="127"/>
      <c r="J49" s="127"/>
      <c r="K49" s="127"/>
      <c r="L49" s="127"/>
      <c r="M49" t="e">
        <f>M47-M48</f>
        <v>#DIV/0!</v>
      </c>
    </row>
    <row r="50" spans="1:18">
      <c r="A50" s="127"/>
      <c r="B50" s="127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t="e">
        <f>((M47-M48)/E48)^2</f>
        <v>#DIV/0!</v>
      </c>
      <c r="N50" t="e">
        <f>N48/B48</f>
        <v>#DIV/0!</v>
      </c>
    </row>
    <row r="51" spans="1:18" ht="19.5">
      <c r="A51" s="137" t="s">
        <v>197</v>
      </c>
      <c r="B51" s="131"/>
      <c r="C51" s="138" t="s">
        <v>380</v>
      </c>
      <c r="D51" s="129" t="e">
        <f>F61/1.128</f>
        <v>#DIV/0!</v>
      </c>
      <c r="E51" s="139" t="s">
        <v>381</v>
      </c>
      <c r="F51" s="140" t="e">
        <f>1-((D51^2)/(D54^2))</f>
        <v>#DIV/0!</v>
      </c>
      <c r="G51" s="139" t="s">
        <v>382</v>
      </c>
      <c r="H51" s="141" t="e">
        <f>SQRT(((1+F51)/(1-F51)))</f>
        <v>#DIV/0!</v>
      </c>
      <c r="I51" s="142" t="s">
        <v>383</v>
      </c>
      <c r="J51" s="143" t="e">
        <f>1-F51</f>
        <v>#DIV/0!</v>
      </c>
      <c r="K51" s="131" t="s">
        <v>124</v>
      </c>
      <c r="L51" s="132"/>
    </row>
    <row r="52" spans="1:18" ht="19.5">
      <c r="A52" s="137" t="s">
        <v>198</v>
      </c>
      <c r="B52" s="131"/>
      <c r="C52" s="138" t="s">
        <v>384</v>
      </c>
      <c r="D52" s="129" t="e">
        <f>SQRT(((MAX(C43,E43,G43,I43)-MIN(C43,E43,G43,I43))/E48)^2)</f>
        <v>#DIV/0!</v>
      </c>
      <c r="E52" s="144"/>
      <c r="F52" s="145"/>
      <c r="G52" s="144"/>
      <c r="H52" s="146"/>
      <c r="I52" s="147"/>
      <c r="J52" s="148"/>
      <c r="K52" s="149"/>
      <c r="L52" s="150"/>
      <c r="M52" t="e">
        <f>M50-N50</f>
        <v>#DIV/0!</v>
      </c>
    </row>
    <row r="53" spans="1:18" ht="19.5">
      <c r="A53" s="137" t="s">
        <v>199</v>
      </c>
      <c r="B53" s="131"/>
      <c r="C53" s="138" t="s">
        <v>385</v>
      </c>
      <c r="D53" s="129" t="e">
        <f>SQRT(D51^2+D52^2)</f>
        <v>#DIV/0!</v>
      </c>
      <c r="E53" s="139" t="s">
        <v>386</v>
      </c>
      <c r="F53" s="140" t="e">
        <f>1-((D51^2+D52^2)/(D54^2+D52^2))</f>
        <v>#DIV/0!</v>
      </c>
      <c r="G53" s="151" t="s">
        <v>387</v>
      </c>
      <c r="H53" s="152" t="e">
        <f>SQRT(((1+F53)/(1-F53)))</f>
        <v>#DIV/0!</v>
      </c>
      <c r="I53" s="142" t="s">
        <v>388</v>
      </c>
      <c r="J53" s="143" t="e">
        <f>1-F53</f>
        <v>#DIV/0!</v>
      </c>
      <c r="K53" s="131" t="s">
        <v>124</v>
      </c>
      <c r="L53" s="132"/>
    </row>
    <row r="54" spans="1:18" ht="19.5">
      <c r="A54" s="137" t="s">
        <v>200</v>
      </c>
      <c r="B54" s="131"/>
      <c r="C54" s="138" t="s">
        <v>389</v>
      </c>
      <c r="D54" s="129" t="e">
        <f>IF(D8="",SQRT((STDEV(J13:J42)^2)+((0.5)*D51^2)),D8)</f>
        <v>#DIV/0!</v>
      </c>
      <c r="E54" s="153" t="e">
        <f>IF(H53&lt;8.5,"The discrimination ratio is NOT adequate","The discrimination ratio is adequate")</f>
        <v>#DIV/0!</v>
      </c>
      <c r="F54" s="131"/>
      <c r="G54" s="131"/>
      <c r="H54" s="131"/>
      <c r="I54" s="131"/>
      <c r="J54" s="131"/>
      <c r="K54" s="131"/>
      <c r="L54" s="132"/>
    </row>
    <row r="55" spans="1:18">
      <c r="D55" s="154" t="s">
        <v>215</v>
      </c>
    </row>
    <row r="56" spans="1:18" ht="15.75">
      <c r="A56" s="155" t="str">
        <f>IF(OR(G43="",I43=""),"You may want to adjust the graphical output to plot only the number of operators you had in your study","")</f>
        <v>You may want to adjust the graphical output to plot only the number of operators you had in your study</v>
      </c>
    </row>
    <row r="57" spans="1:18">
      <c r="M57" s="156"/>
    </row>
    <row r="58" spans="1:18">
      <c r="A58" s="157" t="s">
        <v>216</v>
      </c>
      <c r="B58" s="157"/>
      <c r="C58" s="157"/>
      <c r="D58" s="157"/>
      <c r="E58" s="157"/>
      <c r="F58" s="157"/>
      <c r="G58" s="158"/>
      <c r="H58" s="158"/>
      <c r="I58" s="157"/>
      <c r="J58" s="157"/>
      <c r="K58" s="156"/>
      <c r="L58" s="156"/>
      <c r="M58" s="156"/>
    </row>
    <row r="59" spans="1:18">
      <c r="A59" s="157"/>
      <c r="B59" s="157"/>
      <c r="C59" s="157"/>
      <c r="D59" s="157"/>
      <c r="E59" s="157"/>
      <c r="F59" s="157"/>
      <c r="G59" s="158"/>
      <c r="H59" s="158"/>
      <c r="I59" s="157"/>
      <c r="J59" s="157"/>
      <c r="K59" s="156"/>
      <c r="L59" s="156"/>
    </row>
    <row r="60" spans="1:18">
      <c r="A60" s="159" t="s">
        <v>217</v>
      </c>
      <c r="B60" s="159" t="s">
        <v>193</v>
      </c>
      <c r="C60" s="159" t="s">
        <v>194</v>
      </c>
      <c r="D60" s="159" t="s">
        <v>218</v>
      </c>
      <c r="E60" s="159" t="s">
        <v>117</v>
      </c>
      <c r="F60" s="160" t="s">
        <v>219</v>
      </c>
      <c r="G60" s="159" t="s">
        <v>220</v>
      </c>
      <c r="H60" s="158"/>
      <c r="I60" s="157"/>
      <c r="J60" s="157"/>
    </row>
    <row r="61" spans="1:18">
      <c r="A61" s="161" t="s">
        <v>221</v>
      </c>
      <c r="B61" s="157" t="str">
        <f t="shared" ref="B61:B90" si="1">IF(B13="","",B13)</f>
        <v/>
      </c>
      <c r="C61" s="157" t="str">
        <f t="shared" ref="C61:C90" si="2">IF(B61="","",C13)</f>
        <v/>
      </c>
      <c r="D61" s="157" t="str">
        <f t="shared" ref="D61:D90" si="3">IF(B61="","",AVERAGE(B61:C61))</f>
        <v/>
      </c>
      <c r="E61" s="157" t="str">
        <f t="shared" ref="E61:E92" si="4">IF(B61="","",ABS(B61-C61))</f>
        <v/>
      </c>
      <c r="F61" s="160" t="e">
        <f>AVERAGE(E61:E183)</f>
        <v>#DIV/0!</v>
      </c>
      <c r="G61" s="158"/>
      <c r="H61" s="158"/>
      <c r="I61" s="157"/>
      <c r="J61" s="157"/>
    </row>
    <row r="62" spans="1:18">
      <c r="A62" s="161" t="s">
        <v>222</v>
      </c>
      <c r="B62" s="157" t="str">
        <f t="shared" si="1"/>
        <v/>
      </c>
      <c r="C62" s="157" t="str">
        <f t="shared" si="2"/>
        <v/>
      </c>
      <c r="D62" s="157" t="str">
        <f t="shared" si="3"/>
        <v/>
      </c>
      <c r="E62" s="157" t="str">
        <f t="shared" si="4"/>
        <v/>
      </c>
      <c r="F62" s="157"/>
      <c r="G62" s="158"/>
      <c r="H62" s="158"/>
      <c r="I62" s="157"/>
      <c r="J62" s="157"/>
    </row>
    <row r="63" spans="1:18">
      <c r="A63" s="161" t="s">
        <v>223</v>
      </c>
      <c r="B63" s="157" t="str">
        <f t="shared" si="1"/>
        <v/>
      </c>
      <c r="C63" s="157" t="str">
        <f t="shared" si="2"/>
        <v/>
      </c>
      <c r="D63" s="157" t="str">
        <f t="shared" si="3"/>
        <v/>
      </c>
      <c r="E63" s="157" t="str">
        <f t="shared" si="4"/>
        <v/>
      </c>
      <c r="F63" s="157"/>
      <c r="G63" s="158"/>
      <c r="H63" s="158"/>
      <c r="I63" s="157"/>
      <c r="J63" s="157"/>
      <c r="M63" s="112"/>
      <c r="N63" s="112"/>
      <c r="O63" s="112"/>
      <c r="P63" s="112"/>
      <c r="Q63" s="112"/>
      <c r="R63" s="112"/>
    </row>
    <row r="64" spans="1:18">
      <c r="A64" s="161" t="s">
        <v>224</v>
      </c>
      <c r="B64" s="157" t="str">
        <f t="shared" si="1"/>
        <v/>
      </c>
      <c r="C64" s="157" t="str">
        <f t="shared" si="2"/>
        <v/>
      </c>
      <c r="D64" s="157" t="str">
        <f t="shared" si="3"/>
        <v/>
      </c>
      <c r="E64" s="157" t="str">
        <f t="shared" si="4"/>
        <v/>
      </c>
      <c r="F64" s="157"/>
      <c r="G64" s="158"/>
      <c r="H64" s="158"/>
      <c r="I64" s="157"/>
      <c r="J64" s="157"/>
    </row>
    <row r="65" spans="1:18">
      <c r="A65" s="161" t="s">
        <v>225</v>
      </c>
      <c r="B65" s="157" t="str">
        <f t="shared" si="1"/>
        <v/>
      </c>
      <c r="C65" s="157" t="str">
        <f t="shared" si="2"/>
        <v/>
      </c>
      <c r="D65" s="157" t="str">
        <f t="shared" si="3"/>
        <v/>
      </c>
      <c r="E65" s="157" t="str">
        <f t="shared" si="4"/>
        <v/>
      </c>
      <c r="F65" s="157"/>
      <c r="G65" s="158"/>
      <c r="H65" s="158"/>
      <c r="I65" s="157"/>
      <c r="J65" s="157"/>
    </row>
    <row r="66" spans="1:18">
      <c r="A66" s="161" t="s">
        <v>226</v>
      </c>
      <c r="B66" s="157" t="str">
        <f t="shared" si="1"/>
        <v/>
      </c>
      <c r="C66" s="157" t="str">
        <f t="shared" si="2"/>
        <v/>
      </c>
      <c r="D66" s="157" t="str">
        <f t="shared" si="3"/>
        <v/>
      </c>
      <c r="E66" s="157" t="str">
        <f t="shared" si="4"/>
        <v/>
      </c>
      <c r="F66" s="157"/>
      <c r="G66" s="158"/>
      <c r="H66" s="158"/>
      <c r="I66" s="157"/>
      <c r="J66" s="157"/>
    </row>
    <row r="67" spans="1:18">
      <c r="A67" s="161" t="s">
        <v>227</v>
      </c>
      <c r="B67" s="157" t="str">
        <f t="shared" si="1"/>
        <v/>
      </c>
      <c r="C67" s="157" t="str">
        <f t="shared" si="2"/>
        <v/>
      </c>
      <c r="D67" s="157" t="str">
        <f t="shared" si="3"/>
        <v/>
      </c>
      <c r="E67" s="157" t="str">
        <f t="shared" si="4"/>
        <v/>
      </c>
      <c r="F67" s="157"/>
      <c r="G67" s="158"/>
      <c r="H67" s="158"/>
      <c r="I67" s="157"/>
      <c r="J67" s="157"/>
    </row>
    <row r="68" spans="1:18">
      <c r="A68" s="161" t="s">
        <v>228</v>
      </c>
      <c r="B68" s="157" t="str">
        <f t="shared" si="1"/>
        <v/>
      </c>
      <c r="C68" s="157" t="str">
        <f t="shared" si="2"/>
        <v/>
      </c>
      <c r="D68" s="157" t="str">
        <f t="shared" si="3"/>
        <v/>
      </c>
      <c r="E68" s="157" t="str">
        <f t="shared" si="4"/>
        <v/>
      </c>
      <c r="F68" s="157"/>
      <c r="G68" s="158"/>
      <c r="H68" s="158"/>
      <c r="I68" s="157"/>
      <c r="J68" s="157"/>
      <c r="M68" s="112"/>
      <c r="N68" s="112"/>
      <c r="O68" s="112"/>
      <c r="P68" s="112"/>
    </row>
    <row r="69" spans="1:18">
      <c r="A69" s="161" t="s">
        <v>229</v>
      </c>
      <c r="B69" s="157" t="str">
        <f t="shared" si="1"/>
        <v/>
      </c>
      <c r="C69" s="157" t="str">
        <f t="shared" si="2"/>
        <v/>
      </c>
      <c r="D69" s="157" t="str">
        <f t="shared" si="3"/>
        <v/>
      </c>
      <c r="E69" s="157" t="str">
        <f t="shared" si="4"/>
        <v/>
      </c>
      <c r="F69" s="157"/>
      <c r="G69" s="158"/>
      <c r="H69" s="158"/>
      <c r="I69" s="157"/>
      <c r="J69" s="157"/>
    </row>
    <row r="70" spans="1:18">
      <c r="A70" s="161" t="s">
        <v>230</v>
      </c>
      <c r="B70" s="157" t="str">
        <f t="shared" si="1"/>
        <v/>
      </c>
      <c r="C70" s="157" t="str">
        <f t="shared" si="2"/>
        <v/>
      </c>
      <c r="D70" s="157" t="str">
        <f t="shared" si="3"/>
        <v/>
      </c>
      <c r="E70" s="157" t="str">
        <f t="shared" si="4"/>
        <v/>
      </c>
      <c r="F70" s="157"/>
      <c r="G70" s="158"/>
      <c r="H70" s="158"/>
      <c r="I70" s="157"/>
      <c r="J70" s="157"/>
    </row>
    <row r="71" spans="1:18">
      <c r="A71" s="161" t="s">
        <v>231</v>
      </c>
      <c r="B71" s="157" t="str">
        <f t="shared" si="1"/>
        <v/>
      </c>
      <c r="C71" s="157" t="str">
        <f t="shared" si="2"/>
        <v/>
      </c>
      <c r="D71" s="157" t="str">
        <f t="shared" si="3"/>
        <v/>
      </c>
      <c r="E71" s="157" t="str">
        <f t="shared" si="4"/>
        <v/>
      </c>
      <c r="F71" s="157"/>
      <c r="G71" s="158"/>
      <c r="H71" s="158"/>
      <c r="I71" s="157"/>
      <c r="J71" s="157"/>
    </row>
    <row r="72" spans="1:18">
      <c r="A72" s="161" t="s">
        <v>232</v>
      </c>
      <c r="B72" s="157" t="str">
        <f t="shared" si="1"/>
        <v/>
      </c>
      <c r="C72" s="157" t="str">
        <f t="shared" si="2"/>
        <v/>
      </c>
      <c r="D72" s="157" t="str">
        <f t="shared" si="3"/>
        <v/>
      </c>
      <c r="E72" s="157" t="str">
        <f t="shared" si="4"/>
        <v/>
      </c>
      <c r="F72" s="157"/>
      <c r="G72" s="158"/>
      <c r="H72" s="158"/>
      <c r="I72" s="157"/>
      <c r="J72" s="157"/>
    </row>
    <row r="73" spans="1:18">
      <c r="A73" s="161" t="s">
        <v>233</v>
      </c>
      <c r="B73" s="157" t="str">
        <f t="shared" si="1"/>
        <v/>
      </c>
      <c r="C73" s="157" t="str">
        <f t="shared" si="2"/>
        <v/>
      </c>
      <c r="D73" s="157" t="str">
        <f t="shared" si="3"/>
        <v/>
      </c>
      <c r="E73" s="157" t="str">
        <f t="shared" si="4"/>
        <v/>
      </c>
      <c r="F73" s="157"/>
      <c r="G73" s="158"/>
      <c r="H73" s="158"/>
      <c r="I73" s="157"/>
      <c r="J73" s="157"/>
    </row>
    <row r="74" spans="1:18">
      <c r="A74" s="161" t="s">
        <v>234</v>
      </c>
      <c r="B74" s="157" t="str">
        <f t="shared" si="1"/>
        <v/>
      </c>
      <c r="C74" s="157" t="str">
        <f t="shared" si="2"/>
        <v/>
      </c>
      <c r="D74" s="157" t="str">
        <f t="shared" si="3"/>
        <v/>
      </c>
      <c r="E74" s="157" t="str">
        <f t="shared" si="4"/>
        <v/>
      </c>
      <c r="F74" s="157"/>
      <c r="G74" s="158"/>
      <c r="H74" s="158"/>
      <c r="I74" s="157"/>
      <c r="J74" s="157"/>
    </row>
    <row r="75" spans="1:18">
      <c r="A75" s="161" t="s">
        <v>235</v>
      </c>
      <c r="B75" s="157" t="str">
        <f t="shared" si="1"/>
        <v/>
      </c>
      <c r="C75" s="157" t="str">
        <f t="shared" si="2"/>
        <v/>
      </c>
      <c r="D75" s="157" t="str">
        <f t="shared" si="3"/>
        <v/>
      </c>
      <c r="E75" s="157" t="str">
        <f t="shared" si="4"/>
        <v/>
      </c>
      <c r="F75" s="157"/>
      <c r="G75" s="158"/>
      <c r="H75" s="158"/>
      <c r="I75" s="157"/>
      <c r="J75" s="157"/>
    </row>
    <row r="76" spans="1:18">
      <c r="A76" s="161" t="s">
        <v>236</v>
      </c>
      <c r="B76" s="157" t="str">
        <f t="shared" si="1"/>
        <v/>
      </c>
      <c r="C76" s="157" t="str">
        <f t="shared" si="2"/>
        <v/>
      </c>
      <c r="D76" s="157" t="str">
        <f t="shared" si="3"/>
        <v/>
      </c>
      <c r="E76" s="157" t="str">
        <f t="shared" si="4"/>
        <v/>
      </c>
      <c r="F76" s="157"/>
      <c r="G76" s="158"/>
      <c r="H76" s="158"/>
      <c r="I76" s="157"/>
      <c r="J76" s="157"/>
    </row>
    <row r="77" spans="1:18">
      <c r="A77" s="161" t="s">
        <v>237</v>
      </c>
      <c r="B77" s="157" t="str">
        <f t="shared" si="1"/>
        <v/>
      </c>
      <c r="C77" s="157" t="str">
        <f t="shared" si="2"/>
        <v/>
      </c>
      <c r="D77" s="157" t="str">
        <f t="shared" si="3"/>
        <v/>
      </c>
      <c r="E77" s="157" t="str">
        <f t="shared" si="4"/>
        <v/>
      </c>
      <c r="F77" s="157"/>
      <c r="G77" s="158"/>
      <c r="H77" s="158"/>
      <c r="I77" s="157"/>
      <c r="J77" s="157"/>
    </row>
    <row r="78" spans="1:18">
      <c r="A78" s="161" t="s">
        <v>238</v>
      </c>
      <c r="B78" s="157" t="str">
        <f t="shared" si="1"/>
        <v/>
      </c>
      <c r="C78" s="157" t="str">
        <f t="shared" si="2"/>
        <v/>
      </c>
      <c r="D78" s="157" t="str">
        <f t="shared" si="3"/>
        <v/>
      </c>
      <c r="E78" s="157" t="str">
        <f t="shared" si="4"/>
        <v/>
      </c>
      <c r="F78" s="157"/>
      <c r="G78" s="158"/>
      <c r="H78" s="158"/>
      <c r="I78" s="157"/>
      <c r="J78" s="157"/>
      <c r="M78" s="112"/>
      <c r="N78" s="112"/>
      <c r="O78" s="112"/>
      <c r="P78" s="112"/>
      <c r="Q78" s="112"/>
      <c r="R78" s="112"/>
    </row>
    <row r="79" spans="1:18">
      <c r="A79" s="161" t="s">
        <v>239</v>
      </c>
      <c r="B79" s="157" t="str">
        <f t="shared" si="1"/>
        <v/>
      </c>
      <c r="C79" s="157" t="str">
        <f t="shared" si="2"/>
        <v/>
      </c>
      <c r="D79" s="157" t="str">
        <f t="shared" si="3"/>
        <v/>
      </c>
      <c r="E79" s="157" t="str">
        <f t="shared" si="4"/>
        <v/>
      </c>
      <c r="F79" s="157"/>
      <c r="G79" s="158"/>
      <c r="H79" s="158"/>
      <c r="I79" s="157"/>
      <c r="J79" s="157"/>
    </row>
    <row r="80" spans="1:18">
      <c r="A80" s="161" t="s">
        <v>240</v>
      </c>
      <c r="B80" s="157" t="str">
        <f t="shared" si="1"/>
        <v/>
      </c>
      <c r="C80" s="157" t="str">
        <f t="shared" si="2"/>
        <v/>
      </c>
      <c r="D80" s="157" t="str">
        <f t="shared" si="3"/>
        <v/>
      </c>
      <c r="E80" s="157" t="str">
        <f t="shared" si="4"/>
        <v/>
      </c>
      <c r="F80" s="157"/>
      <c r="G80" s="158"/>
      <c r="H80" s="158"/>
      <c r="I80" s="157"/>
      <c r="J80" s="157"/>
      <c r="O80" s="162"/>
    </row>
    <row r="81" spans="1:15">
      <c r="A81" s="161" t="s">
        <v>241</v>
      </c>
      <c r="B81" s="157" t="str">
        <f t="shared" si="1"/>
        <v/>
      </c>
      <c r="C81" s="157" t="str">
        <f t="shared" si="2"/>
        <v/>
      </c>
      <c r="D81" s="157" t="str">
        <f t="shared" si="3"/>
        <v/>
      </c>
      <c r="E81" s="157" t="str">
        <f t="shared" si="4"/>
        <v/>
      </c>
      <c r="F81" s="157"/>
      <c r="G81" s="158"/>
      <c r="H81" s="158"/>
      <c r="I81" s="157"/>
      <c r="J81" s="157"/>
    </row>
    <row r="82" spans="1:15">
      <c r="A82" s="161" t="s">
        <v>242</v>
      </c>
      <c r="B82" s="157" t="str">
        <f t="shared" si="1"/>
        <v/>
      </c>
      <c r="C82" s="157" t="str">
        <f t="shared" si="2"/>
        <v/>
      </c>
      <c r="D82" s="157" t="str">
        <f t="shared" si="3"/>
        <v/>
      </c>
      <c r="E82" s="157" t="str">
        <f t="shared" si="4"/>
        <v/>
      </c>
      <c r="F82" s="157"/>
      <c r="G82" s="158"/>
      <c r="H82" s="158"/>
      <c r="I82" s="157"/>
      <c r="J82" s="157"/>
      <c r="O82" s="162"/>
    </row>
    <row r="83" spans="1:15">
      <c r="A83" s="161" t="s">
        <v>243</v>
      </c>
      <c r="B83" s="157" t="str">
        <f t="shared" si="1"/>
        <v/>
      </c>
      <c r="C83" s="157" t="str">
        <f t="shared" si="2"/>
        <v/>
      </c>
      <c r="D83" s="157" t="str">
        <f t="shared" si="3"/>
        <v/>
      </c>
      <c r="E83" s="157" t="str">
        <f t="shared" si="4"/>
        <v/>
      </c>
      <c r="F83" s="157"/>
      <c r="G83" s="158"/>
      <c r="H83" s="158"/>
      <c r="I83" s="157"/>
      <c r="J83" s="157"/>
    </row>
    <row r="84" spans="1:15">
      <c r="A84" s="161" t="s">
        <v>244</v>
      </c>
      <c r="B84" s="157" t="str">
        <f t="shared" si="1"/>
        <v/>
      </c>
      <c r="C84" s="157" t="str">
        <f t="shared" si="2"/>
        <v/>
      </c>
      <c r="D84" s="157" t="str">
        <f t="shared" si="3"/>
        <v/>
      </c>
      <c r="E84" s="157" t="str">
        <f t="shared" si="4"/>
        <v/>
      </c>
      <c r="F84" s="157"/>
      <c r="G84" s="158"/>
      <c r="H84" s="158"/>
      <c r="I84" s="157"/>
      <c r="J84" s="157"/>
    </row>
    <row r="85" spans="1:15">
      <c r="A85" s="161" t="s">
        <v>245</v>
      </c>
      <c r="B85" s="157" t="str">
        <f t="shared" si="1"/>
        <v/>
      </c>
      <c r="C85" s="157" t="str">
        <f t="shared" si="2"/>
        <v/>
      </c>
      <c r="D85" s="157" t="str">
        <f t="shared" si="3"/>
        <v/>
      </c>
      <c r="E85" s="157" t="str">
        <f t="shared" si="4"/>
        <v/>
      </c>
      <c r="F85" s="157"/>
      <c r="G85" s="158"/>
      <c r="H85" s="158"/>
      <c r="I85" s="157"/>
      <c r="J85" s="157"/>
    </row>
    <row r="86" spans="1:15">
      <c r="A86" s="161" t="s">
        <v>246</v>
      </c>
      <c r="B86" s="157" t="str">
        <f t="shared" si="1"/>
        <v/>
      </c>
      <c r="C86" s="157" t="str">
        <f t="shared" si="2"/>
        <v/>
      </c>
      <c r="D86" s="157" t="str">
        <f t="shared" si="3"/>
        <v/>
      </c>
      <c r="E86" s="157" t="str">
        <f t="shared" si="4"/>
        <v/>
      </c>
      <c r="F86" s="157"/>
      <c r="G86" s="158"/>
      <c r="H86" s="158" t="s">
        <v>247</v>
      </c>
      <c r="I86" s="157" t="e">
        <f>AVERAGE(E61:E90)</f>
        <v>#DIV/0!</v>
      </c>
      <c r="J86" s="157"/>
    </row>
    <row r="87" spans="1:15" ht="15.75">
      <c r="A87" s="161" t="s">
        <v>248</v>
      </c>
      <c r="B87" s="157" t="str">
        <f t="shared" si="1"/>
        <v/>
      </c>
      <c r="C87" s="157" t="str">
        <f t="shared" si="2"/>
        <v/>
      </c>
      <c r="D87" s="157" t="str">
        <f t="shared" si="3"/>
        <v/>
      </c>
      <c r="E87" s="157" t="str">
        <f t="shared" si="4"/>
        <v/>
      </c>
      <c r="F87" s="157"/>
      <c r="G87" s="158"/>
      <c r="H87" s="163" t="s">
        <v>390</v>
      </c>
      <c r="I87" s="157" t="e">
        <f>I86/1.128</f>
        <v>#DIV/0!</v>
      </c>
      <c r="J87" s="157"/>
    </row>
    <row r="88" spans="1:15" ht="15.75">
      <c r="A88" s="161" t="s">
        <v>249</v>
      </c>
      <c r="B88" s="157" t="str">
        <f t="shared" si="1"/>
        <v/>
      </c>
      <c r="C88" s="157" t="str">
        <f t="shared" si="2"/>
        <v/>
      </c>
      <c r="D88" s="157" t="str">
        <f t="shared" si="3"/>
        <v/>
      </c>
      <c r="E88" s="157" t="str">
        <f t="shared" si="4"/>
        <v/>
      </c>
      <c r="F88" s="157"/>
      <c r="G88" s="158"/>
      <c r="H88" s="163" t="s">
        <v>391</v>
      </c>
      <c r="I88" s="157" t="e">
        <f>IF($D$8="",SQRT((STDEV(D61:D90)^2)+((0.5)*I87^2)),$D$8)</f>
        <v>#DIV/0!</v>
      </c>
      <c r="J88" s="157"/>
    </row>
    <row r="89" spans="1:15">
      <c r="A89" s="161" t="s">
        <v>250</v>
      </c>
      <c r="B89" s="157" t="str">
        <f t="shared" si="1"/>
        <v/>
      </c>
      <c r="C89" s="157" t="str">
        <f t="shared" si="2"/>
        <v/>
      </c>
      <c r="D89" s="157" t="str">
        <f t="shared" si="3"/>
        <v/>
      </c>
      <c r="E89" s="157" t="str">
        <f t="shared" si="4"/>
        <v/>
      </c>
      <c r="F89" s="157"/>
      <c r="G89" s="158"/>
      <c r="H89" s="158" t="s">
        <v>251</v>
      </c>
      <c r="I89" s="157" t="e">
        <f>1-((I87^2)/(I88^2))</f>
        <v>#DIV/0!</v>
      </c>
      <c r="J89" s="157"/>
    </row>
    <row r="90" spans="1:15">
      <c r="A90" s="161" t="s">
        <v>252</v>
      </c>
      <c r="B90" s="157" t="str">
        <f t="shared" si="1"/>
        <v/>
      </c>
      <c r="C90" s="157" t="str">
        <f t="shared" si="2"/>
        <v/>
      </c>
      <c r="D90" s="157" t="str">
        <f t="shared" si="3"/>
        <v/>
      </c>
      <c r="E90" s="157" t="str">
        <f t="shared" si="4"/>
        <v/>
      </c>
      <c r="F90" s="157"/>
      <c r="G90" s="158"/>
      <c r="H90" s="158" t="s">
        <v>253</v>
      </c>
      <c r="I90" s="157" t="e">
        <f>SQRT(((1+I89)/(1-I89)))</f>
        <v>#DIV/0!</v>
      </c>
      <c r="J90" s="157"/>
    </row>
    <row r="91" spans="1:15">
      <c r="A91" s="161"/>
      <c r="B91" s="157"/>
      <c r="C91" s="157"/>
      <c r="D91" s="157"/>
      <c r="E91" s="157" t="str">
        <f t="shared" si="4"/>
        <v/>
      </c>
      <c r="F91" s="157"/>
      <c r="G91" s="158"/>
      <c r="H91" s="158"/>
      <c r="I91" s="157"/>
      <c r="J91" s="157"/>
    </row>
    <row r="92" spans="1:15">
      <c r="A92" s="161" t="s">
        <v>254</v>
      </c>
      <c r="B92" s="157" t="str">
        <f t="shared" ref="B92:B121" si="5">IF(D13="","",D13)</f>
        <v/>
      </c>
      <c r="C92" s="157" t="str">
        <f t="shared" ref="C92:C121" si="6">IF(B92="","",E13)</f>
        <v/>
      </c>
      <c r="D92" s="157" t="str">
        <f t="shared" ref="D92:D121" si="7">IF(B92="","",AVERAGE(B92:C92))</f>
        <v/>
      </c>
      <c r="E92" s="157" t="str">
        <f t="shared" si="4"/>
        <v/>
      </c>
      <c r="F92" s="157"/>
      <c r="G92" s="158"/>
      <c r="H92" s="158"/>
      <c r="I92" s="157"/>
      <c r="J92" s="157"/>
    </row>
    <row r="93" spans="1:15">
      <c r="A93" s="161" t="s">
        <v>255</v>
      </c>
      <c r="B93" s="157" t="str">
        <f t="shared" si="5"/>
        <v/>
      </c>
      <c r="C93" s="157" t="str">
        <f t="shared" si="6"/>
        <v/>
      </c>
      <c r="D93" s="157" t="str">
        <f t="shared" si="7"/>
        <v/>
      </c>
      <c r="E93" s="157" t="str">
        <f t="shared" ref="E93:E124" si="8">IF(B93="","",ABS(B93-C93))</f>
        <v/>
      </c>
      <c r="F93" s="157"/>
      <c r="G93" s="158"/>
      <c r="H93" s="158"/>
      <c r="I93" s="157"/>
      <c r="J93" s="157"/>
    </row>
    <row r="94" spans="1:15">
      <c r="A94" s="161" t="s">
        <v>256</v>
      </c>
      <c r="B94" s="157" t="str">
        <f t="shared" si="5"/>
        <v/>
      </c>
      <c r="C94" s="157" t="str">
        <f t="shared" si="6"/>
        <v/>
      </c>
      <c r="D94" s="157" t="str">
        <f t="shared" si="7"/>
        <v/>
      </c>
      <c r="E94" s="157" t="str">
        <f t="shared" si="8"/>
        <v/>
      </c>
      <c r="F94" s="157"/>
      <c r="G94" s="158"/>
      <c r="H94" s="158"/>
      <c r="I94" s="157"/>
      <c r="J94" s="157"/>
    </row>
    <row r="95" spans="1:15">
      <c r="A95" s="161" t="s">
        <v>257</v>
      </c>
      <c r="B95" s="157" t="str">
        <f t="shared" si="5"/>
        <v/>
      </c>
      <c r="C95" s="157" t="str">
        <f t="shared" si="6"/>
        <v/>
      </c>
      <c r="D95" s="157" t="str">
        <f t="shared" si="7"/>
        <v/>
      </c>
      <c r="E95" s="157" t="str">
        <f t="shared" si="8"/>
        <v/>
      </c>
      <c r="F95" s="157"/>
      <c r="G95" s="158"/>
      <c r="H95" s="158"/>
      <c r="I95" s="157"/>
      <c r="J95" s="157"/>
    </row>
    <row r="96" spans="1:15">
      <c r="A96" s="161" t="s">
        <v>258</v>
      </c>
      <c r="B96" s="157" t="str">
        <f t="shared" si="5"/>
        <v/>
      </c>
      <c r="C96" s="157" t="str">
        <f t="shared" si="6"/>
        <v/>
      </c>
      <c r="D96" s="157" t="str">
        <f t="shared" si="7"/>
        <v/>
      </c>
      <c r="E96" s="157" t="str">
        <f t="shared" si="8"/>
        <v/>
      </c>
      <c r="F96" s="157"/>
      <c r="G96" s="158"/>
      <c r="H96" s="158"/>
      <c r="I96" s="157"/>
      <c r="J96" s="157"/>
    </row>
    <row r="97" spans="1:10">
      <c r="A97" s="161" t="s">
        <v>259</v>
      </c>
      <c r="B97" s="157" t="str">
        <f t="shared" si="5"/>
        <v/>
      </c>
      <c r="C97" s="157" t="str">
        <f t="shared" si="6"/>
        <v/>
      </c>
      <c r="D97" s="157" t="str">
        <f t="shared" si="7"/>
        <v/>
      </c>
      <c r="E97" s="157" t="str">
        <f t="shared" si="8"/>
        <v/>
      </c>
      <c r="F97" s="157"/>
      <c r="G97" s="158"/>
      <c r="H97" s="158"/>
      <c r="I97" s="157"/>
      <c r="J97" s="157"/>
    </row>
    <row r="98" spans="1:10">
      <c r="A98" s="161" t="s">
        <v>260</v>
      </c>
      <c r="B98" s="157" t="str">
        <f t="shared" si="5"/>
        <v/>
      </c>
      <c r="C98" s="157" t="str">
        <f t="shared" si="6"/>
        <v/>
      </c>
      <c r="D98" s="157" t="str">
        <f t="shared" si="7"/>
        <v/>
      </c>
      <c r="E98" s="157" t="str">
        <f t="shared" si="8"/>
        <v/>
      </c>
      <c r="F98" s="157"/>
      <c r="G98" s="158"/>
      <c r="H98" s="158"/>
      <c r="I98" s="157"/>
      <c r="J98" s="157"/>
    </row>
    <row r="99" spans="1:10">
      <c r="A99" s="161" t="s">
        <v>261</v>
      </c>
      <c r="B99" s="157" t="str">
        <f t="shared" si="5"/>
        <v/>
      </c>
      <c r="C99" s="157" t="str">
        <f t="shared" si="6"/>
        <v/>
      </c>
      <c r="D99" s="157" t="str">
        <f t="shared" si="7"/>
        <v/>
      </c>
      <c r="E99" s="157" t="str">
        <f t="shared" si="8"/>
        <v/>
      </c>
      <c r="F99" s="157"/>
      <c r="G99" s="158"/>
      <c r="H99" s="158"/>
      <c r="I99" s="157"/>
      <c r="J99" s="157"/>
    </row>
    <row r="100" spans="1:10">
      <c r="A100" s="161" t="s">
        <v>262</v>
      </c>
      <c r="B100" s="157" t="str">
        <f t="shared" si="5"/>
        <v/>
      </c>
      <c r="C100" s="157" t="str">
        <f t="shared" si="6"/>
        <v/>
      </c>
      <c r="D100" s="157" t="str">
        <f t="shared" si="7"/>
        <v/>
      </c>
      <c r="E100" s="157" t="str">
        <f t="shared" si="8"/>
        <v/>
      </c>
      <c r="F100" s="157"/>
      <c r="G100" s="158"/>
      <c r="H100" s="158"/>
      <c r="I100" s="157"/>
      <c r="J100" s="157"/>
    </row>
    <row r="101" spans="1:10">
      <c r="A101" s="161" t="s">
        <v>263</v>
      </c>
      <c r="B101" s="157" t="str">
        <f t="shared" si="5"/>
        <v/>
      </c>
      <c r="C101" s="157" t="str">
        <f t="shared" si="6"/>
        <v/>
      </c>
      <c r="D101" s="157" t="str">
        <f t="shared" si="7"/>
        <v/>
      </c>
      <c r="E101" s="157" t="str">
        <f t="shared" si="8"/>
        <v/>
      </c>
      <c r="F101" s="157"/>
      <c r="G101" s="158"/>
      <c r="H101" s="158"/>
      <c r="I101" s="157"/>
      <c r="J101" s="157"/>
    </row>
    <row r="102" spans="1:10">
      <c r="A102" s="161" t="s">
        <v>264</v>
      </c>
      <c r="B102" s="157" t="str">
        <f t="shared" si="5"/>
        <v/>
      </c>
      <c r="C102" s="157" t="str">
        <f t="shared" si="6"/>
        <v/>
      </c>
      <c r="D102" s="157" t="str">
        <f t="shared" si="7"/>
        <v/>
      </c>
      <c r="E102" s="157" t="str">
        <f t="shared" si="8"/>
        <v/>
      </c>
      <c r="F102" s="157"/>
      <c r="G102" s="158"/>
      <c r="H102" s="158"/>
      <c r="I102" s="157"/>
      <c r="J102" s="157"/>
    </row>
    <row r="103" spans="1:10">
      <c r="A103" s="161" t="s">
        <v>265</v>
      </c>
      <c r="B103" s="157" t="str">
        <f t="shared" si="5"/>
        <v/>
      </c>
      <c r="C103" s="157" t="str">
        <f t="shared" si="6"/>
        <v/>
      </c>
      <c r="D103" s="157" t="str">
        <f t="shared" si="7"/>
        <v/>
      </c>
      <c r="E103" s="157" t="str">
        <f t="shared" si="8"/>
        <v/>
      </c>
      <c r="F103" s="157"/>
      <c r="G103" s="158"/>
      <c r="H103" s="158"/>
      <c r="I103" s="157"/>
      <c r="J103" s="157"/>
    </row>
    <row r="104" spans="1:10">
      <c r="A104" s="161" t="s">
        <v>266</v>
      </c>
      <c r="B104" s="157" t="str">
        <f t="shared" si="5"/>
        <v/>
      </c>
      <c r="C104" s="157" t="str">
        <f t="shared" si="6"/>
        <v/>
      </c>
      <c r="D104" s="157" t="str">
        <f t="shared" si="7"/>
        <v/>
      </c>
      <c r="E104" s="157" t="str">
        <f t="shared" si="8"/>
        <v/>
      </c>
      <c r="F104" s="157"/>
      <c r="G104" s="158"/>
      <c r="H104" s="158"/>
      <c r="I104" s="157"/>
      <c r="J104" s="157"/>
    </row>
    <row r="105" spans="1:10">
      <c r="A105" s="161" t="s">
        <v>267</v>
      </c>
      <c r="B105" s="157" t="str">
        <f t="shared" si="5"/>
        <v/>
      </c>
      <c r="C105" s="157" t="str">
        <f t="shared" si="6"/>
        <v/>
      </c>
      <c r="D105" s="157" t="str">
        <f t="shared" si="7"/>
        <v/>
      </c>
      <c r="E105" s="157" t="str">
        <f t="shared" si="8"/>
        <v/>
      </c>
      <c r="F105" s="157"/>
      <c r="G105" s="158"/>
      <c r="H105" s="158"/>
      <c r="I105" s="157"/>
      <c r="J105" s="157"/>
    </row>
    <row r="106" spans="1:10">
      <c r="A106" s="161" t="s">
        <v>268</v>
      </c>
      <c r="B106" s="157" t="str">
        <f t="shared" si="5"/>
        <v/>
      </c>
      <c r="C106" s="157" t="str">
        <f t="shared" si="6"/>
        <v/>
      </c>
      <c r="D106" s="157" t="str">
        <f t="shared" si="7"/>
        <v/>
      </c>
      <c r="E106" s="157" t="str">
        <f t="shared" si="8"/>
        <v/>
      </c>
      <c r="F106" s="157"/>
      <c r="G106" s="158"/>
      <c r="H106" s="158"/>
      <c r="I106" s="157"/>
      <c r="J106" s="157"/>
    </row>
    <row r="107" spans="1:10">
      <c r="A107" s="161" t="s">
        <v>269</v>
      </c>
      <c r="B107" s="157" t="str">
        <f t="shared" si="5"/>
        <v/>
      </c>
      <c r="C107" s="157" t="str">
        <f t="shared" si="6"/>
        <v/>
      </c>
      <c r="D107" s="157" t="str">
        <f t="shared" si="7"/>
        <v/>
      </c>
      <c r="E107" s="157" t="str">
        <f t="shared" si="8"/>
        <v/>
      </c>
      <c r="F107" s="157"/>
      <c r="G107" s="158"/>
      <c r="H107" s="158"/>
      <c r="I107" s="157"/>
      <c r="J107" s="157"/>
    </row>
    <row r="108" spans="1:10">
      <c r="A108" s="161" t="s">
        <v>270</v>
      </c>
      <c r="B108" s="157" t="str">
        <f t="shared" si="5"/>
        <v/>
      </c>
      <c r="C108" s="157" t="str">
        <f t="shared" si="6"/>
        <v/>
      </c>
      <c r="D108" s="157" t="str">
        <f t="shared" si="7"/>
        <v/>
      </c>
      <c r="E108" s="157" t="str">
        <f t="shared" si="8"/>
        <v/>
      </c>
      <c r="F108" s="157"/>
      <c r="G108" s="158"/>
      <c r="H108" s="158"/>
      <c r="I108" s="157"/>
      <c r="J108" s="157"/>
    </row>
    <row r="109" spans="1:10">
      <c r="A109" s="161" t="s">
        <v>271</v>
      </c>
      <c r="B109" s="157" t="str">
        <f t="shared" si="5"/>
        <v/>
      </c>
      <c r="C109" s="157" t="str">
        <f t="shared" si="6"/>
        <v/>
      </c>
      <c r="D109" s="157" t="str">
        <f t="shared" si="7"/>
        <v/>
      </c>
      <c r="E109" s="157" t="str">
        <f t="shared" si="8"/>
        <v/>
      </c>
      <c r="F109" s="157"/>
      <c r="G109" s="158"/>
      <c r="H109" s="158"/>
      <c r="I109" s="157"/>
      <c r="J109" s="157"/>
    </row>
    <row r="110" spans="1:10">
      <c r="A110" s="161" t="s">
        <v>272</v>
      </c>
      <c r="B110" s="157" t="str">
        <f t="shared" si="5"/>
        <v/>
      </c>
      <c r="C110" s="157" t="str">
        <f t="shared" si="6"/>
        <v/>
      </c>
      <c r="D110" s="157" t="str">
        <f t="shared" si="7"/>
        <v/>
      </c>
      <c r="E110" s="157" t="str">
        <f t="shared" si="8"/>
        <v/>
      </c>
      <c r="F110" s="157"/>
      <c r="G110" s="158"/>
      <c r="H110" s="158"/>
      <c r="I110" s="157"/>
      <c r="J110" s="157"/>
    </row>
    <row r="111" spans="1:10">
      <c r="A111" s="161" t="s">
        <v>273</v>
      </c>
      <c r="B111" s="157" t="str">
        <f t="shared" si="5"/>
        <v/>
      </c>
      <c r="C111" s="157" t="str">
        <f t="shared" si="6"/>
        <v/>
      </c>
      <c r="D111" s="157" t="str">
        <f t="shared" si="7"/>
        <v/>
      </c>
      <c r="E111" s="157" t="str">
        <f t="shared" si="8"/>
        <v/>
      </c>
      <c r="F111" s="157"/>
      <c r="G111" s="158"/>
      <c r="H111" s="158"/>
      <c r="I111" s="157"/>
      <c r="J111" s="157"/>
    </row>
    <row r="112" spans="1:10">
      <c r="A112" s="161" t="s">
        <v>274</v>
      </c>
      <c r="B112" s="157" t="str">
        <f t="shared" si="5"/>
        <v/>
      </c>
      <c r="C112" s="157" t="str">
        <f t="shared" si="6"/>
        <v/>
      </c>
      <c r="D112" s="157" t="str">
        <f t="shared" si="7"/>
        <v/>
      </c>
      <c r="E112" s="157" t="str">
        <f t="shared" si="8"/>
        <v/>
      </c>
      <c r="F112" s="157"/>
      <c r="G112" s="158"/>
      <c r="H112" s="158"/>
      <c r="I112" s="157"/>
      <c r="J112" s="157"/>
    </row>
    <row r="113" spans="1:15">
      <c r="A113" s="161" t="s">
        <v>275</v>
      </c>
      <c r="B113" s="157" t="str">
        <f t="shared" si="5"/>
        <v/>
      </c>
      <c r="C113" s="157" t="str">
        <f t="shared" si="6"/>
        <v/>
      </c>
      <c r="D113" s="157" t="str">
        <f t="shared" si="7"/>
        <v/>
      </c>
      <c r="E113" s="157" t="str">
        <f t="shared" si="8"/>
        <v/>
      </c>
      <c r="F113" s="157"/>
      <c r="G113" s="158"/>
      <c r="H113" s="158"/>
      <c r="I113" s="157"/>
      <c r="J113" s="157"/>
      <c r="O113" s="162"/>
    </row>
    <row r="114" spans="1:15">
      <c r="A114" s="161" t="s">
        <v>276</v>
      </c>
      <c r="B114" s="157" t="str">
        <f t="shared" si="5"/>
        <v/>
      </c>
      <c r="C114" s="157" t="str">
        <f t="shared" si="6"/>
        <v/>
      </c>
      <c r="D114" s="157" t="str">
        <f t="shared" si="7"/>
        <v/>
      </c>
      <c r="E114" s="157" t="str">
        <f t="shared" si="8"/>
        <v/>
      </c>
      <c r="F114" s="157"/>
      <c r="G114" s="158"/>
      <c r="H114" s="158"/>
      <c r="I114" s="157"/>
      <c r="J114" s="157"/>
    </row>
    <row r="115" spans="1:15">
      <c r="A115" s="161" t="s">
        <v>277</v>
      </c>
      <c r="B115" s="157" t="str">
        <f t="shared" si="5"/>
        <v/>
      </c>
      <c r="C115" s="157" t="str">
        <f t="shared" si="6"/>
        <v/>
      </c>
      <c r="D115" s="157" t="str">
        <f t="shared" si="7"/>
        <v/>
      </c>
      <c r="E115" s="157" t="str">
        <f t="shared" si="8"/>
        <v/>
      </c>
      <c r="F115" s="157"/>
      <c r="G115" s="158"/>
      <c r="H115" s="158"/>
      <c r="I115" s="157"/>
      <c r="J115" s="157"/>
    </row>
    <row r="116" spans="1:15">
      <c r="A116" s="161" t="s">
        <v>278</v>
      </c>
      <c r="B116" s="157" t="str">
        <f t="shared" si="5"/>
        <v/>
      </c>
      <c r="C116" s="157" t="str">
        <f t="shared" si="6"/>
        <v/>
      </c>
      <c r="D116" s="157" t="str">
        <f t="shared" si="7"/>
        <v/>
      </c>
      <c r="E116" s="157" t="str">
        <f t="shared" si="8"/>
        <v/>
      </c>
      <c r="F116" s="157"/>
      <c r="G116" s="158"/>
      <c r="H116" s="158"/>
      <c r="I116" s="157"/>
      <c r="J116" s="157"/>
    </row>
    <row r="117" spans="1:15">
      <c r="A117" s="161" t="s">
        <v>279</v>
      </c>
      <c r="B117" s="157" t="str">
        <f t="shared" si="5"/>
        <v/>
      </c>
      <c r="C117" s="157" t="str">
        <f t="shared" si="6"/>
        <v/>
      </c>
      <c r="D117" s="157" t="str">
        <f t="shared" si="7"/>
        <v/>
      </c>
      <c r="E117" s="157" t="str">
        <f t="shared" si="8"/>
        <v/>
      </c>
      <c r="F117" s="157"/>
      <c r="G117" s="158"/>
      <c r="H117" s="158" t="s">
        <v>280</v>
      </c>
      <c r="I117" s="157" t="e">
        <f>AVERAGE(E92:E121)</f>
        <v>#DIV/0!</v>
      </c>
      <c r="J117" s="157"/>
    </row>
    <row r="118" spans="1:15" ht="15.75">
      <c r="A118" s="161" t="s">
        <v>281</v>
      </c>
      <c r="B118" s="157" t="str">
        <f t="shared" si="5"/>
        <v/>
      </c>
      <c r="C118" s="157" t="str">
        <f t="shared" si="6"/>
        <v/>
      </c>
      <c r="D118" s="157" t="str">
        <f t="shared" si="7"/>
        <v/>
      </c>
      <c r="E118" s="157" t="str">
        <f t="shared" si="8"/>
        <v/>
      </c>
      <c r="F118" s="157"/>
      <c r="G118" s="158"/>
      <c r="H118" s="163" t="s">
        <v>390</v>
      </c>
      <c r="I118" s="157" t="e">
        <f>I117/1.128</f>
        <v>#DIV/0!</v>
      </c>
      <c r="J118" s="157"/>
    </row>
    <row r="119" spans="1:15" ht="15.75">
      <c r="A119" s="161" t="s">
        <v>282</v>
      </c>
      <c r="B119" s="157" t="str">
        <f t="shared" si="5"/>
        <v/>
      </c>
      <c r="C119" s="157" t="str">
        <f t="shared" si="6"/>
        <v/>
      </c>
      <c r="D119" s="157" t="str">
        <f t="shared" si="7"/>
        <v/>
      </c>
      <c r="E119" s="157" t="str">
        <f t="shared" si="8"/>
        <v/>
      </c>
      <c r="F119" s="157"/>
      <c r="G119" s="158"/>
      <c r="H119" s="163" t="s">
        <v>391</v>
      </c>
      <c r="I119" s="157" t="e">
        <f>IF($D$8="",SQRT((STDEV(D92:D121)^2)+((0.5)*I118^2)),$D$8)</f>
        <v>#DIV/0!</v>
      </c>
      <c r="J119" s="157"/>
    </row>
    <row r="120" spans="1:15">
      <c r="A120" s="161" t="s">
        <v>283</v>
      </c>
      <c r="B120" s="157" t="str">
        <f t="shared" si="5"/>
        <v/>
      </c>
      <c r="C120" s="157" t="str">
        <f t="shared" si="6"/>
        <v/>
      </c>
      <c r="D120" s="157" t="str">
        <f t="shared" si="7"/>
        <v/>
      </c>
      <c r="E120" s="157" t="str">
        <f t="shared" si="8"/>
        <v/>
      </c>
      <c r="F120" s="157"/>
      <c r="G120" s="158"/>
      <c r="H120" s="158" t="s">
        <v>251</v>
      </c>
      <c r="I120" s="157" t="e">
        <f>1-((I118^2)/(I119^2))</f>
        <v>#DIV/0!</v>
      </c>
      <c r="J120" s="157"/>
    </row>
    <row r="121" spans="1:15">
      <c r="A121" s="161" t="s">
        <v>284</v>
      </c>
      <c r="B121" s="157" t="str">
        <f t="shared" si="5"/>
        <v/>
      </c>
      <c r="C121" s="157" t="str">
        <f t="shared" si="6"/>
        <v/>
      </c>
      <c r="D121" s="157" t="str">
        <f t="shared" si="7"/>
        <v/>
      </c>
      <c r="E121" s="157" t="str">
        <f t="shared" si="8"/>
        <v/>
      </c>
      <c r="F121" s="157"/>
      <c r="G121" s="158"/>
      <c r="H121" s="158" t="s">
        <v>253</v>
      </c>
      <c r="I121" s="157" t="e">
        <f>SQRT(((1+I120)/(1-I120)))</f>
        <v>#DIV/0!</v>
      </c>
      <c r="J121" s="157"/>
    </row>
    <row r="122" spans="1:15">
      <c r="A122" s="161"/>
      <c r="B122" s="157"/>
      <c r="C122" s="157"/>
      <c r="D122" s="157"/>
      <c r="E122" s="157" t="str">
        <f t="shared" si="8"/>
        <v/>
      </c>
      <c r="F122" s="157"/>
      <c r="G122" s="158"/>
      <c r="H122" s="158"/>
      <c r="I122" s="157"/>
      <c r="J122" s="157"/>
    </row>
    <row r="123" spans="1:15">
      <c r="A123" s="161" t="s">
        <v>285</v>
      </c>
      <c r="B123" s="157" t="str">
        <f t="shared" ref="B123:B152" si="9">IF(F13="","",F13)</f>
        <v/>
      </c>
      <c r="C123" s="157" t="str">
        <f t="shared" ref="C123:C152" si="10">IF(B123="","",G13)</f>
        <v/>
      </c>
      <c r="D123" s="157" t="str">
        <f t="shared" ref="D123:D152" si="11">IF(B123="","",AVERAGE(B123:C123))</f>
        <v/>
      </c>
      <c r="E123" s="157" t="str">
        <f t="shared" si="8"/>
        <v/>
      </c>
      <c r="F123" s="157"/>
      <c r="G123" s="158"/>
      <c r="H123" s="158"/>
      <c r="I123" s="157"/>
      <c r="J123" s="157"/>
    </row>
    <row r="124" spans="1:15">
      <c r="A124" s="161" t="s">
        <v>286</v>
      </c>
      <c r="B124" s="157" t="str">
        <f t="shared" si="9"/>
        <v/>
      </c>
      <c r="C124" s="157" t="str">
        <f t="shared" si="10"/>
        <v/>
      </c>
      <c r="D124" s="157" t="str">
        <f t="shared" si="11"/>
        <v/>
      </c>
      <c r="E124" s="157" t="str">
        <f t="shared" si="8"/>
        <v/>
      </c>
      <c r="F124" s="157"/>
      <c r="G124" s="158"/>
      <c r="H124" s="158"/>
      <c r="I124" s="157"/>
      <c r="J124" s="157"/>
    </row>
    <row r="125" spans="1:15">
      <c r="A125" s="161" t="s">
        <v>287</v>
      </c>
      <c r="B125" s="157" t="str">
        <f t="shared" si="9"/>
        <v/>
      </c>
      <c r="C125" s="157" t="str">
        <f t="shared" si="10"/>
        <v/>
      </c>
      <c r="D125" s="157" t="str">
        <f t="shared" si="11"/>
        <v/>
      </c>
      <c r="E125" s="157" t="str">
        <f t="shared" ref="E125:E156" si="12">IF(B125="","",ABS(B125-C125))</f>
        <v/>
      </c>
      <c r="F125" s="157"/>
      <c r="G125" s="158"/>
      <c r="H125" s="158"/>
      <c r="I125" s="157"/>
      <c r="J125" s="157"/>
    </row>
    <row r="126" spans="1:15">
      <c r="A126" s="161" t="s">
        <v>288</v>
      </c>
      <c r="B126" s="157" t="str">
        <f t="shared" si="9"/>
        <v/>
      </c>
      <c r="C126" s="157" t="str">
        <f t="shared" si="10"/>
        <v/>
      </c>
      <c r="D126" s="157" t="str">
        <f t="shared" si="11"/>
        <v/>
      </c>
      <c r="E126" s="157" t="str">
        <f t="shared" si="12"/>
        <v/>
      </c>
      <c r="F126" s="157"/>
      <c r="G126" s="158"/>
      <c r="H126" s="158"/>
      <c r="I126" s="157"/>
      <c r="J126" s="157"/>
    </row>
    <row r="127" spans="1:15">
      <c r="A127" s="161" t="s">
        <v>289</v>
      </c>
      <c r="B127" s="157" t="str">
        <f t="shared" si="9"/>
        <v/>
      </c>
      <c r="C127" s="157" t="str">
        <f t="shared" si="10"/>
        <v/>
      </c>
      <c r="D127" s="157" t="str">
        <f t="shared" si="11"/>
        <v/>
      </c>
      <c r="E127" s="157" t="str">
        <f t="shared" si="12"/>
        <v/>
      </c>
      <c r="F127" s="157"/>
      <c r="G127" s="158"/>
      <c r="H127" s="158"/>
      <c r="I127" s="157"/>
      <c r="J127" s="157"/>
    </row>
    <row r="128" spans="1:15">
      <c r="A128" s="161" t="s">
        <v>290</v>
      </c>
      <c r="B128" s="157" t="str">
        <f t="shared" si="9"/>
        <v/>
      </c>
      <c r="C128" s="157" t="str">
        <f t="shared" si="10"/>
        <v/>
      </c>
      <c r="D128" s="157" t="str">
        <f t="shared" si="11"/>
        <v/>
      </c>
      <c r="E128" s="157" t="str">
        <f t="shared" si="12"/>
        <v/>
      </c>
      <c r="F128" s="157"/>
      <c r="G128" s="158"/>
      <c r="H128" s="158"/>
      <c r="I128" s="157"/>
      <c r="J128" s="157"/>
    </row>
    <row r="129" spans="1:15">
      <c r="A129" s="161" t="s">
        <v>291</v>
      </c>
      <c r="B129" s="157" t="str">
        <f t="shared" si="9"/>
        <v/>
      </c>
      <c r="C129" s="157" t="str">
        <f t="shared" si="10"/>
        <v/>
      </c>
      <c r="D129" s="157" t="str">
        <f t="shared" si="11"/>
        <v/>
      </c>
      <c r="E129" s="157" t="str">
        <f t="shared" si="12"/>
        <v/>
      </c>
      <c r="F129" s="157"/>
      <c r="G129" s="158"/>
      <c r="H129" s="158"/>
      <c r="I129" s="157"/>
      <c r="J129" s="157"/>
    </row>
    <row r="130" spans="1:15">
      <c r="A130" s="161" t="s">
        <v>292</v>
      </c>
      <c r="B130" s="157" t="str">
        <f t="shared" si="9"/>
        <v/>
      </c>
      <c r="C130" s="157" t="str">
        <f t="shared" si="10"/>
        <v/>
      </c>
      <c r="D130" s="157" t="str">
        <f t="shared" si="11"/>
        <v/>
      </c>
      <c r="E130" s="157" t="str">
        <f t="shared" si="12"/>
        <v/>
      </c>
      <c r="F130" s="157"/>
      <c r="G130" s="158"/>
      <c r="H130" s="158"/>
      <c r="I130" s="157"/>
      <c r="J130" s="157"/>
    </row>
    <row r="131" spans="1:15">
      <c r="A131" s="161" t="s">
        <v>293</v>
      </c>
      <c r="B131" s="157" t="str">
        <f t="shared" si="9"/>
        <v/>
      </c>
      <c r="C131" s="157" t="str">
        <f t="shared" si="10"/>
        <v/>
      </c>
      <c r="D131" s="157" t="str">
        <f t="shared" si="11"/>
        <v/>
      </c>
      <c r="E131" s="157" t="str">
        <f t="shared" si="12"/>
        <v/>
      </c>
      <c r="F131" s="157"/>
      <c r="G131" s="158"/>
      <c r="H131" s="158"/>
      <c r="I131" s="157"/>
      <c r="J131" s="157"/>
    </row>
    <row r="132" spans="1:15">
      <c r="A132" s="161" t="s">
        <v>294</v>
      </c>
      <c r="B132" s="157" t="str">
        <f t="shared" si="9"/>
        <v/>
      </c>
      <c r="C132" s="157" t="str">
        <f t="shared" si="10"/>
        <v/>
      </c>
      <c r="D132" s="157" t="str">
        <f t="shared" si="11"/>
        <v/>
      </c>
      <c r="E132" s="157" t="str">
        <f t="shared" si="12"/>
        <v/>
      </c>
      <c r="F132" s="157"/>
      <c r="G132" s="158"/>
      <c r="H132" s="158"/>
      <c r="I132" s="157"/>
      <c r="J132" s="157"/>
    </row>
    <row r="133" spans="1:15">
      <c r="A133" s="161" t="s">
        <v>295</v>
      </c>
      <c r="B133" s="157" t="str">
        <f t="shared" si="9"/>
        <v/>
      </c>
      <c r="C133" s="157" t="str">
        <f t="shared" si="10"/>
        <v/>
      </c>
      <c r="D133" s="157" t="str">
        <f t="shared" si="11"/>
        <v/>
      </c>
      <c r="E133" s="157" t="str">
        <f t="shared" si="12"/>
        <v/>
      </c>
      <c r="F133" s="157"/>
      <c r="G133" s="158"/>
      <c r="H133" s="158"/>
      <c r="I133" s="157"/>
      <c r="J133" s="157"/>
    </row>
    <row r="134" spans="1:15">
      <c r="A134" s="161" t="s">
        <v>296</v>
      </c>
      <c r="B134" s="157" t="str">
        <f t="shared" si="9"/>
        <v/>
      </c>
      <c r="C134" s="157" t="str">
        <f t="shared" si="10"/>
        <v/>
      </c>
      <c r="D134" s="157" t="str">
        <f t="shared" si="11"/>
        <v/>
      </c>
      <c r="E134" s="157" t="str">
        <f t="shared" si="12"/>
        <v/>
      </c>
      <c r="F134" s="157"/>
      <c r="G134" s="158"/>
      <c r="H134" s="158"/>
      <c r="I134" s="157"/>
      <c r="J134" s="157"/>
    </row>
    <row r="135" spans="1:15">
      <c r="A135" s="161" t="s">
        <v>297</v>
      </c>
      <c r="B135" s="157" t="str">
        <f t="shared" si="9"/>
        <v/>
      </c>
      <c r="C135" s="157" t="str">
        <f t="shared" si="10"/>
        <v/>
      </c>
      <c r="D135" s="157" t="str">
        <f t="shared" si="11"/>
        <v/>
      </c>
      <c r="E135" s="157" t="str">
        <f t="shared" si="12"/>
        <v/>
      </c>
      <c r="F135" s="157"/>
      <c r="G135" s="158"/>
      <c r="H135" s="158"/>
      <c r="I135" s="157"/>
      <c r="J135" s="157"/>
    </row>
    <row r="136" spans="1:15">
      <c r="A136" s="161" t="s">
        <v>298</v>
      </c>
      <c r="B136" s="157" t="str">
        <f t="shared" si="9"/>
        <v/>
      </c>
      <c r="C136" s="157" t="str">
        <f t="shared" si="10"/>
        <v/>
      </c>
      <c r="D136" s="157" t="str">
        <f t="shared" si="11"/>
        <v/>
      </c>
      <c r="E136" s="157" t="str">
        <f t="shared" si="12"/>
        <v/>
      </c>
      <c r="F136" s="157"/>
      <c r="G136" s="158"/>
      <c r="H136" s="158"/>
      <c r="I136" s="157"/>
      <c r="J136" s="157"/>
    </row>
    <row r="137" spans="1:15">
      <c r="A137" s="161" t="s">
        <v>299</v>
      </c>
      <c r="B137" s="157" t="str">
        <f t="shared" si="9"/>
        <v/>
      </c>
      <c r="C137" s="157" t="str">
        <f t="shared" si="10"/>
        <v/>
      </c>
      <c r="D137" s="157" t="str">
        <f t="shared" si="11"/>
        <v/>
      </c>
      <c r="E137" s="157" t="str">
        <f t="shared" si="12"/>
        <v/>
      </c>
      <c r="F137" s="157"/>
      <c r="G137" s="158"/>
      <c r="H137" s="158"/>
      <c r="I137" s="157"/>
      <c r="J137" s="157"/>
    </row>
    <row r="138" spans="1:15">
      <c r="A138" s="161" t="s">
        <v>300</v>
      </c>
      <c r="B138" s="157" t="str">
        <f t="shared" si="9"/>
        <v/>
      </c>
      <c r="C138" s="157" t="str">
        <f t="shared" si="10"/>
        <v/>
      </c>
      <c r="D138" s="157" t="str">
        <f t="shared" si="11"/>
        <v/>
      </c>
      <c r="E138" s="157" t="str">
        <f t="shared" si="12"/>
        <v/>
      </c>
      <c r="F138" s="157"/>
      <c r="G138" s="158"/>
      <c r="H138" s="158"/>
      <c r="I138" s="157"/>
      <c r="J138" s="157"/>
    </row>
    <row r="139" spans="1:15">
      <c r="A139" s="161" t="s">
        <v>301</v>
      </c>
      <c r="B139" s="157" t="str">
        <f t="shared" si="9"/>
        <v/>
      </c>
      <c r="C139" s="157" t="str">
        <f t="shared" si="10"/>
        <v/>
      </c>
      <c r="D139" s="157" t="str">
        <f t="shared" si="11"/>
        <v/>
      </c>
      <c r="E139" s="157" t="str">
        <f t="shared" si="12"/>
        <v/>
      </c>
      <c r="F139" s="157"/>
      <c r="G139" s="158"/>
      <c r="H139" s="158"/>
      <c r="I139" s="157"/>
      <c r="J139" s="157"/>
    </row>
    <row r="140" spans="1:15">
      <c r="A140" s="161" t="s">
        <v>302</v>
      </c>
      <c r="B140" s="157" t="str">
        <f t="shared" si="9"/>
        <v/>
      </c>
      <c r="C140" s="157" t="str">
        <f t="shared" si="10"/>
        <v/>
      </c>
      <c r="D140" s="157" t="str">
        <f t="shared" si="11"/>
        <v/>
      </c>
      <c r="E140" s="157" t="str">
        <f t="shared" si="12"/>
        <v/>
      </c>
      <c r="F140" s="157"/>
      <c r="G140" s="158"/>
      <c r="H140" s="158"/>
      <c r="I140" s="157"/>
      <c r="J140" s="157"/>
    </row>
    <row r="141" spans="1:15">
      <c r="A141" s="161" t="s">
        <v>303</v>
      </c>
      <c r="B141" s="157" t="str">
        <f t="shared" si="9"/>
        <v/>
      </c>
      <c r="C141" s="157" t="str">
        <f t="shared" si="10"/>
        <v/>
      </c>
      <c r="D141" s="157" t="str">
        <f t="shared" si="11"/>
        <v/>
      </c>
      <c r="E141" s="157" t="str">
        <f t="shared" si="12"/>
        <v/>
      </c>
      <c r="F141" s="157"/>
      <c r="G141" s="158"/>
      <c r="H141" s="158"/>
      <c r="I141" s="157"/>
      <c r="J141" s="157"/>
    </row>
    <row r="142" spans="1:15">
      <c r="A142" s="161" t="s">
        <v>304</v>
      </c>
      <c r="B142" s="157" t="str">
        <f t="shared" si="9"/>
        <v/>
      </c>
      <c r="C142" s="157" t="str">
        <f t="shared" si="10"/>
        <v/>
      </c>
      <c r="D142" s="157" t="str">
        <f t="shared" si="11"/>
        <v/>
      </c>
      <c r="E142" s="157" t="str">
        <f t="shared" si="12"/>
        <v/>
      </c>
      <c r="F142" s="157"/>
      <c r="G142" s="158"/>
      <c r="H142" s="158"/>
      <c r="I142" s="157"/>
      <c r="J142" s="157"/>
    </row>
    <row r="143" spans="1:15">
      <c r="A143" s="161" t="s">
        <v>305</v>
      </c>
      <c r="B143" s="157" t="str">
        <f t="shared" si="9"/>
        <v/>
      </c>
      <c r="C143" s="157" t="str">
        <f t="shared" si="10"/>
        <v/>
      </c>
      <c r="D143" s="157" t="str">
        <f t="shared" si="11"/>
        <v/>
      </c>
      <c r="E143" s="157" t="str">
        <f t="shared" si="12"/>
        <v/>
      </c>
      <c r="F143" s="157"/>
      <c r="G143" s="158"/>
      <c r="H143" s="158"/>
      <c r="I143" s="157"/>
      <c r="J143" s="157"/>
    </row>
    <row r="144" spans="1:15">
      <c r="A144" s="161" t="s">
        <v>306</v>
      </c>
      <c r="B144" s="157" t="str">
        <f t="shared" si="9"/>
        <v/>
      </c>
      <c r="C144" s="157" t="str">
        <f t="shared" si="10"/>
        <v/>
      </c>
      <c r="D144" s="157" t="str">
        <f t="shared" si="11"/>
        <v/>
      </c>
      <c r="E144" s="157" t="str">
        <f t="shared" si="12"/>
        <v/>
      </c>
      <c r="F144" s="157"/>
      <c r="G144" s="158"/>
      <c r="H144" s="158"/>
      <c r="I144" s="157"/>
      <c r="J144" s="157"/>
      <c r="O144" s="162"/>
    </row>
    <row r="145" spans="1:10">
      <c r="A145" s="161" t="s">
        <v>307</v>
      </c>
      <c r="B145" s="157" t="str">
        <f t="shared" si="9"/>
        <v/>
      </c>
      <c r="C145" s="157" t="str">
        <f t="shared" si="10"/>
        <v/>
      </c>
      <c r="D145" s="157" t="str">
        <f t="shared" si="11"/>
        <v/>
      </c>
      <c r="E145" s="157" t="str">
        <f t="shared" si="12"/>
        <v/>
      </c>
      <c r="F145" s="157"/>
      <c r="G145" s="158"/>
      <c r="H145" s="158"/>
      <c r="I145" s="157"/>
      <c r="J145" s="157"/>
    </row>
    <row r="146" spans="1:10">
      <c r="A146" s="161" t="s">
        <v>308</v>
      </c>
      <c r="B146" s="157" t="str">
        <f t="shared" si="9"/>
        <v/>
      </c>
      <c r="C146" s="157" t="str">
        <f t="shared" si="10"/>
        <v/>
      </c>
      <c r="D146" s="157" t="str">
        <f t="shared" si="11"/>
        <v/>
      </c>
      <c r="E146" s="157" t="str">
        <f t="shared" si="12"/>
        <v/>
      </c>
      <c r="F146" s="157"/>
      <c r="G146" s="158"/>
      <c r="H146" s="158"/>
      <c r="I146" s="157"/>
      <c r="J146" s="157"/>
    </row>
    <row r="147" spans="1:10">
      <c r="A147" s="161" t="s">
        <v>309</v>
      </c>
      <c r="B147" s="157" t="str">
        <f t="shared" si="9"/>
        <v/>
      </c>
      <c r="C147" s="157" t="str">
        <f t="shared" si="10"/>
        <v/>
      </c>
      <c r="D147" s="157" t="str">
        <f t="shared" si="11"/>
        <v/>
      </c>
      <c r="E147" s="157" t="str">
        <f t="shared" si="12"/>
        <v/>
      </c>
      <c r="F147" s="157"/>
      <c r="G147" s="158"/>
      <c r="H147" s="158"/>
      <c r="I147" s="157"/>
      <c r="J147" s="157"/>
    </row>
    <row r="148" spans="1:10">
      <c r="A148" s="161" t="s">
        <v>310</v>
      </c>
      <c r="B148" s="157" t="str">
        <f t="shared" si="9"/>
        <v/>
      </c>
      <c r="C148" s="157" t="str">
        <f t="shared" si="10"/>
        <v/>
      </c>
      <c r="D148" s="157" t="str">
        <f t="shared" si="11"/>
        <v/>
      </c>
      <c r="E148" s="157" t="str">
        <f t="shared" si="12"/>
        <v/>
      </c>
      <c r="F148" s="157"/>
      <c r="G148" s="158"/>
      <c r="H148" s="158" t="s">
        <v>311</v>
      </c>
      <c r="I148" s="157" t="str">
        <f>IF(E123="","",AVERAGE(E123:E152))</f>
        <v/>
      </c>
      <c r="J148" s="157"/>
    </row>
    <row r="149" spans="1:10" ht="15.75">
      <c r="A149" s="161" t="s">
        <v>312</v>
      </c>
      <c r="B149" s="157" t="str">
        <f t="shared" si="9"/>
        <v/>
      </c>
      <c r="C149" s="157" t="str">
        <f t="shared" si="10"/>
        <v/>
      </c>
      <c r="D149" s="157" t="str">
        <f t="shared" si="11"/>
        <v/>
      </c>
      <c r="E149" s="157" t="str">
        <f t="shared" si="12"/>
        <v/>
      </c>
      <c r="F149" s="157"/>
      <c r="G149" s="158"/>
      <c r="H149" s="163" t="s">
        <v>390</v>
      </c>
      <c r="I149" s="157" t="str">
        <f>IF(E123="","",I148/1.128)</f>
        <v/>
      </c>
      <c r="J149" s="157"/>
    </row>
    <row r="150" spans="1:10" ht="15.75">
      <c r="A150" s="161" t="s">
        <v>313</v>
      </c>
      <c r="B150" s="157" t="str">
        <f t="shared" si="9"/>
        <v/>
      </c>
      <c r="C150" s="157" t="str">
        <f t="shared" si="10"/>
        <v/>
      </c>
      <c r="D150" s="157" t="str">
        <f t="shared" si="11"/>
        <v/>
      </c>
      <c r="E150" s="157" t="str">
        <f t="shared" si="12"/>
        <v/>
      </c>
      <c r="F150" s="157"/>
      <c r="G150" s="158"/>
      <c r="H150" s="163" t="s">
        <v>391</v>
      </c>
      <c r="I150" s="157" t="e">
        <f>IF($D$8="",SQRT((STDEV(D123:D152)^2)+((0.5)*I149^2)),$D$8)</f>
        <v>#DIV/0!</v>
      </c>
      <c r="J150" s="157"/>
    </row>
    <row r="151" spans="1:10">
      <c r="A151" s="161" t="s">
        <v>314</v>
      </c>
      <c r="B151" s="157" t="str">
        <f t="shared" si="9"/>
        <v/>
      </c>
      <c r="C151" s="157" t="str">
        <f t="shared" si="10"/>
        <v/>
      </c>
      <c r="D151" s="157" t="str">
        <f t="shared" si="11"/>
        <v/>
      </c>
      <c r="E151" s="157" t="str">
        <f t="shared" si="12"/>
        <v/>
      </c>
      <c r="F151" s="157"/>
      <c r="G151" s="158"/>
      <c r="H151" s="158" t="s">
        <v>251</v>
      </c>
      <c r="I151" s="157" t="str">
        <f>IF(E123="","",1-((I149^2)/(I150^2)))</f>
        <v/>
      </c>
      <c r="J151" s="157"/>
    </row>
    <row r="152" spans="1:10">
      <c r="A152" s="161" t="s">
        <v>315</v>
      </c>
      <c r="B152" s="157" t="str">
        <f t="shared" si="9"/>
        <v/>
      </c>
      <c r="C152" s="157" t="str">
        <f t="shared" si="10"/>
        <v/>
      </c>
      <c r="D152" s="157" t="str">
        <f t="shared" si="11"/>
        <v/>
      </c>
      <c r="E152" s="157" t="str">
        <f t="shared" si="12"/>
        <v/>
      </c>
      <c r="F152" s="157"/>
      <c r="G152" s="158"/>
      <c r="H152" s="158" t="s">
        <v>253</v>
      </c>
      <c r="I152" s="157" t="str">
        <f>IF(E123="","",SQRT(((1+I151)/(1-I151))))</f>
        <v/>
      </c>
      <c r="J152" s="157"/>
    </row>
    <row r="153" spans="1:10">
      <c r="A153" s="161"/>
      <c r="B153" s="157"/>
      <c r="C153" s="157"/>
      <c r="D153" s="157"/>
      <c r="E153" s="157" t="str">
        <f t="shared" si="12"/>
        <v/>
      </c>
      <c r="F153" s="157"/>
      <c r="G153" s="158"/>
      <c r="H153" s="158"/>
      <c r="I153" s="157"/>
      <c r="J153" s="157"/>
    </row>
    <row r="154" spans="1:10">
      <c r="A154" s="161" t="s">
        <v>316</v>
      </c>
      <c r="B154" s="157" t="str">
        <f t="shared" ref="B154:B183" si="13">IF(H13="","",H13)</f>
        <v/>
      </c>
      <c r="C154" s="157" t="str">
        <f t="shared" ref="C154:C183" si="14">IF(B154="","",I13)</f>
        <v/>
      </c>
      <c r="D154" s="157" t="str">
        <f t="shared" ref="D154:D183" si="15">IF(B154="","",AVERAGE(B154:C154))</f>
        <v/>
      </c>
      <c r="E154" s="157" t="str">
        <f t="shared" si="12"/>
        <v/>
      </c>
      <c r="F154" s="157"/>
      <c r="G154" s="158"/>
      <c r="H154" s="158"/>
      <c r="I154" s="157"/>
      <c r="J154" s="157"/>
    </row>
    <row r="155" spans="1:10">
      <c r="A155" s="161" t="s">
        <v>317</v>
      </c>
      <c r="B155" s="157" t="str">
        <f t="shared" si="13"/>
        <v/>
      </c>
      <c r="C155" s="157" t="str">
        <f t="shared" si="14"/>
        <v/>
      </c>
      <c r="D155" s="157" t="str">
        <f t="shared" si="15"/>
        <v/>
      </c>
      <c r="E155" s="157" t="str">
        <f t="shared" si="12"/>
        <v/>
      </c>
      <c r="F155" s="157"/>
      <c r="G155" s="158"/>
      <c r="H155" s="158"/>
      <c r="I155" s="157"/>
      <c r="J155" s="157"/>
    </row>
    <row r="156" spans="1:10">
      <c r="A156" s="161" t="s">
        <v>318</v>
      </c>
      <c r="B156" s="157" t="str">
        <f t="shared" si="13"/>
        <v/>
      </c>
      <c r="C156" s="157" t="str">
        <f t="shared" si="14"/>
        <v/>
      </c>
      <c r="D156" s="157" t="str">
        <f t="shared" si="15"/>
        <v/>
      </c>
      <c r="E156" s="157" t="str">
        <f t="shared" si="12"/>
        <v/>
      </c>
      <c r="F156" s="157"/>
      <c r="G156" s="158"/>
      <c r="H156" s="158"/>
      <c r="I156" s="157"/>
      <c r="J156" s="157"/>
    </row>
    <row r="157" spans="1:10">
      <c r="A157" s="161" t="s">
        <v>319</v>
      </c>
      <c r="B157" s="157" t="str">
        <f t="shared" si="13"/>
        <v/>
      </c>
      <c r="C157" s="157" t="str">
        <f t="shared" si="14"/>
        <v/>
      </c>
      <c r="D157" s="157" t="str">
        <f t="shared" si="15"/>
        <v/>
      </c>
      <c r="E157" s="157" t="str">
        <f t="shared" ref="E157:E183" si="16">IF(B157="","",ABS(B157-C157))</f>
        <v/>
      </c>
      <c r="F157" s="157"/>
      <c r="G157" s="158"/>
      <c r="H157" s="158"/>
      <c r="I157" s="157"/>
      <c r="J157" s="157"/>
    </row>
    <row r="158" spans="1:10">
      <c r="A158" s="161" t="s">
        <v>320</v>
      </c>
      <c r="B158" s="157" t="str">
        <f t="shared" si="13"/>
        <v/>
      </c>
      <c r="C158" s="157" t="str">
        <f t="shared" si="14"/>
        <v/>
      </c>
      <c r="D158" s="157" t="str">
        <f t="shared" si="15"/>
        <v/>
      </c>
      <c r="E158" s="157" t="str">
        <f t="shared" si="16"/>
        <v/>
      </c>
      <c r="F158" s="157"/>
      <c r="G158" s="158"/>
      <c r="H158" s="158"/>
      <c r="I158" s="157"/>
      <c r="J158" s="157"/>
    </row>
    <row r="159" spans="1:10">
      <c r="A159" s="161" t="s">
        <v>321</v>
      </c>
      <c r="B159" s="157" t="str">
        <f t="shared" si="13"/>
        <v/>
      </c>
      <c r="C159" s="157" t="str">
        <f t="shared" si="14"/>
        <v/>
      </c>
      <c r="D159" s="157" t="str">
        <f t="shared" si="15"/>
        <v/>
      </c>
      <c r="E159" s="157" t="str">
        <f t="shared" si="16"/>
        <v/>
      </c>
      <c r="F159" s="157"/>
      <c r="G159" s="158"/>
      <c r="H159" s="158"/>
      <c r="I159" s="157"/>
      <c r="J159" s="157"/>
    </row>
    <row r="160" spans="1:10">
      <c r="A160" s="161" t="s">
        <v>322</v>
      </c>
      <c r="B160" s="157" t="str">
        <f t="shared" si="13"/>
        <v/>
      </c>
      <c r="C160" s="157" t="str">
        <f t="shared" si="14"/>
        <v/>
      </c>
      <c r="D160" s="157" t="str">
        <f t="shared" si="15"/>
        <v/>
      </c>
      <c r="E160" s="157" t="str">
        <f t="shared" si="16"/>
        <v/>
      </c>
      <c r="F160" s="157"/>
      <c r="G160" s="158"/>
      <c r="H160" s="158"/>
      <c r="I160" s="157"/>
      <c r="J160" s="157"/>
    </row>
    <row r="161" spans="1:15">
      <c r="A161" s="161" t="s">
        <v>323</v>
      </c>
      <c r="B161" s="157" t="str">
        <f t="shared" si="13"/>
        <v/>
      </c>
      <c r="C161" s="157" t="str">
        <f t="shared" si="14"/>
        <v/>
      </c>
      <c r="D161" s="157" t="str">
        <f t="shared" si="15"/>
        <v/>
      </c>
      <c r="E161" s="157" t="str">
        <f t="shared" si="16"/>
        <v/>
      </c>
      <c r="F161" s="157"/>
      <c r="G161" s="158"/>
      <c r="H161" s="158"/>
      <c r="I161" s="157"/>
      <c r="J161" s="157"/>
    </row>
    <row r="162" spans="1:15">
      <c r="A162" s="161" t="s">
        <v>324</v>
      </c>
      <c r="B162" s="157" t="str">
        <f t="shared" si="13"/>
        <v/>
      </c>
      <c r="C162" s="157" t="str">
        <f t="shared" si="14"/>
        <v/>
      </c>
      <c r="D162" s="157" t="str">
        <f t="shared" si="15"/>
        <v/>
      </c>
      <c r="E162" s="157" t="str">
        <f t="shared" si="16"/>
        <v/>
      </c>
      <c r="F162" s="157"/>
      <c r="G162" s="158"/>
      <c r="H162" s="158"/>
      <c r="I162" s="157"/>
      <c r="J162" s="157"/>
    </row>
    <row r="163" spans="1:15">
      <c r="A163" s="161" t="s">
        <v>325</v>
      </c>
      <c r="B163" s="157" t="str">
        <f t="shared" si="13"/>
        <v/>
      </c>
      <c r="C163" s="157" t="str">
        <f t="shared" si="14"/>
        <v/>
      </c>
      <c r="D163" s="157" t="str">
        <f t="shared" si="15"/>
        <v/>
      </c>
      <c r="E163" s="157" t="str">
        <f t="shared" si="16"/>
        <v/>
      </c>
      <c r="F163" s="157"/>
      <c r="G163" s="158"/>
      <c r="H163" s="158"/>
      <c r="I163" s="157"/>
      <c r="J163" s="157"/>
    </row>
    <row r="164" spans="1:15">
      <c r="A164" s="161" t="s">
        <v>326</v>
      </c>
      <c r="B164" s="157" t="str">
        <f t="shared" si="13"/>
        <v/>
      </c>
      <c r="C164" s="157" t="str">
        <f t="shared" si="14"/>
        <v/>
      </c>
      <c r="D164" s="157" t="str">
        <f t="shared" si="15"/>
        <v/>
      </c>
      <c r="E164" s="157" t="str">
        <f t="shared" si="16"/>
        <v/>
      </c>
      <c r="F164" s="157"/>
      <c r="G164" s="158"/>
      <c r="H164" s="158"/>
      <c r="I164" s="157"/>
      <c r="J164" s="157"/>
    </row>
    <row r="165" spans="1:15">
      <c r="A165" s="161" t="s">
        <v>327</v>
      </c>
      <c r="B165" s="157" t="str">
        <f t="shared" si="13"/>
        <v/>
      </c>
      <c r="C165" s="157" t="str">
        <f t="shared" si="14"/>
        <v/>
      </c>
      <c r="D165" s="157" t="str">
        <f t="shared" si="15"/>
        <v/>
      </c>
      <c r="E165" s="157" t="str">
        <f t="shared" si="16"/>
        <v/>
      </c>
      <c r="F165" s="157"/>
      <c r="G165" s="158"/>
      <c r="H165" s="158"/>
      <c r="I165" s="157"/>
      <c r="J165" s="157"/>
    </row>
    <row r="166" spans="1:15">
      <c r="A166" s="161" t="s">
        <v>328</v>
      </c>
      <c r="B166" s="157" t="str">
        <f t="shared" si="13"/>
        <v/>
      </c>
      <c r="C166" s="157" t="str">
        <f t="shared" si="14"/>
        <v/>
      </c>
      <c r="D166" s="157" t="str">
        <f t="shared" si="15"/>
        <v/>
      </c>
      <c r="E166" s="157" t="str">
        <f t="shared" si="16"/>
        <v/>
      </c>
      <c r="F166" s="157"/>
      <c r="G166" s="158"/>
      <c r="H166" s="158"/>
      <c r="I166" s="157"/>
      <c r="J166" s="157"/>
    </row>
    <row r="167" spans="1:15">
      <c r="A167" s="161" t="s">
        <v>329</v>
      </c>
      <c r="B167" s="157" t="str">
        <f t="shared" si="13"/>
        <v/>
      </c>
      <c r="C167" s="157" t="str">
        <f t="shared" si="14"/>
        <v/>
      </c>
      <c r="D167" s="157" t="str">
        <f t="shared" si="15"/>
        <v/>
      </c>
      <c r="E167" s="157" t="str">
        <f t="shared" si="16"/>
        <v/>
      </c>
      <c r="F167" s="157"/>
      <c r="G167" s="158"/>
      <c r="H167" s="158"/>
      <c r="I167" s="157"/>
      <c r="J167" s="157"/>
    </row>
    <row r="168" spans="1:15">
      <c r="A168" s="161" t="s">
        <v>330</v>
      </c>
      <c r="B168" s="157" t="str">
        <f t="shared" si="13"/>
        <v/>
      </c>
      <c r="C168" s="157" t="str">
        <f t="shared" si="14"/>
        <v/>
      </c>
      <c r="D168" s="157" t="str">
        <f t="shared" si="15"/>
        <v/>
      </c>
      <c r="E168" s="157" t="str">
        <f t="shared" si="16"/>
        <v/>
      </c>
      <c r="F168" s="157"/>
      <c r="G168" s="158"/>
      <c r="H168" s="158"/>
      <c r="I168" s="157"/>
      <c r="J168" s="157"/>
    </row>
    <row r="169" spans="1:15">
      <c r="A169" s="161" t="s">
        <v>331</v>
      </c>
      <c r="B169" s="157" t="str">
        <f t="shared" si="13"/>
        <v/>
      </c>
      <c r="C169" s="157" t="str">
        <f t="shared" si="14"/>
        <v/>
      </c>
      <c r="D169" s="157" t="str">
        <f t="shared" si="15"/>
        <v/>
      </c>
      <c r="E169" s="157" t="str">
        <f t="shared" si="16"/>
        <v/>
      </c>
      <c r="F169" s="157"/>
      <c r="G169" s="158"/>
      <c r="H169" s="158"/>
      <c r="I169" s="157"/>
      <c r="J169" s="157"/>
    </row>
    <row r="170" spans="1:15">
      <c r="A170" s="161" t="s">
        <v>332</v>
      </c>
      <c r="B170" s="157" t="str">
        <f t="shared" si="13"/>
        <v/>
      </c>
      <c r="C170" s="157" t="str">
        <f t="shared" si="14"/>
        <v/>
      </c>
      <c r="D170" s="157" t="str">
        <f t="shared" si="15"/>
        <v/>
      </c>
      <c r="E170" s="157" t="str">
        <f t="shared" si="16"/>
        <v/>
      </c>
      <c r="F170" s="157"/>
      <c r="G170" s="158"/>
      <c r="H170" s="158"/>
      <c r="I170" s="157"/>
      <c r="J170" s="157"/>
    </row>
    <row r="171" spans="1:15">
      <c r="A171" s="161" t="s">
        <v>333</v>
      </c>
      <c r="B171" s="157" t="str">
        <f t="shared" si="13"/>
        <v/>
      </c>
      <c r="C171" s="157" t="str">
        <f t="shared" si="14"/>
        <v/>
      </c>
      <c r="D171" s="157" t="str">
        <f t="shared" si="15"/>
        <v/>
      </c>
      <c r="E171" s="157" t="str">
        <f t="shared" si="16"/>
        <v/>
      </c>
      <c r="F171" s="157"/>
      <c r="G171" s="158"/>
      <c r="H171" s="158"/>
      <c r="I171" s="157"/>
      <c r="J171" s="157"/>
    </row>
    <row r="172" spans="1:15">
      <c r="A172" s="161" t="s">
        <v>334</v>
      </c>
      <c r="B172" s="157" t="str">
        <f t="shared" si="13"/>
        <v/>
      </c>
      <c r="C172" s="157" t="str">
        <f t="shared" si="14"/>
        <v/>
      </c>
      <c r="D172" s="157" t="str">
        <f t="shared" si="15"/>
        <v/>
      </c>
      <c r="E172" s="157" t="str">
        <f t="shared" si="16"/>
        <v/>
      </c>
      <c r="F172" s="157"/>
      <c r="G172" s="158"/>
      <c r="H172" s="158"/>
      <c r="I172" s="157"/>
      <c r="J172" s="157"/>
    </row>
    <row r="173" spans="1:15">
      <c r="A173" s="161" t="s">
        <v>335</v>
      </c>
      <c r="B173" s="157" t="str">
        <f t="shared" si="13"/>
        <v/>
      </c>
      <c r="C173" s="157" t="str">
        <f t="shared" si="14"/>
        <v/>
      </c>
      <c r="D173" s="157" t="str">
        <f t="shared" si="15"/>
        <v/>
      </c>
      <c r="E173" s="157" t="str">
        <f t="shared" si="16"/>
        <v/>
      </c>
      <c r="F173" s="157"/>
      <c r="G173" s="158"/>
      <c r="H173" s="158"/>
      <c r="I173" s="157"/>
      <c r="J173" s="157"/>
    </row>
    <row r="174" spans="1:15">
      <c r="A174" s="161" t="s">
        <v>336</v>
      </c>
      <c r="B174" s="157" t="str">
        <f t="shared" si="13"/>
        <v/>
      </c>
      <c r="C174" s="157" t="str">
        <f t="shared" si="14"/>
        <v/>
      </c>
      <c r="D174" s="157" t="str">
        <f t="shared" si="15"/>
        <v/>
      </c>
      <c r="E174" s="157" t="str">
        <f t="shared" si="16"/>
        <v/>
      </c>
      <c r="F174" s="157"/>
      <c r="G174" s="158"/>
      <c r="H174" s="158"/>
      <c r="I174" s="157"/>
      <c r="J174" s="157"/>
    </row>
    <row r="175" spans="1:15">
      <c r="A175" s="161" t="s">
        <v>337</v>
      </c>
      <c r="B175" s="157" t="str">
        <f t="shared" si="13"/>
        <v/>
      </c>
      <c r="C175" s="157" t="str">
        <f t="shared" si="14"/>
        <v/>
      </c>
      <c r="D175" s="157" t="str">
        <f t="shared" si="15"/>
        <v/>
      </c>
      <c r="E175" s="157" t="str">
        <f t="shared" si="16"/>
        <v/>
      </c>
      <c r="F175" s="157"/>
      <c r="G175" s="158"/>
      <c r="H175" s="158"/>
      <c r="I175" s="157"/>
      <c r="J175" s="157"/>
      <c r="O175" s="162"/>
    </row>
    <row r="176" spans="1:15">
      <c r="A176" s="161" t="s">
        <v>338</v>
      </c>
      <c r="B176" s="157" t="str">
        <f t="shared" si="13"/>
        <v/>
      </c>
      <c r="C176" s="157" t="str">
        <f t="shared" si="14"/>
        <v/>
      </c>
      <c r="D176" s="157" t="str">
        <f t="shared" si="15"/>
        <v/>
      </c>
      <c r="E176" s="157" t="str">
        <f t="shared" si="16"/>
        <v/>
      </c>
      <c r="F176" s="157"/>
      <c r="G176" s="158"/>
      <c r="H176" s="158"/>
      <c r="I176" s="157"/>
      <c r="J176" s="157"/>
    </row>
    <row r="177" spans="1:10">
      <c r="A177" s="161" t="s">
        <v>339</v>
      </c>
      <c r="B177" s="157" t="str">
        <f t="shared" si="13"/>
        <v/>
      </c>
      <c r="C177" s="157" t="str">
        <f t="shared" si="14"/>
        <v/>
      </c>
      <c r="D177" s="157" t="str">
        <f t="shared" si="15"/>
        <v/>
      </c>
      <c r="E177" s="157" t="str">
        <f t="shared" si="16"/>
        <v/>
      </c>
      <c r="F177" s="157"/>
      <c r="G177" s="158"/>
      <c r="H177" s="158"/>
      <c r="I177" s="157"/>
      <c r="J177" s="157"/>
    </row>
    <row r="178" spans="1:10">
      <c r="A178" s="161" t="s">
        <v>340</v>
      </c>
      <c r="B178" s="157" t="str">
        <f t="shared" si="13"/>
        <v/>
      </c>
      <c r="C178" s="157" t="str">
        <f t="shared" si="14"/>
        <v/>
      </c>
      <c r="D178" s="157" t="str">
        <f t="shared" si="15"/>
        <v/>
      </c>
      <c r="E178" s="157" t="str">
        <f t="shared" si="16"/>
        <v/>
      </c>
      <c r="F178" s="157"/>
      <c r="G178" s="158"/>
      <c r="H178" s="158"/>
      <c r="I178" s="157"/>
      <c r="J178" s="157"/>
    </row>
    <row r="179" spans="1:10">
      <c r="A179" s="161" t="s">
        <v>341</v>
      </c>
      <c r="B179" s="157" t="str">
        <f t="shared" si="13"/>
        <v/>
      </c>
      <c r="C179" s="157" t="str">
        <f t="shared" si="14"/>
        <v/>
      </c>
      <c r="D179" s="157" t="str">
        <f t="shared" si="15"/>
        <v/>
      </c>
      <c r="E179" s="157" t="str">
        <f t="shared" si="16"/>
        <v/>
      </c>
      <c r="F179" s="157"/>
      <c r="G179" s="158"/>
      <c r="H179" s="158" t="s">
        <v>342</v>
      </c>
      <c r="I179" s="157" t="str">
        <f>IF(E154="","",AVERAGE(E154:E183))</f>
        <v/>
      </c>
      <c r="J179" s="157"/>
    </row>
    <row r="180" spans="1:10" ht="15.75">
      <c r="A180" s="161" t="s">
        <v>343</v>
      </c>
      <c r="B180" s="157" t="str">
        <f t="shared" si="13"/>
        <v/>
      </c>
      <c r="C180" s="157" t="str">
        <f t="shared" si="14"/>
        <v/>
      </c>
      <c r="D180" s="157" t="str">
        <f t="shared" si="15"/>
        <v/>
      </c>
      <c r="E180" s="157" t="str">
        <f t="shared" si="16"/>
        <v/>
      </c>
      <c r="F180" s="157"/>
      <c r="G180" s="158"/>
      <c r="H180" s="163" t="s">
        <v>390</v>
      </c>
      <c r="I180" s="157" t="str">
        <f>IF(E154="","",I179/1.128)</f>
        <v/>
      </c>
      <c r="J180" s="157"/>
    </row>
    <row r="181" spans="1:10" ht="15.75">
      <c r="A181" s="161" t="s">
        <v>344</v>
      </c>
      <c r="B181" s="157" t="str">
        <f t="shared" si="13"/>
        <v/>
      </c>
      <c r="C181" s="157" t="str">
        <f t="shared" si="14"/>
        <v/>
      </c>
      <c r="D181" s="157" t="str">
        <f t="shared" si="15"/>
        <v/>
      </c>
      <c r="E181" s="157" t="str">
        <f t="shared" si="16"/>
        <v/>
      </c>
      <c r="F181" s="157"/>
      <c r="G181" s="158"/>
      <c r="H181" s="163" t="s">
        <v>391</v>
      </c>
      <c r="I181" s="157" t="e">
        <f>IF($D$8="",SQRT((STDEV(D154:D183)^2)+((0.5)*I180^2)),$D$8)</f>
        <v>#DIV/0!</v>
      </c>
      <c r="J181" s="157"/>
    </row>
    <row r="182" spans="1:10">
      <c r="A182" s="161" t="s">
        <v>345</v>
      </c>
      <c r="B182" s="157" t="str">
        <f t="shared" si="13"/>
        <v/>
      </c>
      <c r="C182" s="157" t="str">
        <f t="shared" si="14"/>
        <v/>
      </c>
      <c r="D182" s="157" t="str">
        <f t="shared" si="15"/>
        <v/>
      </c>
      <c r="E182" s="157" t="str">
        <f t="shared" si="16"/>
        <v/>
      </c>
      <c r="F182" s="157"/>
      <c r="G182" s="158"/>
      <c r="H182" s="158" t="s">
        <v>251</v>
      </c>
      <c r="I182" s="157" t="str">
        <f>IF(E154="","",1-((I180^2)/(I181^2)))</f>
        <v/>
      </c>
      <c r="J182" s="157"/>
    </row>
    <row r="183" spans="1:10">
      <c r="A183" s="161" t="s">
        <v>346</v>
      </c>
      <c r="B183" s="157" t="str">
        <f t="shared" si="13"/>
        <v/>
      </c>
      <c r="C183" s="157" t="str">
        <f t="shared" si="14"/>
        <v/>
      </c>
      <c r="D183" s="157" t="str">
        <f t="shared" si="15"/>
        <v/>
      </c>
      <c r="E183" s="157" t="str">
        <f t="shared" si="16"/>
        <v/>
      </c>
      <c r="F183" s="157"/>
      <c r="G183" s="158"/>
      <c r="H183" s="158" t="s">
        <v>253</v>
      </c>
      <c r="I183" s="157" t="str">
        <f>IF(E154="","",SQRT(((1+I182)/(1-I182))))</f>
        <v/>
      </c>
      <c r="J183" s="157"/>
    </row>
    <row r="184" spans="1:10">
      <c r="A184" s="164"/>
    </row>
    <row r="185" spans="1:10">
      <c r="A185" s="164"/>
    </row>
    <row r="186" spans="1:10" ht="13.5" thickBot="1">
      <c r="A186" s="1475" t="s">
        <v>127</v>
      </c>
      <c r="B186" s="1475"/>
      <c r="C186" s="1475"/>
      <c r="D186" s="1475"/>
      <c r="E186" s="1475"/>
    </row>
    <row r="187" spans="1:10" ht="13.5" thickTop="1">
      <c r="A187" s="28">
        <f>(MAX(B61:C183)-MIN(B61:C183))/5</f>
        <v>0</v>
      </c>
      <c r="B187" s="29">
        <f>MIN(B61:C183)-A187</f>
        <v>0</v>
      </c>
      <c r="C187" s="29"/>
      <c r="D187" s="29">
        <f t="shared" ref="D187:D194" si="17">B187</f>
        <v>0</v>
      </c>
      <c r="E187" s="29"/>
    </row>
    <row r="188" spans="1:10">
      <c r="A188" s="29"/>
      <c r="B188" s="29">
        <f t="shared" ref="B188:B194" si="18">B187+$A$187</f>
        <v>0</v>
      </c>
      <c r="C188" s="29"/>
      <c r="D188" s="29">
        <f t="shared" si="17"/>
        <v>0</v>
      </c>
      <c r="E188" s="29"/>
    </row>
    <row r="189" spans="1:10">
      <c r="A189" s="29"/>
      <c r="B189" s="29">
        <f t="shared" si="18"/>
        <v>0</v>
      </c>
      <c r="C189" s="29"/>
      <c r="D189" s="29">
        <f t="shared" si="17"/>
        <v>0</v>
      </c>
      <c r="E189" s="29"/>
    </row>
    <row r="190" spans="1:10">
      <c r="A190" s="29"/>
      <c r="B190" s="29">
        <f t="shared" si="18"/>
        <v>0</v>
      </c>
      <c r="C190" s="29"/>
      <c r="D190" s="29">
        <f t="shared" si="17"/>
        <v>0</v>
      </c>
      <c r="E190" s="29"/>
    </row>
    <row r="191" spans="1:10">
      <c r="A191" s="29"/>
      <c r="B191" s="29">
        <f t="shared" si="18"/>
        <v>0</v>
      </c>
      <c r="C191" s="29"/>
      <c r="D191" s="29">
        <f t="shared" si="17"/>
        <v>0</v>
      </c>
      <c r="E191" s="29"/>
    </row>
    <row r="192" spans="1:10">
      <c r="A192" s="29"/>
      <c r="B192" s="29">
        <f t="shared" si="18"/>
        <v>0</v>
      </c>
      <c r="C192" s="29"/>
      <c r="D192" s="29">
        <f t="shared" si="17"/>
        <v>0</v>
      </c>
      <c r="E192" s="29"/>
    </row>
    <row r="193" spans="1:13">
      <c r="A193" s="29"/>
      <c r="B193" s="29">
        <f t="shared" si="18"/>
        <v>0</v>
      </c>
      <c r="C193" s="29"/>
      <c r="D193" s="29">
        <f t="shared" si="17"/>
        <v>0</v>
      </c>
      <c r="E193" s="29"/>
    </row>
    <row r="194" spans="1:13">
      <c r="A194" s="30"/>
      <c r="B194" s="29">
        <f t="shared" si="18"/>
        <v>0</v>
      </c>
      <c r="C194" s="30"/>
      <c r="D194" s="29">
        <f t="shared" si="17"/>
        <v>0</v>
      </c>
      <c r="E194" s="30"/>
    </row>
    <row r="195" spans="1:13">
      <c r="A195" s="29"/>
      <c r="B195" s="29"/>
      <c r="C195" s="30"/>
      <c r="D195" s="29"/>
      <c r="E195" s="30"/>
    </row>
    <row r="196" spans="1:13">
      <c r="A196" s="164"/>
    </row>
    <row r="197" spans="1:13">
      <c r="A197" s="164"/>
    </row>
    <row r="198" spans="1:13">
      <c r="A198" s="164"/>
    </row>
    <row r="199" spans="1:13" ht="14.25">
      <c r="A199" s="165" t="s">
        <v>347</v>
      </c>
      <c r="B199" s="166"/>
      <c r="C199" s="166"/>
      <c r="D199" s="166"/>
      <c r="E199" s="166"/>
      <c r="F199" s="166"/>
      <c r="G199" s="167" t="s">
        <v>348</v>
      </c>
      <c r="H199" s="166"/>
      <c r="I199" s="166"/>
      <c r="J199" s="166"/>
      <c r="K199" s="166"/>
      <c r="L199" s="29"/>
    </row>
    <row r="200" spans="1:13">
      <c r="A200" s="166"/>
      <c r="B200" s="166"/>
      <c r="C200" s="166"/>
      <c r="D200" s="166"/>
      <c r="E200" s="166"/>
      <c r="F200" s="166"/>
      <c r="G200" s="166"/>
      <c r="H200" s="166"/>
      <c r="I200" s="166"/>
      <c r="J200" s="166"/>
      <c r="K200" s="166"/>
      <c r="L200" s="29"/>
    </row>
    <row r="201" spans="1:13" ht="19.5">
      <c r="A201" s="166"/>
      <c r="B201" s="166"/>
      <c r="C201" s="166"/>
      <c r="D201" s="166"/>
      <c r="E201" s="166"/>
      <c r="F201" s="166"/>
      <c r="G201" s="166"/>
      <c r="H201" s="168" t="s">
        <v>392</v>
      </c>
      <c r="I201" s="169" t="s">
        <v>349</v>
      </c>
      <c r="J201" s="169" t="s">
        <v>350</v>
      </c>
      <c r="K201" s="169" t="s">
        <v>351</v>
      </c>
      <c r="L201" s="29"/>
    </row>
    <row r="202" spans="1:13">
      <c r="A202" s="166"/>
      <c r="B202" s="166" t="s">
        <v>352</v>
      </c>
      <c r="C202" s="166" t="s">
        <v>353</v>
      </c>
      <c r="D202" s="166" t="s">
        <v>354</v>
      </c>
      <c r="E202" s="166"/>
      <c r="F202" s="166"/>
      <c r="G202" s="166"/>
      <c r="H202" s="166" t="e">
        <f>D51/SQRT(B49*2)</f>
        <v>#DIV/0!</v>
      </c>
      <c r="I202" s="166" t="e">
        <f>AVERAGE(C43,E43,G43,I43)</f>
        <v>#DIV/0!</v>
      </c>
      <c r="J202" s="166" t="e">
        <f>I202+(3*H202)</f>
        <v>#DIV/0!</v>
      </c>
      <c r="K202" s="166" t="e">
        <f>I202-(3*H202)</f>
        <v>#DIV/0!</v>
      </c>
      <c r="L202" s="29"/>
      <c r="M202" s="170"/>
    </row>
    <row r="203" spans="1:13" ht="15.75">
      <c r="A203" s="171" t="s">
        <v>355</v>
      </c>
      <c r="B203" s="166" t="e">
        <f>C44</f>
        <v>#DIV/0!</v>
      </c>
      <c r="C203" s="166" t="e">
        <f>$B$207</f>
        <v>#DIV/0!</v>
      </c>
      <c r="D203" s="166" t="e">
        <f>$B$208</f>
        <v>#VALUE!</v>
      </c>
      <c r="E203" s="166"/>
      <c r="F203" s="166"/>
      <c r="G203" s="166" t="s">
        <v>356</v>
      </c>
      <c r="H203" s="166" t="e">
        <f>C43</f>
        <v>#DIV/0!</v>
      </c>
      <c r="I203" s="166" t="e">
        <f t="shared" ref="I203:K206" si="19">I$202</f>
        <v>#DIV/0!</v>
      </c>
      <c r="J203" s="166" t="e">
        <f t="shared" si="19"/>
        <v>#DIV/0!</v>
      </c>
      <c r="K203" s="166" t="e">
        <f t="shared" si="19"/>
        <v>#DIV/0!</v>
      </c>
      <c r="L203" s="172"/>
      <c r="M203" s="170"/>
    </row>
    <row r="204" spans="1:13" ht="15.75">
      <c r="A204" s="171" t="s">
        <v>357</v>
      </c>
      <c r="B204" s="166" t="e">
        <f>E44</f>
        <v>#DIV/0!</v>
      </c>
      <c r="C204" s="166" t="e">
        <f>$B$207</f>
        <v>#DIV/0!</v>
      </c>
      <c r="D204" s="166" t="e">
        <f>$B$208</f>
        <v>#VALUE!</v>
      </c>
      <c r="E204" s="166"/>
      <c r="F204" s="166"/>
      <c r="G204" s="166" t="s">
        <v>358</v>
      </c>
      <c r="H204" s="166" t="e">
        <f>E43</f>
        <v>#DIV/0!</v>
      </c>
      <c r="I204" s="166" t="e">
        <f t="shared" si="19"/>
        <v>#DIV/0!</v>
      </c>
      <c r="J204" s="166" t="e">
        <f t="shared" si="19"/>
        <v>#DIV/0!</v>
      </c>
      <c r="K204" s="166" t="e">
        <f t="shared" si="19"/>
        <v>#DIV/0!</v>
      </c>
      <c r="L204" s="172"/>
      <c r="M204" s="170"/>
    </row>
    <row r="205" spans="1:13" ht="15.75">
      <c r="A205" s="171" t="s">
        <v>359</v>
      </c>
      <c r="B205" s="166" t="str">
        <f>G44</f>
        <v/>
      </c>
      <c r="C205" s="166" t="e">
        <f>$B$207</f>
        <v>#DIV/0!</v>
      </c>
      <c r="D205" s="166" t="e">
        <f>$B$208</f>
        <v>#VALUE!</v>
      </c>
      <c r="E205" s="166"/>
      <c r="F205" s="166"/>
      <c r="G205" s="166" t="s">
        <v>360</v>
      </c>
      <c r="H205" s="166" t="str">
        <f>G43</f>
        <v/>
      </c>
      <c r="I205" s="166" t="e">
        <f t="shared" si="19"/>
        <v>#DIV/0!</v>
      </c>
      <c r="J205" s="166" t="e">
        <f t="shared" si="19"/>
        <v>#DIV/0!</v>
      </c>
      <c r="K205" s="166" t="e">
        <f t="shared" si="19"/>
        <v>#DIV/0!</v>
      </c>
      <c r="L205" s="173"/>
    </row>
    <row r="206" spans="1:13">
      <c r="A206" s="171" t="s">
        <v>361</v>
      </c>
      <c r="B206" s="166" t="str">
        <f>I44</f>
        <v/>
      </c>
      <c r="C206" s="166" t="e">
        <f>$B$207</f>
        <v>#DIV/0!</v>
      </c>
      <c r="D206" s="166" t="e">
        <f>$B$208</f>
        <v>#VALUE!</v>
      </c>
      <c r="E206" s="166"/>
      <c r="F206" s="166"/>
      <c r="G206" s="166" t="s">
        <v>362</v>
      </c>
      <c r="H206" s="166" t="str">
        <f>I43</f>
        <v/>
      </c>
      <c r="I206" s="166" t="e">
        <f t="shared" si="19"/>
        <v>#DIV/0!</v>
      </c>
      <c r="J206" s="166" t="e">
        <f t="shared" si="19"/>
        <v>#DIV/0!</v>
      </c>
      <c r="K206" s="166" t="e">
        <f t="shared" si="19"/>
        <v>#DIV/0!</v>
      </c>
      <c r="L206" s="29"/>
    </row>
    <row r="207" spans="1:13">
      <c r="A207" s="166" t="s">
        <v>353</v>
      </c>
      <c r="B207" s="166" t="e">
        <f>AVERAGE(B203:B206)</f>
        <v>#DIV/0!</v>
      </c>
      <c r="C207" s="166"/>
      <c r="D207" s="166"/>
      <c r="E207" s="166"/>
      <c r="F207" s="166"/>
      <c r="G207" s="166"/>
      <c r="H207" s="166"/>
      <c r="I207" s="166"/>
      <c r="J207" s="166"/>
      <c r="K207" s="166"/>
      <c r="L207" s="29"/>
    </row>
    <row r="208" spans="1:13">
      <c r="A208" s="166" t="s">
        <v>354</v>
      </c>
      <c r="B208" s="166" t="e">
        <f>IF(B48=2,3.27,IF(B48=3,2.58,IF(B48=4,2.28,"error")))*B207</f>
        <v>#VALUE!</v>
      </c>
      <c r="C208" s="166"/>
      <c r="D208" s="166"/>
      <c r="E208" s="166"/>
      <c r="F208" s="166"/>
      <c r="G208" s="166"/>
      <c r="H208" s="166"/>
      <c r="I208" s="166"/>
      <c r="J208" s="166"/>
      <c r="K208" s="166"/>
      <c r="L208" s="29"/>
    </row>
    <row r="209" spans="1:12">
      <c r="A209" s="174" t="s">
        <v>363</v>
      </c>
      <c r="B209" s="166"/>
      <c r="C209" s="166"/>
      <c r="D209" s="166"/>
      <c r="E209" s="166"/>
      <c r="F209" s="166"/>
      <c r="G209" s="174" t="s">
        <v>364</v>
      </c>
      <c r="H209" s="166"/>
      <c r="I209" s="166"/>
      <c r="J209" s="166"/>
      <c r="K209" s="166"/>
      <c r="L209" s="29"/>
    </row>
    <row r="210" spans="1:12">
      <c r="A210" s="175"/>
      <c r="B210" s="175"/>
      <c r="C210" s="175"/>
      <c r="D210" s="175"/>
      <c r="E210" s="175"/>
      <c r="F210" s="175"/>
      <c r="G210" s="175"/>
      <c r="H210" s="175"/>
      <c r="I210" s="175"/>
      <c r="J210" s="175"/>
    </row>
    <row r="211" spans="1:12">
      <c r="A211" t="s">
        <v>365</v>
      </c>
    </row>
    <row r="212" spans="1:12">
      <c r="A212" t="s">
        <v>366</v>
      </c>
    </row>
    <row r="213" spans="1:12">
      <c r="A213" t="s">
        <v>367</v>
      </c>
    </row>
    <row r="214" spans="1:12">
      <c r="A214" t="s">
        <v>368</v>
      </c>
    </row>
    <row r="215" spans="1:12">
      <c r="A215" s="164"/>
    </row>
    <row r="216" spans="1:12">
      <c r="A216" s="164"/>
    </row>
    <row r="217" spans="1:12">
      <c r="A217" s="164"/>
    </row>
    <row r="218" spans="1:12">
      <c r="A218" s="164"/>
    </row>
    <row r="219" spans="1:12">
      <c r="A219" s="164"/>
    </row>
    <row r="220" spans="1:12">
      <c r="A220" s="164"/>
    </row>
    <row r="221" spans="1:12">
      <c r="A221" s="164"/>
    </row>
    <row r="222" spans="1:12">
      <c r="A222" s="164"/>
    </row>
    <row r="223" spans="1:12">
      <c r="A223" s="164"/>
    </row>
    <row r="224" spans="1:12">
      <c r="A224" s="164"/>
    </row>
    <row r="225" spans="1:1">
      <c r="A225" s="164"/>
    </row>
    <row r="226" spans="1:1">
      <c r="A226" s="164"/>
    </row>
    <row r="227" spans="1:1">
      <c r="A227" s="164"/>
    </row>
    <row r="228" spans="1:1">
      <c r="A228" s="164"/>
    </row>
    <row r="229" spans="1:1">
      <c r="A229" s="164"/>
    </row>
    <row r="230" spans="1:1">
      <c r="A230" s="164"/>
    </row>
    <row r="231" spans="1:1">
      <c r="A231" s="164"/>
    </row>
    <row r="232" spans="1:1">
      <c r="A232" s="164"/>
    </row>
    <row r="233" spans="1:1">
      <c r="A233" s="164"/>
    </row>
    <row r="234" spans="1:1">
      <c r="A234" s="164"/>
    </row>
    <row r="235" spans="1:1">
      <c r="A235" s="164"/>
    </row>
    <row r="236" spans="1:1">
      <c r="A236" s="164"/>
    </row>
    <row r="237" spans="1:1">
      <c r="A237" s="164"/>
    </row>
    <row r="238" spans="1:1">
      <c r="A238" s="164"/>
    </row>
    <row r="239" spans="1:1">
      <c r="A239" s="164"/>
    </row>
    <row r="240" spans="1:1">
      <c r="A240" s="164"/>
    </row>
    <row r="241" spans="1:1">
      <c r="A241" s="164"/>
    </row>
    <row r="242" spans="1:1">
      <c r="A242" s="164"/>
    </row>
    <row r="243" spans="1:1">
      <c r="A243" s="164"/>
    </row>
    <row r="244" spans="1:1">
      <c r="A244" s="164"/>
    </row>
    <row r="245" spans="1:1">
      <c r="A245" s="164"/>
    </row>
    <row r="246" spans="1:1">
      <c r="A246" s="164"/>
    </row>
    <row r="247" spans="1:1">
      <c r="A247" s="164"/>
    </row>
    <row r="248" spans="1:1">
      <c r="A248" s="164"/>
    </row>
    <row r="249" spans="1:1">
      <c r="A249" s="164"/>
    </row>
    <row r="250" spans="1:1">
      <c r="A250" s="164"/>
    </row>
    <row r="251" spans="1:1">
      <c r="A251" s="164"/>
    </row>
    <row r="252" spans="1:1">
      <c r="A252" s="164"/>
    </row>
    <row r="253" spans="1:1">
      <c r="A253" s="164"/>
    </row>
    <row r="254" spans="1:1">
      <c r="A254" s="164"/>
    </row>
    <row r="255" spans="1:1">
      <c r="A255" s="164"/>
    </row>
    <row r="256" spans="1:1">
      <c r="A256" s="164"/>
    </row>
    <row r="257" spans="1:1">
      <c r="A257" s="164"/>
    </row>
    <row r="258" spans="1:1">
      <c r="A258" s="164"/>
    </row>
    <row r="259" spans="1:1">
      <c r="A259" s="164"/>
    </row>
    <row r="260" spans="1:1">
      <c r="A260" s="164"/>
    </row>
    <row r="261" spans="1:1">
      <c r="A261" s="164"/>
    </row>
    <row r="262" spans="1:1">
      <c r="A262" s="164"/>
    </row>
    <row r="263" spans="1:1">
      <c r="A263" s="164"/>
    </row>
    <row r="264" spans="1:1">
      <c r="A264" s="164"/>
    </row>
    <row r="265" spans="1:1">
      <c r="A265" s="164"/>
    </row>
    <row r="266" spans="1:1">
      <c r="A266" s="164"/>
    </row>
    <row r="267" spans="1:1">
      <c r="A267" s="164"/>
    </row>
    <row r="268" spans="1:1">
      <c r="A268" s="164"/>
    </row>
    <row r="269" spans="1:1">
      <c r="A269" s="164"/>
    </row>
    <row r="270" spans="1:1">
      <c r="A270" s="164"/>
    </row>
    <row r="271" spans="1:1">
      <c r="A271" s="164"/>
    </row>
    <row r="272" spans="1:1">
      <c r="A272" s="164"/>
    </row>
    <row r="273" spans="1:1">
      <c r="A273" s="164"/>
    </row>
    <row r="274" spans="1:1">
      <c r="A274" s="164"/>
    </row>
    <row r="275" spans="1:1">
      <c r="A275" s="164"/>
    </row>
    <row r="276" spans="1:1">
      <c r="A276" s="164"/>
    </row>
    <row r="277" spans="1:1">
      <c r="A277" s="164"/>
    </row>
    <row r="278" spans="1:1">
      <c r="A278" s="164"/>
    </row>
    <row r="279" spans="1:1">
      <c r="A279" s="164"/>
    </row>
    <row r="280" spans="1:1">
      <c r="A280" s="164"/>
    </row>
    <row r="281" spans="1:1">
      <c r="A281" s="164"/>
    </row>
    <row r="282" spans="1:1">
      <c r="A282" s="164"/>
    </row>
    <row r="283" spans="1:1">
      <c r="A283" s="164"/>
    </row>
    <row r="284" spans="1:1">
      <c r="A284" s="164"/>
    </row>
    <row r="285" spans="1:1">
      <c r="A285" s="164"/>
    </row>
    <row r="286" spans="1:1">
      <c r="A286" s="164"/>
    </row>
    <row r="287" spans="1:1">
      <c r="A287" s="164"/>
    </row>
    <row r="288" spans="1:1">
      <c r="A288" s="164"/>
    </row>
    <row r="289" spans="1:1">
      <c r="A289" s="164"/>
    </row>
    <row r="290" spans="1:1">
      <c r="A290" s="164"/>
    </row>
    <row r="291" spans="1:1">
      <c r="A291" s="164"/>
    </row>
    <row r="292" spans="1:1">
      <c r="A292" s="164"/>
    </row>
    <row r="293" spans="1:1">
      <c r="A293" s="164"/>
    </row>
    <row r="294" spans="1:1">
      <c r="A294" s="164"/>
    </row>
    <row r="295" spans="1:1">
      <c r="A295" s="164"/>
    </row>
    <row r="296" spans="1:1">
      <c r="A296" s="164"/>
    </row>
    <row r="297" spans="1:1">
      <c r="A297" s="164"/>
    </row>
    <row r="298" spans="1:1">
      <c r="A298" s="164"/>
    </row>
    <row r="299" spans="1:1">
      <c r="A299" s="164"/>
    </row>
    <row r="300" spans="1:1">
      <c r="A300" s="164"/>
    </row>
    <row r="301" spans="1:1">
      <c r="A301" s="164"/>
    </row>
    <row r="302" spans="1:1">
      <c r="A302" s="164"/>
    </row>
    <row r="303" spans="1:1">
      <c r="A303" s="164"/>
    </row>
    <row r="304" spans="1:1">
      <c r="A304" s="164"/>
    </row>
    <row r="305" spans="1:1">
      <c r="A305" s="164"/>
    </row>
    <row r="306" spans="1:1">
      <c r="A306" s="164"/>
    </row>
    <row r="307" spans="1:1">
      <c r="A307" s="164"/>
    </row>
    <row r="308" spans="1:1">
      <c r="A308" s="164"/>
    </row>
    <row r="309" spans="1:1">
      <c r="A309" s="164"/>
    </row>
    <row r="310" spans="1:1">
      <c r="A310" s="164"/>
    </row>
    <row r="311" spans="1:1">
      <c r="A311" s="164"/>
    </row>
    <row r="312" spans="1:1">
      <c r="A312" s="164"/>
    </row>
    <row r="313" spans="1:1">
      <c r="A313" s="164"/>
    </row>
    <row r="314" spans="1:1">
      <c r="A314" s="164"/>
    </row>
    <row r="315" spans="1:1">
      <c r="A315" s="164"/>
    </row>
    <row r="316" spans="1:1">
      <c r="A316" s="164"/>
    </row>
    <row r="317" spans="1:1">
      <c r="A317" s="164"/>
    </row>
    <row r="318" spans="1:1">
      <c r="A318" s="164"/>
    </row>
    <row r="319" spans="1:1">
      <c r="A319" s="164"/>
    </row>
    <row r="320" spans="1:1">
      <c r="A320" s="164"/>
    </row>
    <row r="321" spans="1:1">
      <c r="A321" s="164"/>
    </row>
    <row r="322" spans="1:1">
      <c r="A322" s="164"/>
    </row>
    <row r="323" spans="1:1">
      <c r="A323" s="164"/>
    </row>
    <row r="324" spans="1:1">
      <c r="A324" s="164"/>
    </row>
  </sheetData>
  <sheetProtection password="CC08" sheet="1" scenarios="1"/>
  <protectedRanges>
    <protectedRange sqref="D3:I8 B13:I42" name="Range1"/>
  </protectedRanges>
  <mergeCells count="5">
    <mergeCell ref="AX7:AZ7"/>
    <mergeCell ref="A186:E186"/>
    <mergeCell ref="W7:Y7"/>
    <mergeCell ref="AF7:AH7"/>
    <mergeCell ref="AO7:AQ7"/>
  </mergeCells>
  <phoneticPr fontId="5" type="noConversion"/>
  <printOptions horizontalCentered="1"/>
  <pageMargins left="0.75" right="0.75" top="1" bottom="1" header="0.5" footer="0.5"/>
  <pageSetup orientation="portrait" horizontalDpi="4294967292" r:id="rId1"/>
  <headerFooter alignWithMargins="0">
    <oddFooter>&amp;CPage &amp;P of &amp;N</oddFooter>
  </headerFooter>
  <drawing r:id="rId2"/>
  <legacyDrawing r:id="rId3"/>
  <controls>
    <control shapeId="13326" r:id="rId4" name="MainMenu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A253"/>
  <sheetViews>
    <sheetView showGridLines="0" zoomScale="75" workbookViewId="0">
      <selection activeCell="S27" sqref="S27"/>
    </sheetView>
  </sheetViews>
  <sheetFormatPr defaultRowHeight="12.75"/>
  <cols>
    <col min="1" max="1" width="7.28515625" customWidth="1"/>
    <col min="12" max="19" width="9.28515625" customWidth="1"/>
  </cols>
  <sheetData>
    <row r="1" spans="1:25" ht="15">
      <c r="F1" s="176" t="s">
        <v>397</v>
      </c>
      <c r="O1" s="44" t="s">
        <v>176</v>
      </c>
      <c r="X1" s="44" t="s">
        <v>176</v>
      </c>
    </row>
    <row r="2" spans="1:25" ht="15">
      <c r="F2" s="176" t="s">
        <v>175</v>
      </c>
      <c r="O2" s="44" t="s">
        <v>178</v>
      </c>
      <c r="X2" s="44" t="s">
        <v>407</v>
      </c>
    </row>
    <row r="3" spans="1:25">
      <c r="C3" s="99" t="s">
        <v>177</v>
      </c>
      <c r="D3" s="938"/>
      <c r="E3" s="939"/>
      <c r="F3" s="939"/>
      <c r="G3" s="939"/>
      <c r="H3" s="939"/>
      <c r="I3" s="919"/>
      <c r="O3" s="44" t="str">
        <f>IF($D$3="","",$D$3)</f>
        <v/>
      </c>
      <c r="X3" s="44" t="str">
        <f>IF($D$3="","",$D$3)</f>
        <v/>
      </c>
    </row>
    <row r="4" spans="1:25">
      <c r="C4" s="99" t="s">
        <v>182</v>
      </c>
      <c r="D4" s="938"/>
      <c r="E4" s="939"/>
      <c r="F4" s="939"/>
      <c r="G4" s="945"/>
      <c r="H4" s="945"/>
      <c r="I4" s="924"/>
      <c r="O4" s="44" t="str">
        <f>IF($D$4="","",$D$4)</f>
        <v/>
      </c>
      <c r="X4" s="44" t="str">
        <f>IF($D$4="","",$D$4)</f>
        <v/>
      </c>
    </row>
    <row r="5" spans="1:25">
      <c r="C5" s="99" t="s">
        <v>396</v>
      </c>
      <c r="D5" s="940"/>
      <c r="E5" s="925"/>
      <c r="F5" s="925"/>
      <c r="G5" s="946"/>
      <c r="H5" s="947"/>
      <c r="I5" s="919"/>
      <c r="O5" s="44" t="str">
        <f>IF($D$5="","",$D$5&amp;" vs "&amp;$G$5)</f>
        <v/>
      </c>
      <c r="X5" s="44" t="str">
        <f>IF($D$5="","",$D$5&amp;" vs "&amp;$G$5)</f>
        <v/>
      </c>
    </row>
    <row r="6" spans="1:25">
      <c r="C6" s="99" t="s">
        <v>184</v>
      </c>
      <c r="D6" s="938"/>
      <c r="E6" s="939"/>
      <c r="F6" s="939"/>
      <c r="G6" s="932"/>
      <c r="H6" s="932"/>
      <c r="I6" s="920"/>
      <c r="N6" s="1471" t="str">
        <f>IF($D$6="","",$D$6)</f>
        <v/>
      </c>
      <c r="O6" s="1471"/>
      <c r="P6" s="1471"/>
      <c r="W6" s="1471" t="str">
        <f>IF($D$6="","",$D$6)</f>
        <v/>
      </c>
      <c r="X6" s="1471"/>
      <c r="Y6" s="1471"/>
    </row>
    <row r="7" spans="1:25">
      <c r="C7" s="99" t="s">
        <v>185</v>
      </c>
      <c r="D7" s="943"/>
      <c r="E7" s="919"/>
      <c r="F7" s="94"/>
      <c r="G7" s="94"/>
      <c r="H7" s="94"/>
      <c r="I7" s="94"/>
    </row>
    <row r="8" spans="1:25" ht="15.75">
      <c r="C8" s="100" t="s">
        <v>369</v>
      </c>
      <c r="D8" s="944"/>
      <c r="E8" s="94"/>
      <c r="H8" s="99" t="s">
        <v>186</v>
      </c>
      <c r="I8" s="944"/>
      <c r="J8" s="101" t="s">
        <v>187</v>
      </c>
      <c r="K8" s="101"/>
    </row>
    <row r="9" spans="1:25">
      <c r="A9" s="102" t="s">
        <v>188</v>
      </c>
      <c r="D9" s="104" t="str">
        <f>IF(D13="","You need two different measurement systems to perform a bias study","")</f>
        <v>You need two different measurement systems to perform a bias study</v>
      </c>
    </row>
    <row r="10" spans="1:25">
      <c r="A10" s="177"/>
    </row>
    <row r="11" spans="1:25">
      <c r="B11" s="105" t="str">
        <f>IF(D5="","Equipment A",D5)</f>
        <v>Equipment A</v>
      </c>
      <c r="C11" s="106"/>
      <c r="D11" s="105" t="str">
        <f>IF(G5="","Equipment A",G5)</f>
        <v>Equipment A</v>
      </c>
      <c r="E11" s="106"/>
      <c r="F11" s="178" t="s">
        <v>113</v>
      </c>
      <c r="G11" s="178" t="s">
        <v>402</v>
      </c>
      <c r="H11" s="179" t="s">
        <v>393</v>
      </c>
      <c r="I11" s="129" t="e">
        <f>INTERCEPT($C$12:$C$41,$B$12:$B$41)</f>
        <v>#DIV/0!</v>
      </c>
    </row>
    <row r="12" spans="1:25">
      <c r="A12" s="109" t="s">
        <v>113</v>
      </c>
      <c r="B12" s="110" t="s">
        <v>193</v>
      </c>
      <c r="C12" s="109" t="s">
        <v>194</v>
      </c>
      <c r="D12" s="110" t="s">
        <v>193</v>
      </c>
      <c r="E12" s="180" t="s">
        <v>194</v>
      </c>
      <c r="F12" s="181" t="s">
        <v>195</v>
      </c>
      <c r="G12" s="181" t="s">
        <v>117</v>
      </c>
      <c r="H12" s="179" t="s">
        <v>394</v>
      </c>
      <c r="I12" s="129" t="e">
        <f>SLOPE($C$12:$C$41,$B$12:$B$41)</f>
        <v>#DIV/0!</v>
      </c>
    </row>
    <row r="13" spans="1:25">
      <c r="A13" s="109">
        <v>1</v>
      </c>
      <c r="B13" s="212"/>
      <c r="C13" s="213"/>
      <c r="D13" s="212"/>
      <c r="E13" s="213"/>
      <c r="F13" s="182" t="str">
        <f t="shared" ref="F13:F42" si="0">IF(B13="","",AVERAGE(B13:E13))</f>
        <v/>
      </c>
      <c r="G13" s="160" t="str">
        <f t="shared" ref="G13:G42" si="1">IF(B13="","",ABS(B13-D13))</f>
        <v/>
      </c>
    </row>
    <row r="14" spans="1:25">
      <c r="A14" s="109">
        <v>2</v>
      </c>
      <c r="B14" s="212"/>
      <c r="C14" s="213"/>
      <c r="D14" s="212"/>
      <c r="E14" s="213"/>
      <c r="F14" s="111" t="str">
        <f t="shared" si="0"/>
        <v/>
      </c>
      <c r="G14" s="160" t="str">
        <f t="shared" si="1"/>
        <v/>
      </c>
      <c r="H14" s="154"/>
    </row>
    <row r="15" spans="1:25">
      <c r="A15" s="109">
        <v>3</v>
      </c>
      <c r="B15" s="212"/>
      <c r="C15" s="213"/>
      <c r="D15" s="212"/>
      <c r="E15" s="213"/>
      <c r="F15" s="111" t="str">
        <f t="shared" si="0"/>
        <v/>
      </c>
      <c r="G15" s="160" t="str">
        <f t="shared" si="1"/>
        <v/>
      </c>
    </row>
    <row r="16" spans="1:25">
      <c r="A16" s="109">
        <v>4</v>
      </c>
      <c r="B16" s="212"/>
      <c r="C16" s="213"/>
      <c r="D16" s="212"/>
      <c r="E16" s="213"/>
      <c r="F16" s="111" t="str">
        <f t="shared" si="0"/>
        <v/>
      </c>
      <c r="G16" s="160" t="str">
        <f t="shared" si="1"/>
        <v/>
      </c>
    </row>
    <row r="17" spans="1:15">
      <c r="A17" s="109">
        <v>5</v>
      </c>
      <c r="B17" s="212"/>
      <c r="C17" s="213"/>
      <c r="D17" s="212"/>
      <c r="E17" s="213"/>
      <c r="F17" s="111" t="str">
        <f t="shared" si="0"/>
        <v/>
      </c>
      <c r="G17" s="160" t="str">
        <f t="shared" si="1"/>
        <v/>
      </c>
    </row>
    <row r="18" spans="1:15">
      <c r="A18" s="109">
        <v>6</v>
      </c>
      <c r="B18" s="212"/>
      <c r="C18" s="213"/>
      <c r="D18" s="212"/>
      <c r="E18" s="213"/>
      <c r="F18" s="111" t="str">
        <f t="shared" si="0"/>
        <v/>
      </c>
      <c r="G18" s="160" t="str">
        <f t="shared" si="1"/>
        <v/>
      </c>
    </row>
    <row r="19" spans="1:15">
      <c r="A19" s="109">
        <v>7</v>
      </c>
      <c r="B19" s="212"/>
      <c r="C19" s="213"/>
      <c r="D19" s="212"/>
      <c r="E19" s="213"/>
      <c r="F19" s="111" t="str">
        <f t="shared" si="0"/>
        <v/>
      </c>
      <c r="G19" s="160" t="str">
        <f t="shared" si="1"/>
        <v/>
      </c>
    </row>
    <row r="20" spans="1:15">
      <c r="A20" s="109">
        <v>8</v>
      </c>
      <c r="B20" s="212"/>
      <c r="C20" s="213"/>
      <c r="D20" s="212"/>
      <c r="E20" s="213"/>
      <c r="F20" s="111" t="str">
        <f t="shared" si="0"/>
        <v/>
      </c>
      <c r="G20" s="160" t="str">
        <f t="shared" si="1"/>
        <v/>
      </c>
      <c r="O20" s="44" t="e">
        <f>A140</f>
        <v>#DIV/0!</v>
      </c>
    </row>
    <row r="21" spans="1:15">
      <c r="A21" s="109">
        <v>9</v>
      </c>
      <c r="B21" s="212"/>
      <c r="C21" s="213"/>
      <c r="D21" s="212"/>
      <c r="E21" s="213"/>
      <c r="F21" s="111" t="str">
        <f t="shared" si="0"/>
        <v/>
      </c>
      <c r="G21" s="160" t="str">
        <f t="shared" si="1"/>
        <v/>
      </c>
    </row>
    <row r="22" spans="1:15">
      <c r="A22" s="109">
        <v>10</v>
      </c>
      <c r="B22" s="934"/>
      <c r="C22" s="935"/>
      <c r="D22" s="934"/>
      <c r="E22" s="935"/>
      <c r="F22" s="111" t="str">
        <f t="shared" si="0"/>
        <v/>
      </c>
      <c r="G22" s="160" t="str">
        <f t="shared" si="1"/>
        <v/>
      </c>
    </row>
    <row r="23" spans="1:15">
      <c r="A23" s="109">
        <v>11</v>
      </c>
      <c r="B23" s="934"/>
      <c r="C23" s="935"/>
      <c r="D23" s="934"/>
      <c r="E23" s="935"/>
      <c r="F23" s="111" t="str">
        <f t="shared" si="0"/>
        <v/>
      </c>
      <c r="G23" s="160" t="str">
        <f t="shared" si="1"/>
        <v/>
      </c>
    </row>
    <row r="24" spans="1:15">
      <c r="A24" s="109">
        <v>12</v>
      </c>
      <c r="B24" s="934"/>
      <c r="C24" s="935"/>
      <c r="D24" s="934"/>
      <c r="E24" s="935"/>
      <c r="F24" s="111" t="str">
        <f t="shared" si="0"/>
        <v/>
      </c>
      <c r="G24" s="160" t="str">
        <f t="shared" si="1"/>
        <v/>
      </c>
    </row>
    <row r="25" spans="1:15">
      <c r="A25" s="109">
        <v>13</v>
      </c>
      <c r="B25" s="934"/>
      <c r="C25" s="935"/>
      <c r="D25" s="934"/>
      <c r="E25" s="935"/>
      <c r="F25" s="111" t="str">
        <f t="shared" si="0"/>
        <v/>
      </c>
      <c r="G25" s="160" t="str">
        <f t="shared" si="1"/>
        <v/>
      </c>
    </row>
    <row r="26" spans="1:15">
      <c r="A26" s="109">
        <v>14</v>
      </c>
      <c r="B26" s="934"/>
      <c r="C26" s="935"/>
      <c r="D26" s="934"/>
      <c r="E26" s="935"/>
      <c r="F26" s="111" t="str">
        <f t="shared" si="0"/>
        <v/>
      </c>
      <c r="G26" s="160" t="str">
        <f t="shared" si="1"/>
        <v/>
      </c>
      <c r="M26" s="80"/>
    </row>
    <row r="27" spans="1:15">
      <c r="A27" s="109">
        <v>15</v>
      </c>
      <c r="B27" s="934"/>
      <c r="C27" s="935"/>
      <c r="D27" s="934"/>
      <c r="E27" s="935"/>
      <c r="F27" s="111" t="str">
        <f t="shared" si="0"/>
        <v/>
      </c>
      <c r="G27" s="160" t="str">
        <f t="shared" si="1"/>
        <v/>
      </c>
    </row>
    <row r="28" spans="1:15">
      <c r="A28" s="109">
        <v>16</v>
      </c>
      <c r="B28" s="934"/>
      <c r="C28" s="935"/>
      <c r="D28" s="934"/>
      <c r="E28" s="935"/>
      <c r="F28" s="111" t="str">
        <f t="shared" si="0"/>
        <v/>
      </c>
      <c r="G28" s="160" t="str">
        <f t="shared" si="1"/>
        <v/>
      </c>
    </row>
    <row r="29" spans="1:15">
      <c r="A29" s="109">
        <v>17</v>
      </c>
      <c r="B29" s="934"/>
      <c r="C29" s="935"/>
      <c r="D29" s="934"/>
      <c r="E29" s="935"/>
      <c r="F29" s="111" t="str">
        <f t="shared" si="0"/>
        <v/>
      </c>
      <c r="G29" s="160" t="str">
        <f t="shared" si="1"/>
        <v/>
      </c>
    </row>
    <row r="30" spans="1:15">
      <c r="A30" s="109">
        <v>18</v>
      </c>
      <c r="B30" s="934"/>
      <c r="C30" s="935"/>
      <c r="D30" s="934"/>
      <c r="E30" s="935"/>
      <c r="F30" s="111" t="str">
        <f t="shared" si="0"/>
        <v/>
      </c>
      <c r="G30" s="160" t="str">
        <f t="shared" si="1"/>
        <v/>
      </c>
      <c r="I30" s="183"/>
    </row>
    <row r="31" spans="1:15">
      <c r="A31" s="109">
        <v>19</v>
      </c>
      <c r="B31" s="934"/>
      <c r="C31" s="935"/>
      <c r="D31" s="934"/>
      <c r="E31" s="935"/>
      <c r="F31" s="111" t="str">
        <f t="shared" si="0"/>
        <v/>
      </c>
      <c r="G31" s="160" t="str">
        <f t="shared" si="1"/>
        <v/>
      </c>
      <c r="I31" s="183"/>
    </row>
    <row r="32" spans="1:15">
      <c r="A32" s="109">
        <v>20</v>
      </c>
      <c r="B32" s="934"/>
      <c r="C32" s="935"/>
      <c r="D32" s="934"/>
      <c r="E32" s="935"/>
      <c r="F32" s="111" t="str">
        <f t="shared" si="0"/>
        <v/>
      </c>
      <c r="G32" s="160" t="str">
        <f t="shared" si="1"/>
        <v/>
      </c>
      <c r="I32" s="183"/>
    </row>
    <row r="33" spans="1:27">
      <c r="A33" s="109">
        <v>21</v>
      </c>
      <c r="B33" s="934"/>
      <c r="C33" s="935"/>
      <c r="D33" s="934"/>
      <c r="E33" s="935"/>
      <c r="F33" s="111" t="str">
        <f t="shared" si="0"/>
        <v/>
      </c>
      <c r="G33" s="160" t="str">
        <f t="shared" si="1"/>
        <v/>
      </c>
      <c r="Y33" s="1487" t="s">
        <v>395</v>
      </c>
      <c r="Z33" s="1487"/>
      <c r="AA33" s="80"/>
    </row>
    <row r="34" spans="1:27">
      <c r="A34" s="109">
        <v>22</v>
      </c>
      <c r="B34" s="934"/>
      <c r="C34" s="935"/>
      <c r="D34" s="934"/>
      <c r="E34" s="935"/>
      <c r="F34" s="111" t="str">
        <f t="shared" si="0"/>
        <v/>
      </c>
      <c r="G34" s="160" t="str">
        <f t="shared" si="1"/>
        <v/>
      </c>
      <c r="U34" s="43" t="s">
        <v>403</v>
      </c>
      <c r="Y34" s="46" t="s">
        <v>404</v>
      </c>
      <c r="Z34" s="43" t="e">
        <f>ROUND(I12,I8)</f>
        <v>#DIV/0!</v>
      </c>
    </row>
    <row r="35" spans="1:27">
      <c r="A35" s="109">
        <v>23</v>
      </c>
      <c r="B35" s="934"/>
      <c r="C35" s="935"/>
      <c r="D35" s="934"/>
      <c r="E35" s="935"/>
      <c r="F35" s="111" t="str">
        <f t="shared" si="0"/>
        <v/>
      </c>
      <c r="G35" s="160" t="str">
        <f t="shared" si="1"/>
        <v/>
      </c>
      <c r="U35" s="43"/>
      <c r="Y35" s="46" t="s">
        <v>405</v>
      </c>
      <c r="Z35" s="43" t="e">
        <f>ROUND(I11,I8)</f>
        <v>#DIV/0!</v>
      </c>
    </row>
    <row r="36" spans="1:27">
      <c r="A36" s="109">
        <v>24</v>
      </c>
      <c r="B36" s="934"/>
      <c r="C36" s="935"/>
      <c r="D36" s="934"/>
      <c r="E36" s="935"/>
      <c r="F36" s="111" t="str">
        <f t="shared" si="0"/>
        <v/>
      </c>
      <c r="G36" s="160" t="str">
        <f t="shared" si="1"/>
        <v/>
      </c>
      <c r="U36" s="43" t="e">
        <f>D5&amp;" = ("&amp;G5&amp;" - "&amp;ROUND(I11,I8)&amp;") / "&amp;ROUND(I12,I8)</f>
        <v>#DIV/0!</v>
      </c>
    </row>
    <row r="37" spans="1:27">
      <c r="A37" s="109">
        <v>25</v>
      </c>
      <c r="B37" s="934"/>
      <c r="C37" s="935"/>
      <c r="D37" s="934"/>
      <c r="E37" s="935"/>
      <c r="F37" s="111" t="str">
        <f t="shared" si="0"/>
        <v/>
      </c>
      <c r="G37" s="160" t="str">
        <f t="shared" si="1"/>
        <v/>
      </c>
      <c r="U37" s="43"/>
    </row>
    <row r="38" spans="1:27">
      <c r="A38" s="109">
        <v>26</v>
      </c>
      <c r="B38" s="934"/>
      <c r="C38" s="935"/>
      <c r="D38" s="934"/>
      <c r="E38" s="935"/>
      <c r="F38" s="111" t="str">
        <f t="shared" si="0"/>
        <v/>
      </c>
      <c r="G38" s="160" t="str">
        <f t="shared" si="1"/>
        <v/>
      </c>
      <c r="U38" s="43" t="e">
        <f>G5&amp;" = ("&amp;ROUND(I12,I8)&amp;" * "&amp;D5&amp;") + "&amp;ROUND(I11,I8)</f>
        <v>#DIV/0!</v>
      </c>
    </row>
    <row r="39" spans="1:27">
      <c r="A39" s="109">
        <v>27</v>
      </c>
      <c r="B39" s="934"/>
      <c r="C39" s="935"/>
      <c r="D39" s="934"/>
      <c r="E39" s="935"/>
      <c r="F39" s="111" t="str">
        <f t="shared" si="0"/>
        <v/>
      </c>
      <c r="G39" s="160" t="str">
        <f t="shared" si="1"/>
        <v/>
      </c>
    </row>
    <row r="40" spans="1:27">
      <c r="A40" s="109">
        <v>28</v>
      </c>
      <c r="B40" s="934"/>
      <c r="C40" s="935"/>
      <c r="D40" s="934"/>
      <c r="E40" s="935"/>
      <c r="F40" s="111" t="str">
        <f t="shared" si="0"/>
        <v/>
      </c>
      <c r="G40" s="160" t="str">
        <f t="shared" si="1"/>
        <v/>
      </c>
    </row>
    <row r="41" spans="1:27">
      <c r="A41" s="109">
        <v>29</v>
      </c>
      <c r="B41" s="934"/>
      <c r="C41" s="935"/>
      <c r="D41" s="934"/>
      <c r="E41" s="935"/>
      <c r="F41" s="111" t="str">
        <f t="shared" si="0"/>
        <v/>
      </c>
      <c r="G41" s="160" t="str">
        <f t="shared" si="1"/>
        <v/>
      </c>
      <c r="L41" t="s">
        <v>406</v>
      </c>
      <c r="N41" s="1488">
        <f>A49</f>
        <v>0</v>
      </c>
      <c r="O41" s="1488"/>
      <c r="Q41" s="1488">
        <f>D49</f>
        <v>0</v>
      </c>
      <c r="R41" s="1488"/>
      <c r="T41" s="184" t="e">
        <f>IF(OR(B53&lt;8.5,E53&lt;8.5),"One or both of the measurement systems does not pass the Discrimination test.","")</f>
        <v>#DIV/0!</v>
      </c>
    </row>
    <row r="42" spans="1:27" ht="15" thickBot="1">
      <c r="A42" s="109">
        <v>30</v>
      </c>
      <c r="B42" s="936"/>
      <c r="C42" s="937"/>
      <c r="D42" s="936"/>
      <c r="E42" s="937"/>
      <c r="F42" s="126" t="str">
        <f t="shared" si="0"/>
        <v/>
      </c>
      <c r="G42" s="160" t="str">
        <f t="shared" si="1"/>
        <v/>
      </c>
      <c r="N42" s="185" t="s">
        <v>408</v>
      </c>
      <c r="O42" s="43" t="e">
        <f>B50</f>
        <v>#DIV/0!</v>
      </c>
      <c r="Q42" s="185" t="s">
        <v>408</v>
      </c>
      <c r="R42" t="e">
        <f>E50</f>
        <v>#DIV/0!</v>
      </c>
      <c r="T42" s="184" t="e">
        <f>IF(OR(B53&lt;8.5,E53&lt;8.5),"Bias conversions may exhibit considerable error.","")</f>
        <v>#DIV/0!</v>
      </c>
    </row>
    <row r="43" spans="1:27" ht="14.25" thickTop="1" thickBot="1">
      <c r="A43" s="127" t="s">
        <v>201</v>
      </c>
      <c r="B43" s="128" t="s">
        <v>202</v>
      </c>
      <c r="C43" s="129" t="e">
        <f>AVERAGE(B13:C42)</f>
        <v>#DIV/0!</v>
      </c>
      <c r="D43" s="128" t="s">
        <v>203</v>
      </c>
      <c r="E43" s="129" t="e">
        <f>AVERAGE(D13:E42)</f>
        <v>#DIV/0!</v>
      </c>
      <c r="F43" s="130" t="e">
        <f>AVERAGE(F13:F42)</f>
        <v>#DIV/0!</v>
      </c>
      <c r="G43" s="186" t="e">
        <f>AVERAGE(G13:G42)</f>
        <v>#DIV/0!</v>
      </c>
      <c r="N43" s="187" t="s">
        <v>398</v>
      </c>
      <c r="O43" s="188" t="e">
        <f>B53</f>
        <v>#DIV/0!</v>
      </c>
      <c r="Q43" s="187" t="s">
        <v>398</v>
      </c>
      <c r="R43" s="113" t="e">
        <f>E53</f>
        <v>#DIV/0!</v>
      </c>
    </row>
    <row r="44" spans="1:27" ht="13.5" thickBot="1">
      <c r="A44" s="127" t="s">
        <v>207</v>
      </c>
      <c r="B44" s="133" t="s">
        <v>399</v>
      </c>
      <c r="C44" s="129" t="e">
        <f>AVERAGE(E61:E90)</f>
        <v>#DIV/0!</v>
      </c>
      <c r="D44" s="133" t="s">
        <v>400</v>
      </c>
      <c r="E44" s="129" t="e">
        <f>AVERAGE(E92:E121)</f>
        <v>#DIV/0!</v>
      </c>
      <c r="F44" s="130">
        <f>MAX(F13:F42)-MIN(F13:F42)</f>
        <v>0</v>
      </c>
      <c r="G44" s="131"/>
    </row>
    <row r="45" spans="1:27">
      <c r="A45" s="189"/>
      <c r="B45" s="190"/>
      <c r="C45" s="191"/>
      <c r="D45" s="190"/>
      <c r="E45" s="191"/>
      <c r="F45" s="190"/>
      <c r="G45" s="191"/>
      <c r="H45" s="190"/>
      <c r="I45" s="191"/>
      <c r="J45" s="191"/>
      <c r="K45" s="191"/>
      <c r="L45" s="101" t="str">
        <f>G49&amp;" "&amp;N41&amp;" to "&amp;Q41&amp;":"</f>
        <v>Reproducibility 0 to 0:</v>
      </c>
      <c r="N45" s="80"/>
    </row>
    <row r="46" spans="1:27" ht="14.25">
      <c r="A46" s="189"/>
      <c r="B46" s="190"/>
      <c r="C46" s="191"/>
      <c r="D46" s="190"/>
      <c r="E46" s="191"/>
      <c r="F46" s="190"/>
      <c r="G46" s="191"/>
      <c r="H46" s="190"/>
      <c r="I46" s="191"/>
      <c r="J46" s="191"/>
      <c r="K46" s="191"/>
      <c r="M46" s="185" t="s">
        <v>408</v>
      </c>
      <c r="N46" t="e">
        <f>H50</f>
        <v>#DIV/0!</v>
      </c>
    </row>
    <row r="47" spans="1:27">
      <c r="A47" s="189"/>
      <c r="B47" s="190"/>
      <c r="C47" s="191"/>
      <c r="D47" s="190"/>
      <c r="E47" s="191"/>
      <c r="F47" s="190"/>
      <c r="G47" s="191"/>
      <c r="H47" s="190"/>
      <c r="I47" s="191"/>
      <c r="J47" s="191"/>
      <c r="K47" s="191"/>
      <c r="M47" s="187" t="s">
        <v>398</v>
      </c>
      <c r="N47" s="113" t="e">
        <f>H53</f>
        <v>#DIV/0!</v>
      </c>
    </row>
    <row r="48" spans="1:27" s="193" customFormat="1" ht="15.75">
      <c r="A48" s="189"/>
      <c r="B48" s="190"/>
      <c r="C48" s="191"/>
      <c r="D48" s="190"/>
      <c r="E48" s="191"/>
      <c r="F48" s="190"/>
      <c r="G48" s="191"/>
      <c r="H48" s="190"/>
      <c r="I48" s="191"/>
      <c r="J48" s="191"/>
      <c r="K48" s="192"/>
    </row>
    <row r="49" spans="1:11" ht="15.75">
      <c r="A49" s="1486">
        <f>D5</f>
        <v>0</v>
      </c>
      <c r="B49" s="1486"/>
      <c r="C49" s="192"/>
      <c r="D49" s="1486">
        <f>G5</f>
        <v>0</v>
      </c>
      <c r="E49" s="1486"/>
      <c r="F49" s="192"/>
      <c r="G49" s="1486" t="s">
        <v>198</v>
      </c>
      <c r="H49" s="1486"/>
      <c r="I49" s="192"/>
      <c r="J49" s="192"/>
      <c r="K49" s="177"/>
    </row>
    <row r="50" spans="1:11" ht="18.75">
      <c r="A50" s="194" t="s">
        <v>371</v>
      </c>
      <c r="B50" s="195" t="e">
        <f>C44/1.128</f>
        <v>#DIV/0!</v>
      </c>
      <c r="C50" s="177"/>
      <c r="D50" s="194" t="s">
        <v>371</v>
      </c>
      <c r="E50" s="195" t="e">
        <f>E44/1.128</f>
        <v>#DIV/0!</v>
      </c>
      <c r="F50" s="177"/>
      <c r="G50" s="194" t="s">
        <v>371</v>
      </c>
      <c r="H50" s="195" t="e">
        <f>G43/1.128</f>
        <v>#DIV/0!</v>
      </c>
      <c r="I50" s="177"/>
      <c r="J50" s="177"/>
      <c r="K50" s="196"/>
    </row>
    <row r="51" spans="1:11" ht="18.75">
      <c r="A51" s="194" t="s">
        <v>374</v>
      </c>
      <c r="B51" s="197" t="e">
        <f>IF(D8="",SQRT((STDEV(D61:D90)^2)+(0.5*(B50^2))),D8)</f>
        <v>#DIV/0!</v>
      </c>
      <c r="C51" s="196"/>
      <c r="D51" s="194" t="s">
        <v>374</v>
      </c>
      <c r="E51" s="197" t="e">
        <f>IF(D8="",SQRT((STDEV(D92:D121)^2)+(0.5*(E50^2))),D8)</f>
        <v>#DIV/0!</v>
      </c>
      <c r="F51" s="196"/>
      <c r="G51" s="194" t="s">
        <v>374</v>
      </c>
      <c r="H51" s="197" t="e">
        <f>SQRT((STDEV(F13:F42)^2)+(0.5*(H50^2)))</f>
        <v>#DIV/0!</v>
      </c>
      <c r="I51" s="196"/>
      <c r="J51" s="196"/>
      <c r="K51" s="196"/>
    </row>
    <row r="52" spans="1:11" ht="15.75">
      <c r="A52" s="198" t="s">
        <v>401</v>
      </c>
      <c r="B52" s="199" t="e">
        <f>1-((B50^2)/(B51^2))</f>
        <v>#DIV/0!</v>
      </c>
      <c r="C52" s="196"/>
      <c r="D52" s="198" t="s">
        <v>401</v>
      </c>
      <c r="E52" s="199" t="e">
        <f>1-((E50^2)/(E51^2))</f>
        <v>#DIV/0!</v>
      </c>
      <c r="F52" s="196"/>
      <c r="G52" s="198" t="s">
        <v>401</v>
      </c>
      <c r="H52" s="199" t="e">
        <f>1-((H50^2)/(H51^2))</f>
        <v>#DIV/0!</v>
      </c>
      <c r="I52" s="196"/>
      <c r="J52" s="196"/>
    </row>
    <row r="53" spans="1:11" ht="15.75">
      <c r="A53" s="198" t="s">
        <v>398</v>
      </c>
      <c r="B53" s="200" t="e">
        <f>SQRT((1+B52)/(1-B52))</f>
        <v>#DIV/0!</v>
      </c>
      <c r="D53" s="198" t="s">
        <v>398</v>
      </c>
      <c r="E53" s="200" t="e">
        <f>SQRT((1+E52)/(1-E52))</f>
        <v>#DIV/0!</v>
      </c>
      <c r="G53" s="198" t="s">
        <v>398</v>
      </c>
      <c r="H53" s="200" t="e">
        <f>SQRT((1+H52)/(1-H52))</f>
        <v>#DIV/0!</v>
      </c>
    </row>
    <row r="56" spans="1:11" ht="15.75">
      <c r="A56" s="155"/>
    </row>
    <row r="57" spans="1:11">
      <c r="K57" s="156"/>
    </row>
    <row r="58" spans="1:11">
      <c r="A58" s="157" t="s">
        <v>216</v>
      </c>
      <c r="B58" s="157"/>
      <c r="C58" s="157"/>
      <c r="D58" s="157"/>
      <c r="E58" s="157"/>
      <c r="F58" s="157"/>
      <c r="G58" s="158"/>
      <c r="H58" s="201"/>
      <c r="I58" s="156"/>
      <c r="J58" s="156"/>
      <c r="K58" s="156"/>
    </row>
    <row r="59" spans="1:11">
      <c r="A59" s="157"/>
      <c r="B59" s="157"/>
      <c r="C59" s="157"/>
      <c r="D59" s="157"/>
      <c r="E59" s="157"/>
      <c r="F59" s="157"/>
      <c r="G59" s="158"/>
      <c r="H59" s="201"/>
      <c r="I59" s="156"/>
      <c r="J59" s="156"/>
    </row>
    <row r="60" spans="1:11">
      <c r="A60" s="159" t="s">
        <v>217</v>
      </c>
      <c r="B60" s="159" t="s">
        <v>193</v>
      </c>
      <c r="C60" s="159" t="s">
        <v>194</v>
      </c>
      <c r="D60" s="159" t="s">
        <v>218</v>
      </c>
      <c r="E60" s="159" t="s">
        <v>117</v>
      </c>
      <c r="F60" s="160" t="s">
        <v>219</v>
      </c>
      <c r="G60" s="159" t="s">
        <v>220</v>
      </c>
      <c r="H60" s="201"/>
    </row>
    <row r="61" spans="1:11">
      <c r="A61" s="161" t="s">
        <v>221</v>
      </c>
      <c r="B61" s="157" t="str">
        <f t="shared" ref="B61:B90" si="2">IF(B13="","",B13)</f>
        <v/>
      </c>
      <c r="C61" s="157" t="str">
        <f t="shared" ref="C61:C90" si="3">IF(B61="","",C13)</f>
        <v/>
      </c>
      <c r="D61" s="157" t="str">
        <f t="shared" ref="D61:D90" si="4">IF(B61="","",AVERAGE(B61:C61))</f>
        <v/>
      </c>
      <c r="E61" s="157" t="str">
        <f t="shared" ref="E61:E92" si="5">IF(B61="","",ABS(B61-C61))</f>
        <v/>
      </c>
      <c r="F61" s="160" t="e">
        <f>AVERAGE(E61:E121)</f>
        <v>#DIV/0!</v>
      </c>
      <c r="G61" s="158"/>
      <c r="H61" s="201"/>
    </row>
    <row r="62" spans="1:11">
      <c r="A62" s="161" t="s">
        <v>222</v>
      </c>
      <c r="B62" s="157" t="str">
        <f t="shared" si="2"/>
        <v/>
      </c>
      <c r="C62" s="157" t="str">
        <f t="shared" si="3"/>
        <v/>
      </c>
      <c r="D62" s="157" t="str">
        <f t="shared" si="4"/>
        <v/>
      </c>
      <c r="E62" s="157" t="str">
        <f t="shared" si="5"/>
        <v/>
      </c>
      <c r="F62" s="157"/>
      <c r="G62" s="158"/>
      <c r="H62" s="201"/>
    </row>
    <row r="63" spans="1:11">
      <c r="A63" s="161" t="s">
        <v>223</v>
      </c>
      <c r="B63" s="157" t="str">
        <f t="shared" si="2"/>
        <v/>
      </c>
      <c r="C63" s="157" t="str">
        <f t="shared" si="3"/>
        <v/>
      </c>
      <c r="D63" s="157" t="str">
        <f t="shared" si="4"/>
        <v/>
      </c>
      <c r="E63" s="157" t="str">
        <f t="shared" si="5"/>
        <v/>
      </c>
      <c r="F63" s="157"/>
      <c r="G63" s="158"/>
      <c r="H63" s="201"/>
    </row>
    <row r="64" spans="1:11">
      <c r="A64" s="161" t="s">
        <v>224</v>
      </c>
      <c r="B64" s="157" t="str">
        <f t="shared" si="2"/>
        <v/>
      </c>
      <c r="C64" s="157" t="str">
        <f t="shared" si="3"/>
        <v/>
      </c>
      <c r="D64" s="157" t="str">
        <f t="shared" si="4"/>
        <v/>
      </c>
      <c r="E64" s="157" t="str">
        <f t="shared" si="5"/>
        <v/>
      </c>
      <c r="F64" s="157"/>
      <c r="G64" s="158"/>
      <c r="H64" s="201"/>
    </row>
    <row r="65" spans="1:8">
      <c r="A65" s="161" t="s">
        <v>225</v>
      </c>
      <c r="B65" s="157" t="str">
        <f t="shared" si="2"/>
        <v/>
      </c>
      <c r="C65" s="157" t="str">
        <f t="shared" si="3"/>
        <v/>
      </c>
      <c r="D65" s="157" t="str">
        <f t="shared" si="4"/>
        <v/>
      </c>
      <c r="E65" s="157" t="str">
        <f t="shared" si="5"/>
        <v/>
      </c>
      <c r="F65" s="157"/>
      <c r="G65" s="158"/>
      <c r="H65" s="201"/>
    </row>
    <row r="66" spans="1:8">
      <c r="A66" s="161" t="s">
        <v>226</v>
      </c>
      <c r="B66" s="157" t="str">
        <f t="shared" si="2"/>
        <v/>
      </c>
      <c r="C66" s="157" t="str">
        <f t="shared" si="3"/>
        <v/>
      </c>
      <c r="D66" s="157" t="str">
        <f t="shared" si="4"/>
        <v/>
      </c>
      <c r="E66" s="157" t="str">
        <f t="shared" si="5"/>
        <v/>
      </c>
      <c r="F66" s="157"/>
      <c r="G66" s="158"/>
      <c r="H66" s="201"/>
    </row>
    <row r="67" spans="1:8">
      <c r="A67" s="161" t="s">
        <v>227</v>
      </c>
      <c r="B67" s="157" t="str">
        <f t="shared" si="2"/>
        <v/>
      </c>
      <c r="C67" s="157" t="str">
        <f t="shared" si="3"/>
        <v/>
      </c>
      <c r="D67" s="157" t="str">
        <f t="shared" si="4"/>
        <v/>
      </c>
      <c r="E67" s="157" t="str">
        <f t="shared" si="5"/>
        <v/>
      </c>
      <c r="F67" s="157"/>
      <c r="G67" s="158"/>
      <c r="H67" s="201"/>
    </row>
    <row r="68" spans="1:8">
      <c r="A68" s="161" t="s">
        <v>228</v>
      </c>
      <c r="B68" s="157" t="str">
        <f t="shared" si="2"/>
        <v/>
      </c>
      <c r="C68" s="157" t="str">
        <f t="shared" si="3"/>
        <v/>
      </c>
      <c r="D68" s="157" t="str">
        <f t="shared" si="4"/>
        <v/>
      </c>
      <c r="E68" s="157" t="str">
        <f t="shared" si="5"/>
        <v/>
      </c>
      <c r="F68" s="157"/>
      <c r="G68" s="158"/>
      <c r="H68" s="201"/>
    </row>
    <row r="69" spans="1:8">
      <c r="A69" s="161" t="s">
        <v>229</v>
      </c>
      <c r="B69" s="157" t="str">
        <f t="shared" si="2"/>
        <v/>
      </c>
      <c r="C69" s="157" t="str">
        <f t="shared" si="3"/>
        <v/>
      </c>
      <c r="D69" s="157" t="str">
        <f t="shared" si="4"/>
        <v/>
      </c>
      <c r="E69" s="157" t="str">
        <f t="shared" si="5"/>
        <v/>
      </c>
      <c r="F69" s="157"/>
      <c r="G69" s="158"/>
      <c r="H69" s="201"/>
    </row>
    <row r="70" spans="1:8">
      <c r="A70" s="161" t="s">
        <v>230</v>
      </c>
      <c r="B70" s="157" t="str">
        <f t="shared" si="2"/>
        <v/>
      </c>
      <c r="C70" s="157" t="str">
        <f t="shared" si="3"/>
        <v/>
      </c>
      <c r="D70" s="157" t="str">
        <f t="shared" si="4"/>
        <v/>
      </c>
      <c r="E70" s="157" t="str">
        <f t="shared" si="5"/>
        <v/>
      </c>
      <c r="F70" s="157"/>
      <c r="G70" s="158"/>
      <c r="H70" s="201"/>
    </row>
    <row r="71" spans="1:8">
      <c r="A71" s="161" t="s">
        <v>231</v>
      </c>
      <c r="B71" s="157" t="str">
        <f t="shared" si="2"/>
        <v/>
      </c>
      <c r="C71" s="157" t="str">
        <f t="shared" si="3"/>
        <v/>
      </c>
      <c r="D71" s="157" t="str">
        <f t="shared" si="4"/>
        <v/>
      </c>
      <c r="E71" s="157" t="str">
        <f t="shared" si="5"/>
        <v/>
      </c>
      <c r="F71" s="157"/>
      <c r="G71" s="158"/>
      <c r="H71" s="201"/>
    </row>
    <row r="72" spans="1:8">
      <c r="A72" s="161" t="s">
        <v>232</v>
      </c>
      <c r="B72" s="157" t="str">
        <f t="shared" si="2"/>
        <v/>
      </c>
      <c r="C72" s="157" t="str">
        <f t="shared" si="3"/>
        <v/>
      </c>
      <c r="D72" s="157" t="str">
        <f t="shared" si="4"/>
        <v/>
      </c>
      <c r="E72" s="157" t="str">
        <f t="shared" si="5"/>
        <v/>
      </c>
      <c r="F72" s="157"/>
      <c r="G72" s="158"/>
      <c r="H72" s="201"/>
    </row>
    <row r="73" spans="1:8">
      <c r="A73" s="161" t="s">
        <v>233</v>
      </c>
      <c r="B73" s="157" t="str">
        <f t="shared" si="2"/>
        <v/>
      </c>
      <c r="C73" s="157" t="str">
        <f t="shared" si="3"/>
        <v/>
      </c>
      <c r="D73" s="157" t="str">
        <f t="shared" si="4"/>
        <v/>
      </c>
      <c r="E73" s="157" t="str">
        <f t="shared" si="5"/>
        <v/>
      </c>
      <c r="F73" s="157"/>
      <c r="G73" s="158"/>
      <c r="H73" s="201"/>
    </row>
    <row r="74" spans="1:8">
      <c r="A74" s="161" t="s">
        <v>234</v>
      </c>
      <c r="B74" s="157" t="str">
        <f t="shared" si="2"/>
        <v/>
      </c>
      <c r="C74" s="157" t="str">
        <f t="shared" si="3"/>
        <v/>
      </c>
      <c r="D74" s="157" t="str">
        <f t="shared" si="4"/>
        <v/>
      </c>
      <c r="E74" s="157" t="str">
        <f t="shared" si="5"/>
        <v/>
      </c>
      <c r="F74" s="157"/>
      <c r="G74" s="158"/>
      <c r="H74" s="201"/>
    </row>
    <row r="75" spans="1:8">
      <c r="A75" s="161" t="s">
        <v>235</v>
      </c>
      <c r="B75" s="157" t="str">
        <f t="shared" si="2"/>
        <v/>
      </c>
      <c r="C75" s="157" t="str">
        <f t="shared" si="3"/>
        <v/>
      </c>
      <c r="D75" s="157" t="str">
        <f t="shared" si="4"/>
        <v/>
      </c>
      <c r="E75" s="157" t="str">
        <f t="shared" si="5"/>
        <v/>
      </c>
      <c r="F75" s="157"/>
      <c r="G75" s="158"/>
      <c r="H75" s="201"/>
    </row>
    <row r="76" spans="1:8">
      <c r="A76" s="161" t="s">
        <v>236</v>
      </c>
      <c r="B76" s="157" t="str">
        <f t="shared" si="2"/>
        <v/>
      </c>
      <c r="C76" s="157" t="str">
        <f t="shared" si="3"/>
        <v/>
      </c>
      <c r="D76" s="157" t="str">
        <f t="shared" si="4"/>
        <v/>
      </c>
      <c r="E76" s="157" t="str">
        <f t="shared" si="5"/>
        <v/>
      </c>
      <c r="F76" s="157"/>
      <c r="G76" s="158"/>
      <c r="H76" s="201"/>
    </row>
    <row r="77" spans="1:8">
      <c r="A77" s="161" t="s">
        <v>237</v>
      </c>
      <c r="B77" s="157" t="str">
        <f t="shared" si="2"/>
        <v/>
      </c>
      <c r="C77" s="157" t="str">
        <f t="shared" si="3"/>
        <v/>
      </c>
      <c r="D77" s="157" t="str">
        <f t="shared" si="4"/>
        <v/>
      </c>
      <c r="E77" s="157" t="str">
        <f t="shared" si="5"/>
        <v/>
      </c>
      <c r="F77" s="157"/>
      <c r="G77" s="158"/>
      <c r="H77" s="201"/>
    </row>
    <row r="78" spans="1:8">
      <c r="A78" s="161" t="s">
        <v>238</v>
      </c>
      <c r="B78" s="157" t="str">
        <f t="shared" si="2"/>
        <v/>
      </c>
      <c r="C78" s="157" t="str">
        <f t="shared" si="3"/>
        <v/>
      </c>
      <c r="D78" s="157" t="str">
        <f t="shared" si="4"/>
        <v/>
      </c>
      <c r="E78" s="157" t="str">
        <f t="shared" si="5"/>
        <v/>
      </c>
      <c r="F78" s="157"/>
      <c r="G78" s="158"/>
      <c r="H78" s="201"/>
    </row>
    <row r="79" spans="1:8">
      <c r="A79" s="161" t="s">
        <v>239</v>
      </c>
      <c r="B79" s="157" t="str">
        <f t="shared" si="2"/>
        <v/>
      </c>
      <c r="C79" s="157" t="str">
        <f t="shared" si="3"/>
        <v/>
      </c>
      <c r="D79" s="157" t="str">
        <f t="shared" si="4"/>
        <v/>
      </c>
      <c r="E79" s="157" t="str">
        <f t="shared" si="5"/>
        <v/>
      </c>
      <c r="F79" s="157"/>
      <c r="G79" s="158"/>
      <c r="H79" s="201"/>
    </row>
    <row r="80" spans="1:8">
      <c r="A80" s="161" t="s">
        <v>240</v>
      </c>
      <c r="B80" s="157" t="str">
        <f t="shared" si="2"/>
        <v/>
      </c>
      <c r="C80" s="157" t="str">
        <f t="shared" si="3"/>
        <v/>
      </c>
      <c r="D80" s="157" t="str">
        <f t="shared" si="4"/>
        <v/>
      </c>
      <c r="E80" s="157" t="str">
        <f t="shared" si="5"/>
        <v/>
      </c>
      <c r="F80" s="157"/>
      <c r="G80" s="158"/>
      <c r="H80" s="201"/>
    </row>
    <row r="81" spans="1:8">
      <c r="A81" s="161" t="s">
        <v>241</v>
      </c>
      <c r="B81" s="157" t="str">
        <f t="shared" si="2"/>
        <v/>
      </c>
      <c r="C81" s="157" t="str">
        <f t="shared" si="3"/>
        <v/>
      </c>
      <c r="D81" s="157" t="str">
        <f t="shared" si="4"/>
        <v/>
      </c>
      <c r="E81" s="157" t="str">
        <f t="shared" si="5"/>
        <v/>
      </c>
      <c r="F81" s="157"/>
      <c r="G81" s="158"/>
      <c r="H81" s="201"/>
    </row>
    <row r="82" spans="1:8">
      <c r="A82" s="161" t="s">
        <v>242</v>
      </c>
      <c r="B82" s="157" t="str">
        <f t="shared" si="2"/>
        <v/>
      </c>
      <c r="C82" s="157" t="str">
        <f t="shared" si="3"/>
        <v/>
      </c>
      <c r="D82" s="157" t="str">
        <f t="shared" si="4"/>
        <v/>
      </c>
      <c r="E82" s="157" t="str">
        <f t="shared" si="5"/>
        <v/>
      </c>
      <c r="F82" s="157"/>
      <c r="G82" s="158"/>
      <c r="H82" s="201"/>
    </row>
    <row r="83" spans="1:8">
      <c r="A83" s="161" t="s">
        <v>243</v>
      </c>
      <c r="B83" s="157" t="str">
        <f t="shared" si="2"/>
        <v/>
      </c>
      <c r="C83" s="157" t="str">
        <f t="shared" si="3"/>
        <v/>
      </c>
      <c r="D83" s="157" t="str">
        <f t="shared" si="4"/>
        <v/>
      </c>
      <c r="E83" s="157" t="str">
        <f t="shared" si="5"/>
        <v/>
      </c>
      <c r="F83" s="157"/>
      <c r="G83" s="158"/>
      <c r="H83" s="201"/>
    </row>
    <row r="84" spans="1:8">
      <c r="A84" s="161" t="s">
        <v>244</v>
      </c>
      <c r="B84" s="157" t="str">
        <f t="shared" si="2"/>
        <v/>
      </c>
      <c r="C84" s="157" t="str">
        <f t="shared" si="3"/>
        <v/>
      </c>
      <c r="D84" s="157" t="str">
        <f t="shared" si="4"/>
        <v/>
      </c>
      <c r="E84" s="157" t="str">
        <f t="shared" si="5"/>
        <v/>
      </c>
      <c r="F84" s="157"/>
      <c r="G84" s="158"/>
      <c r="H84" s="201"/>
    </row>
    <row r="85" spans="1:8">
      <c r="A85" s="161" t="s">
        <v>245</v>
      </c>
      <c r="B85" s="157" t="str">
        <f t="shared" si="2"/>
        <v/>
      </c>
      <c r="C85" s="157" t="str">
        <f t="shared" si="3"/>
        <v/>
      </c>
      <c r="D85" s="157" t="str">
        <f t="shared" si="4"/>
        <v/>
      </c>
      <c r="E85" s="157" t="str">
        <f t="shared" si="5"/>
        <v/>
      </c>
      <c r="F85" s="157"/>
      <c r="G85" s="158"/>
      <c r="H85" s="201"/>
    </row>
    <row r="86" spans="1:8">
      <c r="A86" s="161" t="s">
        <v>246</v>
      </c>
      <c r="B86" s="157" t="str">
        <f t="shared" si="2"/>
        <v/>
      </c>
      <c r="C86" s="157" t="str">
        <f t="shared" si="3"/>
        <v/>
      </c>
      <c r="D86" s="157" t="str">
        <f t="shared" si="4"/>
        <v/>
      </c>
      <c r="E86" s="157" t="str">
        <f t="shared" si="5"/>
        <v/>
      </c>
      <c r="F86" s="157"/>
      <c r="G86" s="158"/>
      <c r="H86" s="201"/>
    </row>
    <row r="87" spans="1:8">
      <c r="A87" s="161" t="s">
        <v>248</v>
      </c>
      <c r="B87" s="157" t="str">
        <f t="shared" si="2"/>
        <v/>
      </c>
      <c r="C87" s="157" t="str">
        <f t="shared" si="3"/>
        <v/>
      </c>
      <c r="D87" s="157" t="str">
        <f t="shared" si="4"/>
        <v/>
      </c>
      <c r="E87" s="157" t="str">
        <f t="shared" si="5"/>
        <v/>
      </c>
      <c r="F87" s="157"/>
      <c r="G87" s="158"/>
      <c r="H87" s="201"/>
    </row>
    <row r="88" spans="1:8">
      <c r="A88" s="161" t="s">
        <v>249</v>
      </c>
      <c r="B88" s="157" t="str">
        <f t="shared" si="2"/>
        <v/>
      </c>
      <c r="C88" s="157" t="str">
        <f t="shared" si="3"/>
        <v/>
      </c>
      <c r="D88" s="157" t="str">
        <f t="shared" si="4"/>
        <v/>
      </c>
      <c r="E88" s="157" t="str">
        <f t="shared" si="5"/>
        <v/>
      </c>
      <c r="F88" s="157"/>
      <c r="G88" s="158"/>
      <c r="H88" s="201"/>
    </row>
    <row r="89" spans="1:8">
      <c r="A89" s="161" t="s">
        <v>250</v>
      </c>
      <c r="B89" s="157" t="str">
        <f t="shared" si="2"/>
        <v/>
      </c>
      <c r="C89" s="157" t="str">
        <f t="shared" si="3"/>
        <v/>
      </c>
      <c r="D89" s="157" t="str">
        <f t="shared" si="4"/>
        <v/>
      </c>
      <c r="E89" s="157" t="str">
        <f t="shared" si="5"/>
        <v/>
      </c>
      <c r="F89" s="157"/>
      <c r="G89" s="158"/>
      <c r="H89" s="201"/>
    </row>
    <row r="90" spans="1:8">
      <c r="A90" s="161" t="s">
        <v>252</v>
      </c>
      <c r="B90" s="157" t="str">
        <f t="shared" si="2"/>
        <v/>
      </c>
      <c r="C90" s="157" t="str">
        <f t="shared" si="3"/>
        <v/>
      </c>
      <c r="D90" s="157" t="str">
        <f t="shared" si="4"/>
        <v/>
      </c>
      <c r="E90" s="157" t="str">
        <f t="shared" si="5"/>
        <v/>
      </c>
      <c r="F90" s="157"/>
      <c r="G90" s="158"/>
      <c r="H90" s="201"/>
    </row>
    <row r="91" spans="1:8">
      <c r="A91" s="161"/>
      <c r="B91" s="157"/>
      <c r="C91" s="157"/>
      <c r="D91" s="157"/>
      <c r="E91" s="157" t="str">
        <f t="shared" si="5"/>
        <v/>
      </c>
      <c r="F91" s="157"/>
      <c r="G91" s="158"/>
      <c r="H91" s="201"/>
    </row>
    <row r="92" spans="1:8">
      <c r="A92" s="161" t="s">
        <v>254</v>
      </c>
      <c r="B92" s="157" t="str">
        <f t="shared" ref="B92:B121" si="6">IF(D13="","",D13)</f>
        <v/>
      </c>
      <c r="C92" s="157" t="str">
        <f t="shared" ref="C92:C121" si="7">IF(B92="","",E13)</f>
        <v/>
      </c>
      <c r="D92" s="157" t="str">
        <f t="shared" ref="D92:D121" si="8">IF(B92="","",AVERAGE(B92:C92))</f>
        <v/>
      </c>
      <c r="E92" s="157" t="str">
        <f t="shared" si="5"/>
        <v/>
      </c>
      <c r="F92" s="157"/>
      <c r="G92" s="158"/>
      <c r="H92" s="201"/>
    </row>
    <row r="93" spans="1:8">
      <c r="A93" s="161" t="s">
        <v>255</v>
      </c>
      <c r="B93" s="157" t="str">
        <f t="shared" si="6"/>
        <v/>
      </c>
      <c r="C93" s="157" t="str">
        <f t="shared" si="7"/>
        <v/>
      </c>
      <c r="D93" s="157" t="str">
        <f t="shared" si="8"/>
        <v/>
      </c>
      <c r="E93" s="157" t="str">
        <f t="shared" ref="E93:E121" si="9">IF(B93="","",ABS(B93-C93))</f>
        <v/>
      </c>
      <c r="F93" s="157"/>
      <c r="G93" s="158"/>
      <c r="H93" s="201"/>
    </row>
    <row r="94" spans="1:8">
      <c r="A94" s="161" t="s">
        <v>256</v>
      </c>
      <c r="B94" s="157" t="str">
        <f t="shared" si="6"/>
        <v/>
      </c>
      <c r="C94" s="157" t="str">
        <f t="shared" si="7"/>
        <v/>
      </c>
      <c r="D94" s="157" t="str">
        <f t="shared" si="8"/>
        <v/>
      </c>
      <c r="E94" s="157" t="str">
        <f t="shared" si="9"/>
        <v/>
      </c>
      <c r="F94" s="157"/>
      <c r="G94" s="158"/>
      <c r="H94" s="201"/>
    </row>
    <row r="95" spans="1:8">
      <c r="A95" s="161" t="s">
        <v>257</v>
      </c>
      <c r="B95" s="157" t="str">
        <f t="shared" si="6"/>
        <v/>
      </c>
      <c r="C95" s="157" t="str">
        <f t="shared" si="7"/>
        <v/>
      </c>
      <c r="D95" s="157" t="str">
        <f t="shared" si="8"/>
        <v/>
      </c>
      <c r="E95" s="157" t="str">
        <f t="shared" si="9"/>
        <v/>
      </c>
      <c r="F95" s="157"/>
      <c r="G95" s="158"/>
      <c r="H95" s="201"/>
    </row>
    <row r="96" spans="1:8">
      <c r="A96" s="161" t="s">
        <v>258</v>
      </c>
      <c r="B96" s="157" t="str">
        <f t="shared" si="6"/>
        <v/>
      </c>
      <c r="C96" s="157" t="str">
        <f t="shared" si="7"/>
        <v/>
      </c>
      <c r="D96" s="157" t="str">
        <f t="shared" si="8"/>
        <v/>
      </c>
      <c r="E96" s="157" t="str">
        <f t="shared" si="9"/>
        <v/>
      </c>
      <c r="F96" s="157"/>
      <c r="G96" s="158"/>
      <c r="H96" s="201"/>
    </row>
    <row r="97" spans="1:8">
      <c r="A97" s="161" t="s">
        <v>259</v>
      </c>
      <c r="B97" s="157" t="str">
        <f t="shared" si="6"/>
        <v/>
      </c>
      <c r="C97" s="157" t="str">
        <f t="shared" si="7"/>
        <v/>
      </c>
      <c r="D97" s="157" t="str">
        <f t="shared" si="8"/>
        <v/>
      </c>
      <c r="E97" s="157" t="str">
        <f t="shared" si="9"/>
        <v/>
      </c>
      <c r="F97" s="157"/>
      <c r="G97" s="158"/>
      <c r="H97" s="201"/>
    </row>
    <row r="98" spans="1:8">
      <c r="A98" s="161" t="s">
        <v>260</v>
      </c>
      <c r="B98" s="157" t="str">
        <f t="shared" si="6"/>
        <v/>
      </c>
      <c r="C98" s="157" t="str">
        <f t="shared" si="7"/>
        <v/>
      </c>
      <c r="D98" s="157" t="str">
        <f t="shared" si="8"/>
        <v/>
      </c>
      <c r="E98" s="157" t="str">
        <f t="shared" si="9"/>
        <v/>
      </c>
      <c r="F98" s="157"/>
      <c r="G98" s="158"/>
      <c r="H98" s="201"/>
    </row>
    <row r="99" spans="1:8">
      <c r="A99" s="161" t="s">
        <v>261</v>
      </c>
      <c r="B99" s="157" t="str">
        <f t="shared" si="6"/>
        <v/>
      </c>
      <c r="C99" s="157" t="str">
        <f t="shared" si="7"/>
        <v/>
      </c>
      <c r="D99" s="157" t="str">
        <f t="shared" si="8"/>
        <v/>
      </c>
      <c r="E99" s="157" t="str">
        <f t="shared" si="9"/>
        <v/>
      </c>
      <c r="F99" s="157"/>
      <c r="G99" s="158"/>
      <c r="H99" s="201"/>
    </row>
    <row r="100" spans="1:8">
      <c r="A100" s="161" t="s">
        <v>262</v>
      </c>
      <c r="B100" s="157" t="str">
        <f t="shared" si="6"/>
        <v/>
      </c>
      <c r="C100" s="157" t="str">
        <f t="shared" si="7"/>
        <v/>
      </c>
      <c r="D100" s="157" t="str">
        <f t="shared" si="8"/>
        <v/>
      </c>
      <c r="E100" s="157" t="str">
        <f t="shared" si="9"/>
        <v/>
      </c>
      <c r="F100" s="157"/>
      <c r="G100" s="158"/>
      <c r="H100" s="201"/>
    </row>
    <row r="101" spans="1:8">
      <c r="A101" s="161" t="s">
        <v>263</v>
      </c>
      <c r="B101" s="157" t="str">
        <f t="shared" si="6"/>
        <v/>
      </c>
      <c r="C101" s="157" t="str">
        <f t="shared" si="7"/>
        <v/>
      </c>
      <c r="D101" s="157" t="str">
        <f t="shared" si="8"/>
        <v/>
      </c>
      <c r="E101" s="157" t="str">
        <f t="shared" si="9"/>
        <v/>
      </c>
      <c r="F101" s="157"/>
      <c r="G101" s="158"/>
      <c r="H101" s="201"/>
    </row>
    <row r="102" spans="1:8">
      <c r="A102" s="161" t="s">
        <v>264</v>
      </c>
      <c r="B102" s="157" t="str">
        <f t="shared" si="6"/>
        <v/>
      </c>
      <c r="C102" s="157" t="str">
        <f t="shared" si="7"/>
        <v/>
      </c>
      <c r="D102" s="157" t="str">
        <f t="shared" si="8"/>
        <v/>
      </c>
      <c r="E102" s="157" t="str">
        <f t="shared" si="9"/>
        <v/>
      </c>
      <c r="F102" s="157"/>
      <c r="G102" s="158"/>
      <c r="H102" s="201"/>
    </row>
    <row r="103" spans="1:8">
      <c r="A103" s="161" t="s">
        <v>265</v>
      </c>
      <c r="B103" s="157" t="str">
        <f t="shared" si="6"/>
        <v/>
      </c>
      <c r="C103" s="157" t="str">
        <f t="shared" si="7"/>
        <v/>
      </c>
      <c r="D103" s="157" t="str">
        <f t="shared" si="8"/>
        <v/>
      </c>
      <c r="E103" s="157" t="str">
        <f t="shared" si="9"/>
        <v/>
      </c>
      <c r="F103" s="157"/>
      <c r="G103" s="158"/>
      <c r="H103" s="201"/>
    </row>
    <row r="104" spans="1:8">
      <c r="A104" s="161" t="s">
        <v>266</v>
      </c>
      <c r="B104" s="157" t="str">
        <f t="shared" si="6"/>
        <v/>
      </c>
      <c r="C104" s="157" t="str">
        <f t="shared" si="7"/>
        <v/>
      </c>
      <c r="D104" s="157" t="str">
        <f t="shared" si="8"/>
        <v/>
      </c>
      <c r="E104" s="157" t="str">
        <f t="shared" si="9"/>
        <v/>
      </c>
      <c r="F104" s="157"/>
      <c r="G104" s="158"/>
      <c r="H104" s="201"/>
    </row>
    <row r="105" spans="1:8">
      <c r="A105" s="161" t="s">
        <v>267</v>
      </c>
      <c r="B105" s="157" t="str">
        <f t="shared" si="6"/>
        <v/>
      </c>
      <c r="C105" s="157" t="str">
        <f t="shared" si="7"/>
        <v/>
      </c>
      <c r="D105" s="157" t="str">
        <f t="shared" si="8"/>
        <v/>
      </c>
      <c r="E105" s="157" t="str">
        <f t="shared" si="9"/>
        <v/>
      </c>
      <c r="F105" s="157"/>
      <c r="G105" s="158"/>
      <c r="H105" s="201"/>
    </row>
    <row r="106" spans="1:8">
      <c r="A106" s="161" t="s">
        <v>268</v>
      </c>
      <c r="B106" s="157" t="str">
        <f t="shared" si="6"/>
        <v/>
      </c>
      <c r="C106" s="157" t="str">
        <f t="shared" si="7"/>
        <v/>
      </c>
      <c r="D106" s="157" t="str">
        <f t="shared" si="8"/>
        <v/>
      </c>
      <c r="E106" s="157" t="str">
        <f t="shared" si="9"/>
        <v/>
      </c>
      <c r="F106" s="157"/>
      <c r="G106" s="158"/>
      <c r="H106" s="201"/>
    </row>
    <row r="107" spans="1:8">
      <c r="A107" s="161" t="s">
        <v>269</v>
      </c>
      <c r="B107" s="157" t="str">
        <f t="shared" si="6"/>
        <v/>
      </c>
      <c r="C107" s="157" t="str">
        <f t="shared" si="7"/>
        <v/>
      </c>
      <c r="D107" s="157" t="str">
        <f t="shared" si="8"/>
        <v/>
      </c>
      <c r="E107" s="157" t="str">
        <f t="shared" si="9"/>
        <v/>
      </c>
      <c r="F107" s="157"/>
      <c r="G107" s="158"/>
      <c r="H107" s="201"/>
    </row>
    <row r="108" spans="1:8">
      <c r="A108" s="161" t="s">
        <v>270</v>
      </c>
      <c r="B108" s="157" t="str">
        <f t="shared" si="6"/>
        <v/>
      </c>
      <c r="C108" s="157" t="str">
        <f t="shared" si="7"/>
        <v/>
      </c>
      <c r="D108" s="157" t="str">
        <f t="shared" si="8"/>
        <v/>
      </c>
      <c r="E108" s="157" t="str">
        <f t="shared" si="9"/>
        <v/>
      </c>
      <c r="F108" s="157"/>
      <c r="G108" s="158"/>
      <c r="H108" s="201"/>
    </row>
    <row r="109" spans="1:8">
      <c r="A109" s="161" t="s">
        <v>271</v>
      </c>
      <c r="B109" s="157" t="str">
        <f t="shared" si="6"/>
        <v/>
      </c>
      <c r="C109" s="157" t="str">
        <f t="shared" si="7"/>
        <v/>
      </c>
      <c r="D109" s="157" t="str">
        <f t="shared" si="8"/>
        <v/>
      </c>
      <c r="E109" s="157" t="str">
        <f t="shared" si="9"/>
        <v/>
      </c>
      <c r="F109" s="157"/>
      <c r="G109" s="158"/>
      <c r="H109" s="201"/>
    </row>
    <row r="110" spans="1:8">
      <c r="A110" s="161" t="s">
        <v>272</v>
      </c>
      <c r="B110" s="157" t="str">
        <f t="shared" si="6"/>
        <v/>
      </c>
      <c r="C110" s="157" t="str">
        <f t="shared" si="7"/>
        <v/>
      </c>
      <c r="D110" s="157" t="str">
        <f t="shared" si="8"/>
        <v/>
      </c>
      <c r="E110" s="157" t="str">
        <f t="shared" si="9"/>
        <v/>
      </c>
      <c r="F110" s="157"/>
      <c r="G110" s="158"/>
      <c r="H110" s="201"/>
    </row>
    <row r="111" spans="1:8">
      <c r="A111" s="161" t="s">
        <v>273</v>
      </c>
      <c r="B111" s="157" t="str">
        <f t="shared" si="6"/>
        <v/>
      </c>
      <c r="C111" s="157" t="str">
        <f t="shared" si="7"/>
        <v/>
      </c>
      <c r="D111" s="157" t="str">
        <f t="shared" si="8"/>
        <v/>
      </c>
      <c r="E111" s="157" t="str">
        <f t="shared" si="9"/>
        <v/>
      </c>
      <c r="F111" s="157"/>
      <c r="G111" s="158"/>
      <c r="H111" s="201"/>
    </row>
    <row r="112" spans="1:8">
      <c r="A112" s="161" t="s">
        <v>274</v>
      </c>
      <c r="B112" s="157" t="str">
        <f t="shared" si="6"/>
        <v/>
      </c>
      <c r="C112" s="157" t="str">
        <f t="shared" si="7"/>
        <v/>
      </c>
      <c r="D112" s="157" t="str">
        <f t="shared" si="8"/>
        <v/>
      </c>
      <c r="E112" s="157" t="str">
        <f t="shared" si="9"/>
        <v/>
      </c>
      <c r="F112" s="157"/>
      <c r="G112" s="158"/>
      <c r="H112" s="201"/>
    </row>
    <row r="113" spans="1:8">
      <c r="A113" s="161" t="s">
        <v>275</v>
      </c>
      <c r="B113" s="157" t="str">
        <f t="shared" si="6"/>
        <v/>
      </c>
      <c r="C113" s="157" t="str">
        <f t="shared" si="7"/>
        <v/>
      </c>
      <c r="D113" s="157" t="str">
        <f t="shared" si="8"/>
        <v/>
      </c>
      <c r="E113" s="157" t="str">
        <f t="shared" si="9"/>
        <v/>
      </c>
      <c r="F113" s="157"/>
      <c r="G113" s="158"/>
      <c r="H113" s="201"/>
    </row>
    <row r="114" spans="1:8">
      <c r="A114" s="161" t="s">
        <v>276</v>
      </c>
      <c r="B114" s="157" t="str">
        <f t="shared" si="6"/>
        <v/>
      </c>
      <c r="C114" s="157" t="str">
        <f t="shared" si="7"/>
        <v/>
      </c>
      <c r="D114" s="157" t="str">
        <f t="shared" si="8"/>
        <v/>
      </c>
      <c r="E114" s="157" t="str">
        <f t="shared" si="9"/>
        <v/>
      </c>
      <c r="F114" s="157"/>
      <c r="G114" s="158"/>
      <c r="H114" s="201"/>
    </row>
    <row r="115" spans="1:8">
      <c r="A115" s="161" t="s">
        <v>277</v>
      </c>
      <c r="B115" s="157" t="str">
        <f t="shared" si="6"/>
        <v/>
      </c>
      <c r="C115" s="157" t="str">
        <f t="shared" si="7"/>
        <v/>
      </c>
      <c r="D115" s="157" t="str">
        <f t="shared" si="8"/>
        <v/>
      </c>
      <c r="E115" s="157" t="str">
        <f t="shared" si="9"/>
        <v/>
      </c>
      <c r="F115" s="157"/>
      <c r="G115" s="158"/>
      <c r="H115" s="201"/>
    </row>
    <row r="116" spans="1:8">
      <c r="A116" s="161" t="s">
        <v>278</v>
      </c>
      <c r="B116" s="157" t="str">
        <f t="shared" si="6"/>
        <v/>
      </c>
      <c r="C116" s="157" t="str">
        <f t="shared" si="7"/>
        <v/>
      </c>
      <c r="D116" s="157" t="str">
        <f t="shared" si="8"/>
        <v/>
      </c>
      <c r="E116" s="157" t="str">
        <f t="shared" si="9"/>
        <v/>
      </c>
      <c r="F116" s="157"/>
      <c r="G116" s="158"/>
      <c r="H116" s="201"/>
    </row>
    <row r="117" spans="1:8">
      <c r="A117" s="161" t="s">
        <v>279</v>
      </c>
      <c r="B117" s="157" t="str">
        <f t="shared" si="6"/>
        <v/>
      </c>
      <c r="C117" s="157" t="str">
        <f t="shared" si="7"/>
        <v/>
      </c>
      <c r="D117" s="157" t="str">
        <f t="shared" si="8"/>
        <v/>
      </c>
      <c r="E117" s="157" t="str">
        <f t="shared" si="9"/>
        <v/>
      </c>
      <c r="F117" s="157"/>
      <c r="G117" s="158"/>
      <c r="H117" s="201"/>
    </row>
    <row r="118" spans="1:8">
      <c r="A118" s="161" t="s">
        <v>281</v>
      </c>
      <c r="B118" s="157" t="str">
        <f t="shared" si="6"/>
        <v/>
      </c>
      <c r="C118" s="157" t="str">
        <f t="shared" si="7"/>
        <v/>
      </c>
      <c r="D118" s="157" t="str">
        <f t="shared" si="8"/>
        <v/>
      </c>
      <c r="E118" s="157" t="str">
        <f t="shared" si="9"/>
        <v/>
      </c>
      <c r="F118" s="157"/>
      <c r="G118" s="158"/>
      <c r="H118" s="201"/>
    </row>
    <row r="119" spans="1:8">
      <c r="A119" s="161" t="s">
        <v>282</v>
      </c>
      <c r="B119" s="157" t="str">
        <f t="shared" si="6"/>
        <v/>
      </c>
      <c r="C119" s="157" t="str">
        <f t="shared" si="7"/>
        <v/>
      </c>
      <c r="D119" s="157" t="str">
        <f t="shared" si="8"/>
        <v/>
      </c>
      <c r="E119" s="157" t="str">
        <f t="shared" si="9"/>
        <v/>
      </c>
      <c r="F119" s="157"/>
      <c r="G119" s="158"/>
      <c r="H119" s="201"/>
    </row>
    <row r="120" spans="1:8">
      <c r="A120" s="161" t="s">
        <v>283</v>
      </c>
      <c r="B120" s="157" t="str">
        <f t="shared" si="6"/>
        <v/>
      </c>
      <c r="C120" s="157" t="str">
        <f t="shared" si="7"/>
        <v/>
      </c>
      <c r="D120" s="157" t="str">
        <f t="shared" si="8"/>
        <v/>
      </c>
      <c r="E120" s="157" t="str">
        <f t="shared" si="9"/>
        <v/>
      </c>
      <c r="F120" s="157"/>
      <c r="G120" s="158"/>
      <c r="H120" s="201"/>
    </row>
    <row r="121" spans="1:8">
      <c r="A121" s="161" t="s">
        <v>284</v>
      </c>
      <c r="B121" s="157" t="str">
        <f t="shared" si="6"/>
        <v/>
      </c>
      <c r="C121" s="157" t="str">
        <f t="shared" si="7"/>
        <v/>
      </c>
      <c r="D121" s="157" t="str">
        <f t="shared" si="8"/>
        <v/>
      </c>
      <c r="E121" s="157" t="str">
        <f t="shared" si="9"/>
        <v/>
      </c>
      <c r="F121" s="157"/>
      <c r="G121" s="158"/>
      <c r="H121" s="201"/>
    </row>
    <row r="122" spans="1:8">
      <c r="A122" s="164"/>
    </row>
    <row r="123" spans="1:8" ht="13.5" thickBot="1">
      <c r="A123" s="1475" t="s">
        <v>127</v>
      </c>
      <c r="B123" s="1475"/>
      <c r="C123" s="1475"/>
      <c r="D123" s="1475"/>
      <c r="E123" s="1475"/>
    </row>
    <row r="124" spans="1:8" ht="13.5" thickTop="1">
      <c r="A124" s="28">
        <f>(MAX(B61:C121)-MIN(B61:C121))/5</f>
        <v>0</v>
      </c>
      <c r="B124" s="29">
        <f>MIN(B61:C121)-A124</f>
        <v>0</v>
      </c>
      <c r="C124" s="29"/>
      <c r="D124" s="29">
        <f t="shared" ref="D124:D131" si="10">B124</f>
        <v>0</v>
      </c>
      <c r="E124" s="29"/>
    </row>
    <row r="125" spans="1:8">
      <c r="A125" s="29"/>
      <c r="B125" s="29">
        <f t="shared" ref="B125:B131" si="11">B124+$A$124</f>
        <v>0</v>
      </c>
      <c r="C125" s="29"/>
      <c r="D125" s="29">
        <f t="shared" si="10"/>
        <v>0</v>
      </c>
      <c r="E125" s="29"/>
    </row>
    <row r="126" spans="1:8">
      <c r="A126" s="29"/>
      <c r="B126" s="29">
        <f t="shared" si="11"/>
        <v>0</v>
      </c>
      <c r="C126" s="29"/>
      <c r="D126" s="29">
        <f t="shared" si="10"/>
        <v>0</v>
      </c>
      <c r="E126" s="29"/>
    </row>
    <row r="127" spans="1:8">
      <c r="A127" s="29"/>
      <c r="B127" s="29">
        <f t="shared" si="11"/>
        <v>0</v>
      </c>
      <c r="C127" s="29"/>
      <c r="D127" s="29">
        <f t="shared" si="10"/>
        <v>0</v>
      </c>
      <c r="E127" s="29"/>
    </row>
    <row r="128" spans="1:8">
      <c r="A128" s="29"/>
      <c r="B128" s="29">
        <f t="shared" si="11"/>
        <v>0</v>
      </c>
      <c r="C128" s="29"/>
      <c r="D128" s="29">
        <f t="shared" si="10"/>
        <v>0</v>
      </c>
      <c r="E128" s="29"/>
    </row>
    <row r="129" spans="1:6">
      <c r="A129" s="29"/>
      <c r="B129" s="29">
        <f t="shared" si="11"/>
        <v>0</v>
      </c>
      <c r="C129" s="29"/>
      <c r="D129" s="29">
        <f t="shared" si="10"/>
        <v>0</v>
      </c>
      <c r="E129" s="29"/>
    </row>
    <row r="130" spans="1:6">
      <c r="A130" s="29"/>
      <c r="B130" s="29">
        <f t="shared" si="11"/>
        <v>0</v>
      </c>
      <c r="C130" s="29"/>
      <c r="D130" s="29">
        <f t="shared" si="10"/>
        <v>0</v>
      </c>
      <c r="E130" s="29"/>
    </row>
    <row r="131" spans="1:6">
      <c r="A131" s="30"/>
      <c r="B131" s="29">
        <f t="shared" si="11"/>
        <v>0</v>
      </c>
      <c r="C131" s="30"/>
      <c r="D131" s="29">
        <f t="shared" si="10"/>
        <v>0</v>
      </c>
      <c r="E131" s="30"/>
    </row>
    <row r="132" spans="1:6">
      <c r="A132" s="92"/>
      <c r="B132" s="92"/>
      <c r="C132" s="202"/>
      <c r="D132" s="92"/>
      <c r="E132" s="202"/>
    </row>
    <row r="133" spans="1:6" ht="14.25">
      <c r="A133" s="165" t="s">
        <v>347</v>
      </c>
      <c r="B133" s="166"/>
      <c r="C133" s="166"/>
      <c r="D133" s="166"/>
      <c r="E133" s="166"/>
      <c r="F133" s="166"/>
    </row>
    <row r="134" spans="1:6">
      <c r="A134" s="166"/>
      <c r="B134" s="166"/>
      <c r="C134" s="166"/>
      <c r="D134" s="166"/>
      <c r="E134" s="166"/>
      <c r="F134" s="166"/>
    </row>
    <row r="135" spans="1:6">
      <c r="A135" s="166"/>
      <c r="B135" s="166" t="s">
        <v>352</v>
      </c>
      <c r="C135" s="166" t="s">
        <v>353</v>
      </c>
      <c r="D135" s="166" t="s">
        <v>354</v>
      </c>
      <c r="E135" s="166"/>
      <c r="F135" s="166"/>
    </row>
    <row r="136" spans="1:6">
      <c r="A136" s="171">
        <f>D5</f>
        <v>0</v>
      </c>
      <c r="B136" s="166" t="e">
        <f>C44</f>
        <v>#DIV/0!</v>
      </c>
      <c r="C136" s="166" t="e">
        <f>$B$138</f>
        <v>#DIV/0!</v>
      </c>
      <c r="D136" s="166" t="e">
        <f>$B$139</f>
        <v>#DIV/0!</v>
      </c>
      <c r="E136" s="166"/>
      <c r="F136" s="166"/>
    </row>
    <row r="137" spans="1:6">
      <c r="A137" s="171">
        <f>G5</f>
        <v>0</v>
      </c>
      <c r="B137" s="166" t="e">
        <f>E44</f>
        <v>#DIV/0!</v>
      </c>
      <c r="C137" s="166" t="e">
        <f>$B$138</f>
        <v>#DIV/0!</v>
      </c>
      <c r="D137" s="166" t="e">
        <f>$B$139</f>
        <v>#DIV/0!</v>
      </c>
      <c r="E137" s="166"/>
      <c r="F137" s="166"/>
    </row>
    <row r="138" spans="1:6">
      <c r="A138" s="166" t="s">
        <v>353</v>
      </c>
      <c r="B138" s="166" t="e">
        <f>AVERAGE(B136:B137)</f>
        <v>#DIV/0!</v>
      </c>
      <c r="C138" s="166"/>
      <c r="D138" s="166"/>
      <c r="E138" s="166"/>
      <c r="F138" s="166"/>
    </row>
    <row r="139" spans="1:6">
      <c r="A139" s="166" t="s">
        <v>354</v>
      </c>
      <c r="B139" s="166" t="e">
        <f>3.27*B138</f>
        <v>#DIV/0!</v>
      </c>
      <c r="C139" s="166"/>
      <c r="D139" s="166"/>
      <c r="E139" s="166"/>
      <c r="F139" s="166"/>
    </row>
    <row r="140" spans="1:6">
      <c r="A140" s="203" t="e">
        <f>IF(OR(B136&gt;D136,B137&gt;D137),"measurement variation is NOT stable","Measurement variation is stable")</f>
        <v>#DIV/0!</v>
      </c>
      <c r="B140" s="166"/>
      <c r="C140" s="166"/>
      <c r="D140" s="166"/>
      <c r="E140" s="166"/>
      <c r="F140" s="166"/>
    </row>
    <row r="141" spans="1:6">
      <c r="A141" s="204"/>
      <c r="B141" s="189"/>
      <c r="C141" s="189"/>
      <c r="D141" s="189"/>
      <c r="E141" s="189"/>
      <c r="F141" s="189"/>
    </row>
    <row r="142" spans="1:6">
      <c r="A142" t="s">
        <v>367</v>
      </c>
    </row>
    <row r="143" spans="1:6">
      <c r="A143" t="s">
        <v>368</v>
      </c>
    </row>
    <row r="144" spans="1:6">
      <c r="A144" s="164"/>
    </row>
    <row r="145" spans="1:11">
      <c r="A145" s="164"/>
      <c r="K145" s="183"/>
    </row>
    <row r="146" spans="1:11">
      <c r="A146" s="164"/>
    </row>
    <row r="147" spans="1:11">
      <c r="A147" s="164"/>
    </row>
    <row r="148" spans="1:11">
      <c r="A148" s="164"/>
    </row>
    <row r="149" spans="1:11">
      <c r="A149" s="164"/>
    </row>
    <row r="150" spans="1:11">
      <c r="A150" s="164"/>
    </row>
    <row r="151" spans="1:11">
      <c r="A151" s="164"/>
    </row>
    <row r="152" spans="1:11">
      <c r="A152" s="164"/>
    </row>
    <row r="153" spans="1:11">
      <c r="A153" s="164"/>
    </row>
    <row r="154" spans="1:11">
      <c r="A154" s="164"/>
    </row>
    <row r="155" spans="1:11">
      <c r="A155" s="164"/>
    </row>
    <row r="156" spans="1:11">
      <c r="A156" s="164"/>
    </row>
    <row r="157" spans="1:11">
      <c r="A157" s="164"/>
    </row>
    <row r="158" spans="1:11">
      <c r="A158" s="164"/>
    </row>
    <row r="159" spans="1:11">
      <c r="A159" s="164"/>
    </row>
    <row r="160" spans="1:11">
      <c r="A160" s="164"/>
    </row>
    <row r="161" spans="1:1">
      <c r="A161" s="164"/>
    </row>
    <row r="162" spans="1:1">
      <c r="A162" s="164"/>
    </row>
    <row r="163" spans="1:1">
      <c r="A163" s="164"/>
    </row>
    <row r="164" spans="1:1">
      <c r="A164" s="164"/>
    </row>
    <row r="165" spans="1:1">
      <c r="A165" s="164"/>
    </row>
    <row r="166" spans="1:1">
      <c r="A166" s="164"/>
    </row>
    <row r="167" spans="1:1">
      <c r="A167" s="164"/>
    </row>
    <row r="168" spans="1:1">
      <c r="A168" s="164"/>
    </row>
    <row r="169" spans="1:1">
      <c r="A169" s="164"/>
    </row>
    <row r="170" spans="1:1">
      <c r="A170" s="164"/>
    </row>
    <row r="171" spans="1:1">
      <c r="A171" s="164"/>
    </row>
    <row r="172" spans="1:1">
      <c r="A172" s="164"/>
    </row>
    <row r="173" spans="1:1">
      <c r="A173" s="164"/>
    </row>
    <row r="174" spans="1:1">
      <c r="A174" s="164"/>
    </row>
    <row r="175" spans="1:1">
      <c r="A175" s="164"/>
    </row>
    <row r="176" spans="1:1">
      <c r="A176" s="164"/>
    </row>
    <row r="177" spans="1:1">
      <c r="A177" s="164"/>
    </row>
    <row r="178" spans="1:1">
      <c r="A178" s="164"/>
    </row>
    <row r="179" spans="1:1">
      <c r="A179" s="164"/>
    </row>
    <row r="180" spans="1:1">
      <c r="A180" s="164"/>
    </row>
    <row r="181" spans="1:1">
      <c r="A181" s="164"/>
    </row>
    <row r="182" spans="1:1">
      <c r="A182" s="164"/>
    </row>
    <row r="183" spans="1:1">
      <c r="A183" s="164"/>
    </row>
    <row r="184" spans="1:1">
      <c r="A184" s="164"/>
    </row>
    <row r="185" spans="1:1">
      <c r="A185" s="164"/>
    </row>
    <row r="186" spans="1:1">
      <c r="A186" s="164"/>
    </row>
    <row r="187" spans="1:1">
      <c r="A187" s="164"/>
    </row>
    <row r="188" spans="1:1">
      <c r="A188" s="164"/>
    </row>
    <row r="189" spans="1:1">
      <c r="A189" s="164"/>
    </row>
    <row r="190" spans="1:1">
      <c r="A190" s="164"/>
    </row>
    <row r="191" spans="1:1">
      <c r="A191" s="164"/>
    </row>
    <row r="192" spans="1:1">
      <c r="A192" s="164"/>
    </row>
    <row r="193" spans="1:1">
      <c r="A193" s="164"/>
    </row>
    <row r="194" spans="1:1">
      <c r="A194" s="164"/>
    </row>
    <row r="195" spans="1:1">
      <c r="A195" s="164"/>
    </row>
    <row r="196" spans="1:1">
      <c r="A196" s="164"/>
    </row>
    <row r="197" spans="1:1">
      <c r="A197" s="164"/>
    </row>
    <row r="198" spans="1:1">
      <c r="A198" s="164"/>
    </row>
    <row r="199" spans="1:1">
      <c r="A199" s="164"/>
    </row>
    <row r="200" spans="1:1">
      <c r="A200" s="164"/>
    </row>
    <row r="201" spans="1:1">
      <c r="A201" s="164"/>
    </row>
    <row r="202" spans="1:1">
      <c r="A202" s="164"/>
    </row>
    <row r="203" spans="1:1">
      <c r="A203" s="164"/>
    </row>
    <row r="204" spans="1:1">
      <c r="A204" s="164"/>
    </row>
    <row r="205" spans="1:1">
      <c r="A205" s="164"/>
    </row>
    <row r="206" spans="1:1">
      <c r="A206" s="164"/>
    </row>
    <row r="207" spans="1:1">
      <c r="A207" s="164"/>
    </row>
    <row r="208" spans="1:1">
      <c r="A208" s="164"/>
    </row>
    <row r="209" spans="1:1">
      <c r="A209" s="164"/>
    </row>
    <row r="210" spans="1:1">
      <c r="A210" s="164"/>
    </row>
    <row r="211" spans="1:1">
      <c r="A211" s="164"/>
    </row>
    <row r="212" spans="1:1">
      <c r="A212" s="164"/>
    </row>
    <row r="213" spans="1:1">
      <c r="A213" s="164"/>
    </row>
    <row r="214" spans="1:1">
      <c r="A214" s="164"/>
    </row>
    <row r="215" spans="1:1">
      <c r="A215" s="164"/>
    </row>
    <row r="216" spans="1:1">
      <c r="A216" s="164"/>
    </row>
    <row r="217" spans="1:1">
      <c r="A217" s="164"/>
    </row>
    <row r="218" spans="1:1">
      <c r="A218" s="164"/>
    </row>
    <row r="219" spans="1:1">
      <c r="A219" s="164"/>
    </row>
    <row r="220" spans="1:1">
      <c r="A220" s="164"/>
    </row>
    <row r="221" spans="1:1">
      <c r="A221" s="164"/>
    </row>
    <row r="222" spans="1:1">
      <c r="A222" s="164"/>
    </row>
    <row r="223" spans="1:1">
      <c r="A223" s="164"/>
    </row>
    <row r="224" spans="1:1">
      <c r="A224" s="164"/>
    </row>
    <row r="225" spans="1:1">
      <c r="A225" s="164"/>
    </row>
    <row r="226" spans="1:1">
      <c r="A226" s="164"/>
    </row>
    <row r="227" spans="1:1">
      <c r="A227" s="164"/>
    </row>
    <row r="228" spans="1:1">
      <c r="A228" s="164"/>
    </row>
    <row r="229" spans="1:1">
      <c r="A229" s="164"/>
    </row>
    <row r="230" spans="1:1">
      <c r="A230" s="164"/>
    </row>
    <row r="231" spans="1:1">
      <c r="A231" s="164"/>
    </row>
    <row r="232" spans="1:1">
      <c r="A232" s="164"/>
    </row>
    <row r="233" spans="1:1">
      <c r="A233" s="164"/>
    </row>
    <row r="234" spans="1:1">
      <c r="A234" s="164"/>
    </row>
    <row r="235" spans="1:1">
      <c r="A235" s="164"/>
    </row>
    <row r="236" spans="1:1">
      <c r="A236" s="164"/>
    </row>
    <row r="237" spans="1:1">
      <c r="A237" s="164"/>
    </row>
    <row r="238" spans="1:1">
      <c r="A238" s="164"/>
    </row>
    <row r="239" spans="1:1">
      <c r="A239" s="164"/>
    </row>
    <row r="240" spans="1:1">
      <c r="A240" s="164"/>
    </row>
    <row r="241" spans="1:1">
      <c r="A241" s="164"/>
    </row>
    <row r="242" spans="1:1">
      <c r="A242" s="164"/>
    </row>
    <row r="243" spans="1:1">
      <c r="A243" s="164"/>
    </row>
    <row r="244" spans="1:1">
      <c r="A244" s="164"/>
    </row>
    <row r="245" spans="1:1">
      <c r="A245" s="164"/>
    </row>
    <row r="246" spans="1:1">
      <c r="A246" s="164"/>
    </row>
    <row r="247" spans="1:1">
      <c r="A247" s="164"/>
    </row>
    <row r="248" spans="1:1">
      <c r="A248" s="164"/>
    </row>
    <row r="249" spans="1:1">
      <c r="A249" s="164"/>
    </row>
    <row r="250" spans="1:1">
      <c r="A250" s="164"/>
    </row>
    <row r="251" spans="1:1">
      <c r="A251" s="164"/>
    </row>
    <row r="252" spans="1:1">
      <c r="A252" s="164"/>
    </row>
    <row r="253" spans="1:1">
      <c r="A253" s="164"/>
    </row>
  </sheetData>
  <sheetProtection password="CC08" sheet="1" scenarios="1"/>
  <protectedRanges>
    <protectedRange sqref="D3:I8 B13:E42" name="Range1"/>
  </protectedRanges>
  <mergeCells count="9">
    <mergeCell ref="A123:E123"/>
    <mergeCell ref="N6:P6"/>
    <mergeCell ref="W6:Y6"/>
    <mergeCell ref="A49:B49"/>
    <mergeCell ref="D49:E49"/>
    <mergeCell ref="G49:H49"/>
    <mergeCell ref="Y33:Z33"/>
    <mergeCell ref="N41:O41"/>
    <mergeCell ref="Q41:R41"/>
  </mergeCells>
  <phoneticPr fontId="5" type="noConversion"/>
  <printOptions horizontalCentered="1"/>
  <pageMargins left="0.75" right="0.75" top="1" bottom="1" header="0.5" footer="0.5"/>
  <pageSetup orientation="portrait" horizontalDpi="4294967292" r:id="rId1"/>
  <headerFooter alignWithMargins="0">
    <oddFooter>&amp;CPage &amp;P of &amp;N</oddFooter>
  </headerFooter>
  <drawing r:id="rId2"/>
  <legacyDrawing r:id="rId3"/>
  <controls>
    <control shapeId="15364" r:id="rId4" name="MainMenu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Z59"/>
  <sheetViews>
    <sheetView showGridLines="0" zoomScale="75" zoomScaleNormal="75" workbookViewId="0">
      <selection activeCell="X5" sqref="X5"/>
    </sheetView>
  </sheetViews>
  <sheetFormatPr defaultRowHeight="12.75"/>
  <cols>
    <col min="1" max="1" width="11.7109375" style="1" customWidth="1"/>
    <col min="2" max="2" width="11" style="1" bestFit="1" customWidth="1"/>
    <col min="3" max="3" width="9.5703125" style="1" bestFit="1" customWidth="1"/>
    <col min="4" max="4" width="9.28515625" style="1" customWidth="1"/>
    <col min="5" max="7" width="9.28515625" style="1" bestFit="1" customWidth="1"/>
    <col min="8" max="12" width="7.5703125" style="1" customWidth="1"/>
    <col min="13" max="13" width="1.7109375" style="1" customWidth="1"/>
    <col min="14" max="18" width="7.5703125" style="1" customWidth="1"/>
    <col min="19" max="19" width="1.7109375" style="1" customWidth="1"/>
    <col min="20" max="24" width="7.5703125" style="1" customWidth="1"/>
    <col min="25" max="16384" width="9.140625" style="1"/>
  </cols>
  <sheetData>
    <row r="1" spans="1:26">
      <c r="A1" s="33" t="s">
        <v>152</v>
      </c>
      <c r="B1" s="16"/>
      <c r="C1" s="16"/>
      <c r="D1" s="16"/>
      <c r="E1" s="27" t="s">
        <v>129</v>
      </c>
      <c r="F1" s="1477"/>
      <c r="G1" s="1478"/>
      <c r="H1" s="1479"/>
      <c r="I1" s="16"/>
      <c r="J1" s="16"/>
      <c r="K1" s="16" t="str">
        <f>""</f>
        <v/>
      </c>
      <c r="O1" s="31" t="str">
        <f>IF(F1="","",F1)</f>
        <v/>
      </c>
      <c r="P1"/>
    </row>
    <row r="2" spans="1:26">
      <c r="A2" s="16"/>
      <c r="B2" s="16"/>
      <c r="C2" s="16"/>
      <c r="D2" s="16"/>
      <c r="E2" s="27" t="s">
        <v>128</v>
      </c>
      <c r="F2" s="1477"/>
      <c r="G2" s="1478"/>
      <c r="H2" s="1479"/>
      <c r="I2" s="16"/>
      <c r="J2" s="16"/>
      <c r="K2" s="16" t="str">
        <f>""</f>
        <v/>
      </c>
      <c r="O2" s="31" t="str">
        <f>IF(F2="","",F2)</f>
        <v/>
      </c>
      <c r="P2"/>
    </row>
    <row r="3" spans="1:26" ht="13.5">
      <c r="A3" s="16" t="s">
        <v>136</v>
      </c>
      <c r="B3" s="16"/>
      <c r="C3" s="16"/>
      <c r="D3" s="16"/>
      <c r="E3" s="27" t="s">
        <v>137</v>
      </c>
      <c r="F3" s="90"/>
      <c r="G3" s="91"/>
      <c r="H3" s="78"/>
      <c r="I3" s="16"/>
      <c r="J3" s="16"/>
      <c r="K3" s="16" t="str">
        <f>""</f>
        <v/>
      </c>
      <c r="O3" s="31" t="str">
        <f>IF(F3="","",F3&amp;":  "&amp;H3)</f>
        <v/>
      </c>
      <c r="P3"/>
    </row>
    <row r="4" spans="1:26">
      <c r="A4" s="88" t="s">
        <v>154</v>
      </c>
      <c r="B4" s="79"/>
      <c r="C4" s="16"/>
      <c r="D4" s="25"/>
      <c r="E4" s="27" t="s">
        <v>130</v>
      </c>
      <c r="F4" s="1480"/>
      <c r="G4" s="1481"/>
      <c r="H4" s="1482"/>
      <c r="I4" s="16"/>
      <c r="J4" s="16"/>
      <c r="K4" s="16" t="str">
        <f>""</f>
        <v/>
      </c>
      <c r="L4"/>
      <c r="M4"/>
      <c r="N4" s="1476" t="str">
        <f>IF(F4="","",F4)</f>
        <v/>
      </c>
      <c r="O4" s="1476"/>
      <c r="P4" s="1476"/>
      <c r="S4"/>
      <c r="T4"/>
      <c r="U4"/>
      <c r="V4"/>
      <c r="W4"/>
      <c r="X4"/>
      <c r="Y4"/>
    </row>
    <row r="5" spans="1:26">
      <c r="A5" s="88" t="s">
        <v>155</v>
      </c>
      <c r="B5" s="79"/>
      <c r="C5"/>
      <c r="D5" s="16"/>
      <c r="E5" s="27" t="s">
        <v>409</v>
      </c>
      <c r="F5" s="1483"/>
      <c r="G5" s="1484"/>
      <c r="H5" s="1485"/>
      <c r="I5" s="16"/>
      <c r="J5" s="16"/>
      <c r="K5" s="16" t="str">
        <f>""</f>
        <v/>
      </c>
      <c r="L5"/>
      <c r="M5"/>
      <c r="N5"/>
      <c r="O5" s="80"/>
      <c r="P5"/>
      <c r="R5"/>
      <c r="S5"/>
      <c r="T5"/>
      <c r="U5"/>
      <c r="V5"/>
      <c r="W5"/>
      <c r="X5"/>
      <c r="Y5"/>
    </row>
    <row r="6" spans="1:26" ht="12.75" customHeight="1" thickBot="1">
      <c r="A6" s="16"/>
      <c r="B6" s="16"/>
      <c r="C6" s="16"/>
      <c r="D6"/>
      <c r="E6" s="27" t="s">
        <v>410</v>
      </c>
      <c r="F6" s="1483"/>
      <c r="G6" s="1484"/>
      <c r="H6" s="1485"/>
      <c r="I6" s="16"/>
      <c r="J6" s="16"/>
      <c r="K6" s="16" t="str">
        <f>""</f>
        <v/>
      </c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26" ht="13.5" thickBot="1">
      <c r="A7" s="32" t="s">
        <v>411</v>
      </c>
      <c r="C7" s="205">
        <v>30</v>
      </c>
      <c r="D7" s="17"/>
      <c r="E7" s="16"/>
      <c r="F7" s="219"/>
      <c r="G7" s="16"/>
      <c r="H7" s="16"/>
      <c r="I7" s="16"/>
      <c r="J7" s="16"/>
      <c r="K7" s="16" t="str">
        <f>""</f>
        <v/>
      </c>
      <c r="S7" s="2"/>
      <c r="T7" s="2"/>
      <c r="U7" s="2"/>
      <c r="V7" s="2"/>
      <c r="W7" s="2"/>
    </row>
    <row r="8" spans="1:26" ht="13.5" thickBot="1">
      <c r="A8" s="16" t="s">
        <v>412</v>
      </c>
      <c r="B8" s="16"/>
      <c r="C8" s="206">
        <f>COUNT(A12:A43)</f>
        <v>30</v>
      </c>
      <c r="E8" s="16"/>
      <c r="G8" s="16"/>
      <c r="H8" s="16"/>
      <c r="I8" s="16"/>
      <c r="J8" s="16"/>
      <c r="K8" s="16" t="str">
        <f>""</f>
        <v/>
      </c>
      <c r="S8" s="2"/>
      <c r="T8" s="2"/>
      <c r="U8" s="2"/>
      <c r="V8" s="2"/>
      <c r="W8" s="2"/>
    </row>
    <row r="9" spans="1:26">
      <c r="D9" s="17"/>
      <c r="E9" s="16"/>
      <c r="F9" s="81"/>
      <c r="G9" s="16"/>
      <c r="H9" s="1492" t="s">
        <v>413</v>
      </c>
      <c r="I9" s="1493"/>
      <c r="J9" s="1493"/>
      <c r="K9" s="1493"/>
      <c r="L9" s="1493"/>
      <c r="M9" s="1493"/>
      <c r="N9" s="1493"/>
      <c r="O9" s="1493"/>
      <c r="P9" s="1493"/>
      <c r="Q9" s="1493"/>
      <c r="R9" s="1493"/>
      <c r="S9" s="1493"/>
      <c r="T9" s="1493"/>
      <c r="U9" s="1493"/>
      <c r="V9" s="1493"/>
      <c r="W9" s="1493"/>
      <c r="X9" s="1494"/>
    </row>
    <row r="10" spans="1:26">
      <c r="B10" s="207" t="s">
        <v>414</v>
      </c>
      <c r="C10" s="208"/>
      <c r="D10" s="209"/>
      <c r="E10" s="207" t="s">
        <v>415</v>
      </c>
      <c r="F10" s="208"/>
      <c r="G10" s="16"/>
      <c r="H10" s="1489" t="s">
        <v>416</v>
      </c>
      <c r="I10" s="1490"/>
      <c r="J10" s="1490"/>
      <c r="K10" s="1490"/>
      <c r="L10" s="1491"/>
      <c r="M10" s="16"/>
      <c r="N10" s="1489" t="s">
        <v>417</v>
      </c>
      <c r="O10" s="1490"/>
      <c r="P10" s="1490"/>
      <c r="Q10" s="1490"/>
      <c r="R10" s="1491"/>
      <c r="T10" s="1489" t="s">
        <v>418</v>
      </c>
      <c r="U10" s="1490"/>
      <c r="V10" s="1490"/>
      <c r="W10" s="1490"/>
      <c r="X10" s="1491"/>
      <c r="Y10" s="2"/>
    </row>
    <row r="11" spans="1:26">
      <c r="A11" s="20" t="s">
        <v>113</v>
      </c>
      <c r="B11" s="21" t="s">
        <v>114</v>
      </c>
      <c r="C11" s="21" t="s">
        <v>115</v>
      </c>
      <c r="D11" s="210"/>
      <c r="E11" s="21" t="s">
        <v>114</v>
      </c>
      <c r="F11" s="21" t="s">
        <v>115</v>
      </c>
      <c r="G11" s="16"/>
      <c r="H11" s="36" t="s">
        <v>419</v>
      </c>
      <c r="I11" s="36" t="s">
        <v>420</v>
      </c>
      <c r="J11" s="36" t="s">
        <v>421</v>
      </c>
      <c r="K11" s="36" t="s">
        <v>350</v>
      </c>
      <c r="L11" s="36" t="s">
        <v>351</v>
      </c>
      <c r="M11" s="16"/>
      <c r="N11" s="36" t="s">
        <v>419</v>
      </c>
      <c r="O11" s="36" t="s">
        <v>420</v>
      </c>
      <c r="P11" s="36" t="s">
        <v>421</v>
      </c>
      <c r="Q11" s="36" t="s">
        <v>350</v>
      </c>
      <c r="R11" s="36" t="s">
        <v>351</v>
      </c>
      <c r="T11" s="36" t="s">
        <v>419</v>
      </c>
      <c r="U11" s="36" t="s">
        <v>420</v>
      </c>
      <c r="V11" s="36" t="s">
        <v>421</v>
      </c>
      <c r="W11" s="36" t="s">
        <v>350</v>
      </c>
      <c r="X11" s="36" t="s">
        <v>351</v>
      </c>
      <c r="Y11" s="2"/>
    </row>
    <row r="12" spans="1:26">
      <c r="A12" s="211">
        <v>1</v>
      </c>
      <c r="B12" s="212"/>
      <c r="C12" s="213"/>
      <c r="D12" s="214"/>
      <c r="E12" s="212"/>
      <c r="F12" s="213"/>
      <c r="H12" s="215" t="str">
        <f>IF(C12="","",AVERAGE(B12:C12))</f>
        <v/>
      </c>
      <c r="I12" s="216" t="str">
        <f>IF(C12="", "", C12-B12)</f>
        <v/>
      </c>
      <c r="J12" s="217" t="str">
        <f>IF(C12="","",AVERAGE(I12:I41))</f>
        <v/>
      </c>
      <c r="K12" s="217" t="str">
        <f>IF(C12="", "", J12+2*STDEV(I12:I41))</f>
        <v/>
      </c>
      <c r="L12" s="217" t="str">
        <f>IF(C12="", "", J12-2*STDEV(I12:I41))</f>
        <v/>
      </c>
      <c r="M12" s="16"/>
      <c r="N12" s="215" t="str">
        <f>IF(F12="","",AVERAGE(E12:F12))</f>
        <v/>
      </c>
      <c r="O12" s="216" t="str">
        <f>IF(F12="", "", F12-E12)</f>
        <v/>
      </c>
      <c r="P12" s="217" t="str">
        <f>IF(F12="","",AVERAGE(O12:O41))</f>
        <v/>
      </c>
      <c r="Q12" s="217" t="str">
        <f>IF(F12="", "", P12+2*STDEV(O12:O41))</f>
        <v/>
      </c>
      <c r="R12" s="217" t="str">
        <f>IF(F12="", "", P12-2*STDEV(O12:O41))</f>
        <v/>
      </c>
      <c r="T12" s="215" t="str">
        <f>IF(E12="","",AVERAGE(B12,E12))</f>
        <v/>
      </c>
      <c r="U12" s="216" t="str">
        <f>IF(E12="", "", E12-B12)</f>
        <v/>
      </c>
      <c r="V12" s="217" t="str">
        <f>IF(E12="","",AVERAGE(U12:U41))</f>
        <v/>
      </c>
      <c r="W12" s="217" t="str">
        <f>IF(E12="", "", V12+2*STDEV(U12:U41))</f>
        <v/>
      </c>
      <c r="X12" s="217" t="str">
        <f>IF(E12="", "", V12-2*STDEV(U12:U41))</f>
        <v/>
      </c>
    </row>
    <row r="13" spans="1:26">
      <c r="A13" s="211">
        <v>2</v>
      </c>
      <c r="B13" s="212"/>
      <c r="C13" s="213"/>
      <c r="D13" s="214"/>
      <c r="E13" s="212"/>
      <c r="F13" s="213"/>
      <c r="G13" s="16"/>
      <c r="H13" s="215" t="str">
        <f>IF(C13="","",AVERAGE(B13:C13))</f>
        <v/>
      </c>
      <c r="I13" s="216" t="str">
        <f>IF(C13="", "", C13-B13)</f>
        <v/>
      </c>
      <c r="J13" s="39" t="str">
        <f>J12</f>
        <v/>
      </c>
      <c r="K13" s="39" t="str">
        <f>K12</f>
        <v/>
      </c>
      <c r="L13" s="39" t="str">
        <f>L12</f>
        <v/>
      </c>
      <c r="M13" s="16"/>
      <c r="N13" s="215" t="str">
        <f>IF(F13="","",AVERAGE(E13:F13))</f>
        <v/>
      </c>
      <c r="O13" s="216" t="str">
        <f>IF(F13="", "", F13-E13)</f>
        <v/>
      </c>
      <c r="P13" s="39" t="str">
        <f>P12</f>
        <v/>
      </c>
      <c r="Q13" s="39" t="str">
        <f>Q12</f>
        <v/>
      </c>
      <c r="R13" s="39" t="str">
        <f>R12</f>
        <v/>
      </c>
      <c r="T13" s="215" t="str">
        <f>IF(E13="","",AVERAGE(B13,E13))</f>
        <v/>
      </c>
      <c r="U13" s="216" t="str">
        <f>IF(E13="", "", E13-B13)</f>
        <v/>
      </c>
      <c r="V13" s="39" t="str">
        <f>V12</f>
        <v/>
      </c>
      <c r="W13" s="39" t="str">
        <f>W12</f>
        <v/>
      </c>
      <c r="X13" s="39" t="str">
        <f>X12</f>
        <v/>
      </c>
    </row>
    <row r="14" spans="1:26">
      <c r="A14" s="211">
        <v>3</v>
      </c>
      <c r="B14" s="212"/>
      <c r="C14" s="213"/>
      <c r="D14" s="214"/>
      <c r="E14" s="212"/>
      <c r="F14" s="213"/>
      <c r="G14" s="16"/>
      <c r="H14" s="215" t="str">
        <f t="shared" ref="H14:H41" si="0">IF(C14="","",AVERAGE(B14:C14))</f>
        <v/>
      </c>
      <c r="I14" s="216" t="str">
        <f t="shared" ref="I14:I41" si="1">IF(C14="", "", C14-B14)</f>
        <v/>
      </c>
      <c r="J14" s="39" t="str">
        <f t="shared" ref="J14:J41" si="2">J13</f>
        <v/>
      </c>
      <c r="K14" s="39" t="str">
        <f t="shared" ref="K14:K41" si="3">K13</f>
        <v/>
      </c>
      <c r="L14" s="39" t="str">
        <f t="shared" ref="L14:L41" si="4">L13</f>
        <v/>
      </c>
      <c r="M14" s="16"/>
      <c r="N14" s="215" t="str">
        <f t="shared" ref="N14:N41" si="5">IF(F14="","",AVERAGE(E14:F14))</f>
        <v/>
      </c>
      <c r="O14" s="216" t="str">
        <f t="shared" ref="O14:O41" si="6">IF(F14="", "", F14-E14)</f>
        <v/>
      </c>
      <c r="P14" s="39" t="str">
        <f t="shared" ref="P14:P41" si="7">P13</f>
        <v/>
      </c>
      <c r="Q14" s="39" t="str">
        <f t="shared" ref="Q14:Q41" si="8">Q13</f>
        <v/>
      </c>
      <c r="R14" s="39" t="str">
        <f t="shared" ref="R14:R41" si="9">R13</f>
        <v/>
      </c>
      <c r="T14" s="215" t="str">
        <f t="shared" ref="T14:T41" si="10">IF(E14="","",AVERAGE(B14,E14))</f>
        <v/>
      </c>
      <c r="U14" s="216" t="str">
        <f t="shared" ref="U14:U41" si="11">IF(E14="", "", E14-B14)</f>
        <v/>
      </c>
      <c r="V14" s="39" t="str">
        <f t="shared" ref="V14:V41" si="12">V13</f>
        <v/>
      </c>
      <c r="W14" s="39" t="str">
        <f t="shared" ref="W14:W41" si="13">W13</f>
        <v/>
      </c>
      <c r="X14" s="39" t="str">
        <f t="shared" ref="X14:X41" si="14">X13</f>
        <v/>
      </c>
    </row>
    <row r="15" spans="1:26">
      <c r="A15" s="211">
        <v>4</v>
      </c>
      <c r="B15" s="212"/>
      <c r="C15" s="213"/>
      <c r="D15" s="214"/>
      <c r="E15" s="212"/>
      <c r="F15" s="213"/>
      <c r="G15" s="16"/>
      <c r="H15" s="215" t="str">
        <f t="shared" si="0"/>
        <v/>
      </c>
      <c r="I15" s="216" t="str">
        <f t="shared" si="1"/>
        <v/>
      </c>
      <c r="J15" s="39" t="str">
        <f t="shared" si="2"/>
        <v/>
      </c>
      <c r="K15" s="39" t="str">
        <f t="shared" si="3"/>
        <v/>
      </c>
      <c r="L15" s="39" t="str">
        <f t="shared" si="4"/>
        <v/>
      </c>
      <c r="M15" s="16"/>
      <c r="N15" s="215" t="str">
        <f t="shared" si="5"/>
        <v/>
      </c>
      <c r="O15" s="216" t="str">
        <f t="shared" si="6"/>
        <v/>
      </c>
      <c r="P15" s="39" t="str">
        <f t="shared" si="7"/>
        <v/>
      </c>
      <c r="Q15" s="39" t="str">
        <f t="shared" si="8"/>
        <v/>
      </c>
      <c r="R15" s="39" t="str">
        <f t="shared" si="9"/>
        <v/>
      </c>
      <c r="T15" s="215" t="str">
        <f t="shared" si="10"/>
        <v/>
      </c>
      <c r="U15" s="216" t="str">
        <f t="shared" si="11"/>
        <v/>
      </c>
      <c r="V15" s="39" t="str">
        <f t="shared" si="12"/>
        <v/>
      </c>
      <c r="W15" s="39" t="str">
        <f t="shared" si="13"/>
        <v/>
      </c>
      <c r="X15" s="39" t="str">
        <f t="shared" si="14"/>
        <v/>
      </c>
      <c r="Z15" s="2"/>
    </row>
    <row r="16" spans="1:26">
      <c r="A16" s="211">
        <v>5</v>
      </c>
      <c r="B16" s="212"/>
      <c r="C16" s="213"/>
      <c r="D16" s="214"/>
      <c r="E16" s="212"/>
      <c r="F16" s="213"/>
      <c r="G16" s="16"/>
      <c r="H16" s="215" t="str">
        <f t="shared" si="0"/>
        <v/>
      </c>
      <c r="I16" s="216" t="str">
        <f t="shared" si="1"/>
        <v/>
      </c>
      <c r="J16" s="39" t="str">
        <f t="shared" si="2"/>
        <v/>
      </c>
      <c r="K16" s="39" t="str">
        <f t="shared" si="3"/>
        <v/>
      </c>
      <c r="L16" s="39" t="str">
        <f t="shared" si="4"/>
        <v/>
      </c>
      <c r="M16" s="16"/>
      <c r="N16" s="215" t="str">
        <f t="shared" si="5"/>
        <v/>
      </c>
      <c r="O16" s="216" t="str">
        <f t="shared" si="6"/>
        <v/>
      </c>
      <c r="P16" s="39" t="str">
        <f t="shared" si="7"/>
        <v/>
      </c>
      <c r="Q16" s="39" t="str">
        <f t="shared" si="8"/>
        <v/>
      </c>
      <c r="R16" s="39" t="str">
        <f t="shared" si="9"/>
        <v/>
      </c>
      <c r="T16" s="215" t="str">
        <f t="shared" si="10"/>
        <v/>
      </c>
      <c r="U16" s="216" t="str">
        <f t="shared" si="11"/>
        <v/>
      </c>
      <c r="V16" s="39" t="str">
        <f t="shared" si="12"/>
        <v/>
      </c>
      <c r="W16" s="39" t="str">
        <f t="shared" si="13"/>
        <v/>
      </c>
      <c r="X16" s="39" t="str">
        <f t="shared" si="14"/>
        <v/>
      </c>
      <c r="Z16" s="2"/>
    </row>
    <row r="17" spans="1:26">
      <c r="A17" s="211">
        <v>6</v>
      </c>
      <c r="B17" s="212"/>
      <c r="C17" s="213"/>
      <c r="D17" s="214"/>
      <c r="E17" s="212"/>
      <c r="F17" s="213"/>
      <c r="G17" s="16"/>
      <c r="H17" s="215" t="str">
        <f t="shared" si="0"/>
        <v/>
      </c>
      <c r="I17" s="216" t="str">
        <f t="shared" si="1"/>
        <v/>
      </c>
      <c r="J17" s="39" t="str">
        <f t="shared" si="2"/>
        <v/>
      </c>
      <c r="K17" s="39" t="str">
        <f t="shared" si="3"/>
        <v/>
      </c>
      <c r="L17" s="39" t="str">
        <f t="shared" si="4"/>
        <v/>
      </c>
      <c r="M17" s="16"/>
      <c r="N17" s="215" t="str">
        <f t="shared" si="5"/>
        <v/>
      </c>
      <c r="O17" s="216" t="str">
        <f t="shared" si="6"/>
        <v/>
      </c>
      <c r="P17" s="39" t="str">
        <f t="shared" si="7"/>
        <v/>
      </c>
      <c r="Q17" s="39" t="str">
        <f t="shared" si="8"/>
        <v/>
      </c>
      <c r="R17" s="39" t="str">
        <f t="shared" si="9"/>
        <v/>
      </c>
      <c r="T17" s="215" t="str">
        <f t="shared" si="10"/>
        <v/>
      </c>
      <c r="U17" s="216" t="str">
        <f t="shared" si="11"/>
        <v/>
      </c>
      <c r="V17" s="39" t="str">
        <f t="shared" si="12"/>
        <v/>
      </c>
      <c r="W17" s="39" t="str">
        <f t="shared" si="13"/>
        <v/>
      </c>
      <c r="X17" s="39" t="str">
        <f t="shared" si="14"/>
        <v/>
      </c>
      <c r="Z17" s="2"/>
    </row>
    <row r="18" spans="1:26">
      <c r="A18" s="211">
        <v>7</v>
      </c>
      <c r="B18" s="212"/>
      <c r="C18" s="213"/>
      <c r="D18" s="214"/>
      <c r="E18" s="212"/>
      <c r="F18" s="213"/>
      <c r="G18" s="16"/>
      <c r="H18" s="215" t="str">
        <f t="shared" si="0"/>
        <v/>
      </c>
      <c r="I18" s="216" t="str">
        <f t="shared" si="1"/>
        <v/>
      </c>
      <c r="J18" s="39" t="str">
        <f t="shared" si="2"/>
        <v/>
      </c>
      <c r="K18" s="39" t="str">
        <f t="shared" si="3"/>
        <v/>
      </c>
      <c r="L18" s="39" t="str">
        <f t="shared" si="4"/>
        <v/>
      </c>
      <c r="M18" s="16"/>
      <c r="N18" s="215" t="str">
        <f t="shared" si="5"/>
        <v/>
      </c>
      <c r="O18" s="216" t="str">
        <f t="shared" si="6"/>
        <v/>
      </c>
      <c r="P18" s="39" t="str">
        <f t="shared" si="7"/>
        <v/>
      </c>
      <c r="Q18" s="39" t="str">
        <f t="shared" si="8"/>
        <v/>
      </c>
      <c r="R18" s="39" t="str">
        <f t="shared" si="9"/>
        <v/>
      </c>
      <c r="T18" s="215" t="str">
        <f t="shared" si="10"/>
        <v/>
      </c>
      <c r="U18" s="216" t="str">
        <f t="shared" si="11"/>
        <v/>
      </c>
      <c r="V18" s="39" t="str">
        <f t="shared" si="12"/>
        <v/>
      </c>
      <c r="W18" s="39" t="str">
        <f t="shared" si="13"/>
        <v/>
      </c>
      <c r="X18" s="39" t="str">
        <f t="shared" si="14"/>
        <v/>
      </c>
    </row>
    <row r="19" spans="1:26">
      <c r="A19" s="211">
        <v>8</v>
      </c>
      <c r="B19" s="212"/>
      <c r="C19" s="213"/>
      <c r="D19" s="214"/>
      <c r="E19" s="212"/>
      <c r="F19" s="213"/>
      <c r="G19" s="16"/>
      <c r="H19" s="215" t="str">
        <f t="shared" si="0"/>
        <v/>
      </c>
      <c r="I19" s="216" t="str">
        <f t="shared" si="1"/>
        <v/>
      </c>
      <c r="J19" s="39" t="str">
        <f t="shared" si="2"/>
        <v/>
      </c>
      <c r="K19" s="39" t="str">
        <f t="shared" si="3"/>
        <v/>
      </c>
      <c r="L19" s="39" t="str">
        <f t="shared" si="4"/>
        <v/>
      </c>
      <c r="M19" s="16"/>
      <c r="N19" s="215" t="str">
        <f t="shared" si="5"/>
        <v/>
      </c>
      <c r="O19" s="216" t="str">
        <f t="shared" si="6"/>
        <v/>
      </c>
      <c r="P19" s="39" t="str">
        <f t="shared" si="7"/>
        <v/>
      </c>
      <c r="Q19" s="39" t="str">
        <f t="shared" si="8"/>
        <v/>
      </c>
      <c r="R19" s="39" t="str">
        <f t="shared" si="9"/>
        <v/>
      </c>
      <c r="T19" s="215" t="str">
        <f t="shared" si="10"/>
        <v/>
      </c>
      <c r="U19" s="216" t="str">
        <f t="shared" si="11"/>
        <v/>
      </c>
      <c r="V19" s="39" t="str">
        <f t="shared" si="12"/>
        <v/>
      </c>
      <c r="W19" s="39" t="str">
        <f t="shared" si="13"/>
        <v/>
      </c>
      <c r="X19" s="39" t="str">
        <f t="shared" si="14"/>
        <v/>
      </c>
      <c r="Y19"/>
    </row>
    <row r="20" spans="1:26">
      <c r="A20" s="211">
        <v>9</v>
      </c>
      <c r="B20" s="212"/>
      <c r="C20" s="213"/>
      <c r="D20" s="214"/>
      <c r="E20" s="212"/>
      <c r="F20" s="213"/>
      <c r="G20" s="16"/>
      <c r="H20" s="215" t="str">
        <f t="shared" si="0"/>
        <v/>
      </c>
      <c r="I20" s="216" t="str">
        <f t="shared" si="1"/>
        <v/>
      </c>
      <c r="J20" s="39" t="str">
        <f t="shared" si="2"/>
        <v/>
      </c>
      <c r="K20" s="39" t="str">
        <f t="shared" si="3"/>
        <v/>
      </c>
      <c r="L20" s="39" t="str">
        <f t="shared" si="4"/>
        <v/>
      </c>
      <c r="M20" s="16"/>
      <c r="N20" s="215" t="str">
        <f t="shared" si="5"/>
        <v/>
      </c>
      <c r="O20" s="216" t="str">
        <f t="shared" si="6"/>
        <v/>
      </c>
      <c r="P20" s="39" t="str">
        <f t="shared" si="7"/>
        <v/>
      </c>
      <c r="Q20" s="39" t="str">
        <f t="shared" si="8"/>
        <v/>
      </c>
      <c r="R20" s="39" t="str">
        <f t="shared" si="9"/>
        <v/>
      </c>
      <c r="T20" s="215" t="str">
        <f t="shared" si="10"/>
        <v/>
      </c>
      <c r="U20" s="216" t="str">
        <f t="shared" si="11"/>
        <v/>
      </c>
      <c r="V20" s="39" t="str">
        <f t="shared" si="12"/>
        <v/>
      </c>
      <c r="W20" s="39" t="str">
        <f t="shared" si="13"/>
        <v/>
      </c>
      <c r="X20" s="39" t="str">
        <f t="shared" si="14"/>
        <v/>
      </c>
      <c r="Y20"/>
    </row>
    <row r="21" spans="1:26">
      <c r="A21" s="211">
        <v>10</v>
      </c>
      <c r="B21" s="212"/>
      <c r="C21" s="213"/>
      <c r="D21" s="214"/>
      <c r="E21" s="212"/>
      <c r="F21" s="213"/>
      <c r="G21" s="16"/>
      <c r="H21" s="215" t="str">
        <f t="shared" si="0"/>
        <v/>
      </c>
      <c r="I21" s="216" t="str">
        <f t="shared" si="1"/>
        <v/>
      </c>
      <c r="J21" s="39" t="str">
        <f t="shared" si="2"/>
        <v/>
      </c>
      <c r="K21" s="39" t="str">
        <f t="shared" si="3"/>
        <v/>
      </c>
      <c r="L21" s="39" t="str">
        <f t="shared" si="4"/>
        <v/>
      </c>
      <c r="M21" s="16"/>
      <c r="N21" s="215" t="str">
        <f t="shared" si="5"/>
        <v/>
      </c>
      <c r="O21" s="216" t="str">
        <f t="shared" si="6"/>
        <v/>
      </c>
      <c r="P21" s="39" t="str">
        <f t="shared" si="7"/>
        <v/>
      </c>
      <c r="Q21" s="39" t="str">
        <f t="shared" si="8"/>
        <v/>
      </c>
      <c r="R21" s="39" t="str">
        <f t="shared" si="9"/>
        <v/>
      </c>
      <c r="T21" s="215" t="str">
        <f t="shared" si="10"/>
        <v/>
      </c>
      <c r="U21" s="216" t="str">
        <f t="shared" si="11"/>
        <v/>
      </c>
      <c r="V21" s="39" t="str">
        <f t="shared" si="12"/>
        <v/>
      </c>
      <c r="W21" s="39" t="str">
        <f t="shared" si="13"/>
        <v/>
      </c>
      <c r="X21" s="39" t="str">
        <f t="shared" si="14"/>
        <v/>
      </c>
      <c r="Y21"/>
    </row>
    <row r="22" spans="1:26">
      <c r="A22" s="211">
        <v>11</v>
      </c>
      <c r="B22" s="212"/>
      <c r="C22" s="213"/>
      <c r="D22" s="214"/>
      <c r="E22" s="212"/>
      <c r="F22" s="213"/>
      <c r="G22" s="16"/>
      <c r="H22" s="215" t="str">
        <f t="shared" si="0"/>
        <v/>
      </c>
      <c r="I22" s="216" t="str">
        <f t="shared" si="1"/>
        <v/>
      </c>
      <c r="J22" s="39" t="str">
        <f t="shared" si="2"/>
        <v/>
      </c>
      <c r="K22" s="39" t="str">
        <f t="shared" si="3"/>
        <v/>
      </c>
      <c r="L22" s="39" t="str">
        <f t="shared" si="4"/>
        <v/>
      </c>
      <c r="M22" s="16"/>
      <c r="N22" s="215" t="str">
        <f t="shared" si="5"/>
        <v/>
      </c>
      <c r="O22" s="216" t="str">
        <f t="shared" si="6"/>
        <v/>
      </c>
      <c r="P22" s="39" t="str">
        <f t="shared" si="7"/>
        <v/>
      </c>
      <c r="Q22" s="39" t="str">
        <f t="shared" si="8"/>
        <v/>
      </c>
      <c r="R22" s="39" t="str">
        <f t="shared" si="9"/>
        <v/>
      </c>
      <c r="T22" s="215" t="str">
        <f t="shared" si="10"/>
        <v/>
      </c>
      <c r="U22" s="216" t="str">
        <f t="shared" si="11"/>
        <v/>
      </c>
      <c r="V22" s="39" t="str">
        <f t="shared" si="12"/>
        <v/>
      </c>
      <c r="W22" s="39" t="str">
        <f t="shared" si="13"/>
        <v/>
      </c>
      <c r="X22" s="39" t="str">
        <f t="shared" si="14"/>
        <v/>
      </c>
      <c r="Y22"/>
    </row>
    <row r="23" spans="1:26">
      <c r="A23" s="211">
        <v>12</v>
      </c>
      <c r="B23" s="212"/>
      <c r="C23" s="213"/>
      <c r="D23" s="214"/>
      <c r="E23" s="212"/>
      <c r="F23" s="213"/>
      <c r="G23" s="16"/>
      <c r="H23" s="215" t="str">
        <f t="shared" si="0"/>
        <v/>
      </c>
      <c r="I23" s="216" t="str">
        <f t="shared" si="1"/>
        <v/>
      </c>
      <c r="J23" s="39" t="str">
        <f t="shared" si="2"/>
        <v/>
      </c>
      <c r="K23" s="39" t="str">
        <f t="shared" si="3"/>
        <v/>
      </c>
      <c r="L23" s="39" t="str">
        <f t="shared" si="4"/>
        <v/>
      </c>
      <c r="M23" s="16"/>
      <c r="N23" s="215" t="str">
        <f t="shared" si="5"/>
        <v/>
      </c>
      <c r="O23" s="216" t="str">
        <f t="shared" si="6"/>
        <v/>
      </c>
      <c r="P23" s="39" t="str">
        <f t="shared" si="7"/>
        <v/>
      </c>
      <c r="Q23" s="39" t="str">
        <f t="shared" si="8"/>
        <v/>
      </c>
      <c r="R23" s="39" t="str">
        <f t="shared" si="9"/>
        <v/>
      </c>
      <c r="T23" s="215" t="str">
        <f t="shared" si="10"/>
        <v/>
      </c>
      <c r="U23" s="216" t="str">
        <f t="shared" si="11"/>
        <v/>
      </c>
      <c r="V23" s="39" t="str">
        <f t="shared" si="12"/>
        <v/>
      </c>
      <c r="W23" s="39" t="str">
        <f t="shared" si="13"/>
        <v/>
      </c>
      <c r="X23" s="39" t="str">
        <f t="shared" si="14"/>
        <v/>
      </c>
      <c r="Y23" s="2"/>
    </row>
    <row r="24" spans="1:26">
      <c r="A24" s="211">
        <v>13</v>
      </c>
      <c r="B24" s="212"/>
      <c r="C24" s="213"/>
      <c r="D24" s="214"/>
      <c r="E24" s="212"/>
      <c r="F24" s="213"/>
      <c r="G24" s="16"/>
      <c r="H24" s="215" t="str">
        <f t="shared" si="0"/>
        <v/>
      </c>
      <c r="I24" s="216" t="str">
        <f t="shared" si="1"/>
        <v/>
      </c>
      <c r="J24" s="39" t="str">
        <f t="shared" si="2"/>
        <v/>
      </c>
      <c r="K24" s="39" t="str">
        <f t="shared" si="3"/>
        <v/>
      </c>
      <c r="L24" s="39" t="str">
        <f t="shared" si="4"/>
        <v/>
      </c>
      <c r="M24" s="16"/>
      <c r="N24" s="215" t="str">
        <f t="shared" si="5"/>
        <v/>
      </c>
      <c r="O24" s="216" t="str">
        <f t="shared" si="6"/>
        <v/>
      </c>
      <c r="P24" s="39" t="str">
        <f t="shared" si="7"/>
        <v/>
      </c>
      <c r="Q24" s="39" t="str">
        <f t="shared" si="8"/>
        <v/>
      </c>
      <c r="R24" s="39" t="str">
        <f t="shared" si="9"/>
        <v/>
      </c>
      <c r="T24" s="215" t="str">
        <f t="shared" si="10"/>
        <v/>
      </c>
      <c r="U24" s="216" t="str">
        <f t="shared" si="11"/>
        <v/>
      </c>
      <c r="V24" s="39" t="str">
        <f t="shared" si="12"/>
        <v/>
      </c>
      <c r="W24" s="39" t="str">
        <f t="shared" si="13"/>
        <v/>
      </c>
      <c r="X24" s="39" t="str">
        <f t="shared" si="14"/>
        <v/>
      </c>
      <c r="Y24" s="2"/>
    </row>
    <row r="25" spans="1:26">
      <c r="A25" s="211">
        <v>14</v>
      </c>
      <c r="B25" s="212"/>
      <c r="C25" s="213"/>
      <c r="D25" s="214"/>
      <c r="E25" s="212"/>
      <c r="F25" s="213"/>
      <c r="G25" s="16"/>
      <c r="H25" s="215" t="str">
        <f t="shared" si="0"/>
        <v/>
      </c>
      <c r="I25" s="216" t="str">
        <f t="shared" si="1"/>
        <v/>
      </c>
      <c r="J25" s="39" t="str">
        <f t="shared" si="2"/>
        <v/>
      </c>
      <c r="K25" s="39" t="str">
        <f t="shared" si="3"/>
        <v/>
      </c>
      <c r="L25" s="39" t="str">
        <f t="shared" si="4"/>
        <v/>
      </c>
      <c r="M25" s="16"/>
      <c r="N25" s="215" t="str">
        <f t="shared" si="5"/>
        <v/>
      </c>
      <c r="O25" s="216" t="str">
        <f t="shared" si="6"/>
        <v/>
      </c>
      <c r="P25" s="39" t="str">
        <f t="shared" si="7"/>
        <v/>
      </c>
      <c r="Q25" s="39" t="str">
        <f t="shared" si="8"/>
        <v/>
      </c>
      <c r="R25" s="39" t="str">
        <f t="shared" si="9"/>
        <v/>
      </c>
      <c r="T25" s="215" t="str">
        <f t="shared" si="10"/>
        <v/>
      </c>
      <c r="U25" s="216" t="str">
        <f t="shared" si="11"/>
        <v/>
      </c>
      <c r="V25" s="39" t="str">
        <f t="shared" si="12"/>
        <v/>
      </c>
      <c r="W25" s="39" t="str">
        <f t="shared" si="13"/>
        <v/>
      </c>
      <c r="X25" s="39" t="str">
        <f t="shared" si="14"/>
        <v/>
      </c>
      <c r="Y25" s="2"/>
    </row>
    <row r="26" spans="1:26">
      <c r="A26" s="211">
        <v>15</v>
      </c>
      <c r="B26" s="212"/>
      <c r="C26" s="213"/>
      <c r="D26" s="214"/>
      <c r="E26" s="212"/>
      <c r="F26" s="213"/>
      <c r="G26" s="16"/>
      <c r="H26" s="215" t="str">
        <f t="shared" si="0"/>
        <v/>
      </c>
      <c r="I26" s="216" t="str">
        <f t="shared" si="1"/>
        <v/>
      </c>
      <c r="J26" s="39" t="str">
        <f t="shared" si="2"/>
        <v/>
      </c>
      <c r="K26" s="39" t="str">
        <f t="shared" si="3"/>
        <v/>
      </c>
      <c r="L26" s="39" t="str">
        <f t="shared" si="4"/>
        <v/>
      </c>
      <c r="M26" s="16"/>
      <c r="N26" s="215" t="str">
        <f t="shared" si="5"/>
        <v/>
      </c>
      <c r="O26" s="216" t="str">
        <f t="shared" si="6"/>
        <v/>
      </c>
      <c r="P26" s="39" t="str">
        <f t="shared" si="7"/>
        <v/>
      </c>
      <c r="Q26" s="39" t="str">
        <f t="shared" si="8"/>
        <v/>
      </c>
      <c r="R26" s="39" t="str">
        <f t="shared" si="9"/>
        <v/>
      </c>
      <c r="T26" s="215" t="str">
        <f t="shared" si="10"/>
        <v/>
      </c>
      <c r="U26" s="216" t="str">
        <f t="shared" si="11"/>
        <v/>
      </c>
      <c r="V26" s="39" t="str">
        <f t="shared" si="12"/>
        <v/>
      </c>
      <c r="W26" s="39" t="str">
        <f t="shared" si="13"/>
        <v/>
      </c>
      <c r="X26" s="39" t="str">
        <f t="shared" si="14"/>
        <v/>
      </c>
    </row>
    <row r="27" spans="1:26">
      <c r="A27" s="211">
        <v>16</v>
      </c>
      <c r="B27" s="212"/>
      <c r="C27" s="213"/>
      <c r="D27" s="214"/>
      <c r="E27" s="212"/>
      <c r="F27" s="213"/>
      <c r="G27" s="16"/>
      <c r="H27" s="215" t="str">
        <f t="shared" si="0"/>
        <v/>
      </c>
      <c r="I27" s="216" t="str">
        <f t="shared" si="1"/>
        <v/>
      </c>
      <c r="J27" s="39" t="str">
        <f t="shared" si="2"/>
        <v/>
      </c>
      <c r="K27" s="39" t="str">
        <f t="shared" si="3"/>
        <v/>
      </c>
      <c r="L27" s="39" t="str">
        <f t="shared" si="4"/>
        <v/>
      </c>
      <c r="M27" s="16"/>
      <c r="N27" s="215" t="str">
        <f t="shared" si="5"/>
        <v/>
      </c>
      <c r="O27" s="216" t="str">
        <f t="shared" si="6"/>
        <v/>
      </c>
      <c r="P27" s="39" t="str">
        <f t="shared" si="7"/>
        <v/>
      </c>
      <c r="Q27" s="39" t="str">
        <f t="shared" si="8"/>
        <v/>
      </c>
      <c r="R27" s="39" t="str">
        <f t="shared" si="9"/>
        <v/>
      </c>
      <c r="T27" s="215" t="str">
        <f t="shared" si="10"/>
        <v/>
      </c>
      <c r="U27" s="216" t="str">
        <f t="shared" si="11"/>
        <v/>
      </c>
      <c r="V27" s="39" t="str">
        <f t="shared" si="12"/>
        <v/>
      </c>
      <c r="W27" s="39" t="str">
        <f t="shared" si="13"/>
        <v/>
      </c>
      <c r="X27" s="39" t="str">
        <f t="shared" si="14"/>
        <v/>
      </c>
    </row>
    <row r="28" spans="1:26">
      <c r="A28" s="211">
        <v>17</v>
      </c>
      <c r="B28" s="212"/>
      <c r="C28" s="213"/>
      <c r="D28" s="214"/>
      <c r="E28" s="212"/>
      <c r="F28" s="213"/>
      <c r="G28" s="16"/>
      <c r="H28" s="215" t="str">
        <f t="shared" si="0"/>
        <v/>
      </c>
      <c r="I28" s="216" t="str">
        <f t="shared" si="1"/>
        <v/>
      </c>
      <c r="J28" s="39" t="str">
        <f t="shared" si="2"/>
        <v/>
      </c>
      <c r="K28" s="39" t="str">
        <f t="shared" si="3"/>
        <v/>
      </c>
      <c r="L28" s="39" t="str">
        <f t="shared" si="4"/>
        <v/>
      </c>
      <c r="M28" s="16"/>
      <c r="N28" s="215" t="str">
        <f t="shared" si="5"/>
        <v/>
      </c>
      <c r="O28" s="216" t="str">
        <f t="shared" si="6"/>
        <v/>
      </c>
      <c r="P28" s="39" t="str">
        <f t="shared" si="7"/>
        <v/>
      </c>
      <c r="Q28" s="39" t="str">
        <f t="shared" si="8"/>
        <v/>
      </c>
      <c r="R28" s="39" t="str">
        <f t="shared" si="9"/>
        <v/>
      </c>
      <c r="T28" s="215" t="str">
        <f t="shared" si="10"/>
        <v/>
      </c>
      <c r="U28" s="216" t="str">
        <f t="shared" si="11"/>
        <v/>
      </c>
      <c r="V28" s="39" t="str">
        <f t="shared" si="12"/>
        <v/>
      </c>
      <c r="W28" s="39" t="str">
        <f t="shared" si="13"/>
        <v/>
      </c>
      <c r="X28" s="39" t="str">
        <f t="shared" si="14"/>
        <v/>
      </c>
    </row>
    <row r="29" spans="1:26">
      <c r="A29" s="211">
        <v>18</v>
      </c>
      <c r="B29" s="212"/>
      <c r="C29" s="213"/>
      <c r="D29" s="214"/>
      <c r="E29" s="212"/>
      <c r="F29" s="213"/>
      <c r="G29" s="16"/>
      <c r="H29" s="215" t="str">
        <f t="shared" si="0"/>
        <v/>
      </c>
      <c r="I29" s="216" t="str">
        <f t="shared" si="1"/>
        <v/>
      </c>
      <c r="J29" s="39" t="str">
        <f t="shared" si="2"/>
        <v/>
      </c>
      <c r="K29" s="39" t="str">
        <f t="shared" si="3"/>
        <v/>
      </c>
      <c r="L29" s="39" t="str">
        <f t="shared" si="4"/>
        <v/>
      </c>
      <c r="M29" s="16"/>
      <c r="N29" s="215" t="str">
        <f t="shared" si="5"/>
        <v/>
      </c>
      <c r="O29" s="216" t="str">
        <f t="shared" si="6"/>
        <v/>
      </c>
      <c r="P29" s="39" t="str">
        <f t="shared" si="7"/>
        <v/>
      </c>
      <c r="Q29" s="39" t="str">
        <f t="shared" si="8"/>
        <v/>
      </c>
      <c r="R29" s="39" t="str">
        <f t="shared" si="9"/>
        <v/>
      </c>
      <c r="T29" s="215" t="str">
        <f t="shared" si="10"/>
        <v/>
      </c>
      <c r="U29" s="216" t="str">
        <f t="shared" si="11"/>
        <v/>
      </c>
      <c r="V29" s="39" t="str">
        <f t="shared" si="12"/>
        <v/>
      </c>
      <c r="W29" s="39" t="str">
        <f t="shared" si="13"/>
        <v/>
      </c>
      <c r="X29" s="39" t="str">
        <f t="shared" si="14"/>
        <v/>
      </c>
    </row>
    <row r="30" spans="1:26">
      <c r="A30" s="211">
        <v>19</v>
      </c>
      <c r="B30" s="212"/>
      <c r="C30" s="213"/>
      <c r="D30" s="214"/>
      <c r="E30" s="212"/>
      <c r="F30" s="213"/>
      <c r="G30" s="16"/>
      <c r="H30" s="215" t="str">
        <f t="shared" si="0"/>
        <v/>
      </c>
      <c r="I30" s="216" t="str">
        <f t="shared" si="1"/>
        <v/>
      </c>
      <c r="J30" s="39" t="str">
        <f t="shared" si="2"/>
        <v/>
      </c>
      <c r="K30" s="39" t="str">
        <f t="shared" si="3"/>
        <v/>
      </c>
      <c r="L30" s="39" t="str">
        <f t="shared" si="4"/>
        <v/>
      </c>
      <c r="M30" s="16"/>
      <c r="N30" s="215" t="str">
        <f t="shared" si="5"/>
        <v/>
      </c>
      <c r="O30" s="216" t="str">
        <f t="shared" si="6"/>
        <v/>
      </c>
      <c r="P30" s="39" t="str">
        <f t="shared" si="7"/>
        <v/>
      </c>
      <c r="Q30" s="39" t="str">
        <f t="shared" si="8"/>
        <v/>
      </c>
      <c r="R30" s="39" t="str">
        <f t="shared" si="9"/>
        <v/>
      </c>
      <c r="T30" s="215" t="str">
        <f t="shared" si="10"/>
        <v/>
      </c>
      <c r="U30" s="216" t="str">
        <f t="shared" si="11"/>
        <v/>
      </c>
      <c r="V30" s="39" t="str">
        <f t="shared" si="12"/>
        <v/>
      </c>
      <c r="W30" s="39" t="str">
        <f t="shared" si="13"/>
        <v/>
      </c>
      <c r="X30" s="39" t="str">
        <f t="shared" si="14"/>
        <v/>
      </c>
    </row>
    <row r="31" spans="1:26">
      <c r="A31" s="211">
        <v>20</v>
      </c>
      <c r="B31" s="212"/>
      <c r="C31" s="213"/>
      <c r="D31" s="214"/>
      <c r="E31" s="212"/>
      <c r="F31" s="213"/>
      <c r="G31" s="16"/>
      <c r="H31" s="215" t="str">
        <f t="shared" si="0"/>
        <v/>
      </c>
      <c r="I31" s="216" t="str">
        <f t="shared" si="1"/>
        <v/>
      </c>
      <c r="J31" s="39" t="str">
        <f t="shared" si="2"/>
        <v/>
      </c>
      <c r="K31" s="39" t="str">
        <f t="shared" si="3"/>
        <v/>
      </c>
      <c r="L31" s="39" t="str">
        <f t="shared" si="4"/>
        <v/>
      </c>
      <c r="M31" s="16"/>
      <c r="N31" s="215" t="str">
        <f t="shared" si="5"/>
        <v/>
      </c>
      <c r="O31" s="216" t="str">
        <f t="shared" si="6"/>
        <v/>
      </c>
      <c r="P31" s="39" t="str">
        <f t="shared" si="7"/>
        <v/>
      </c>
      <c r="Q31" s="39" t="str">
        <f t="shared" si="8"/>
        <v/>
      </c>
      <c r="R31" s="39" t="str">
        <f t="shared" si="9"/>
        <v/>
      </c>
      <c r="T31" s="215" t="str">
        <f t="shared" si="10"/>
        <v/>
      </c>
      <c r="U31" s="216" t="str">
        <f t="shared" si="11"/>
        <v/>
      </c>
      <c r="V31" s="39" t="str">
        <f t="shared" si="12"/>
        <v/>
      </c>
      <c r="W31" s="39" t="str">
        <f t="shared" si="13"/>
        <v/>
      </c>
      <c r="X31" s="39" t="str">
        <f t="shared" si="14"/>
        <v/>
      </c>
    </row>
    <row r="32" spans="1:26">
      <c r="A32" s="211">
        <v>21</v>
      </c>
      <c r="B32" s="212"/>
      <c r="C32" s="213"/>
      <c r="D32" s="214"/>
      <c r="E32" s="212"/>
      <c r="F32" s="213"/>
      <c r="G32" s="16"/>
      <c r="H32" s="215" t="str">
        <f t="shared" si="0"/>
        <v/>
      </c>
      <c r="I32" s="216" t="str">
        <f t="shared" si="1"/>
        <v/>
      </c>
      <c r="J32" s="39" t="str">
        <f t="shared" si="2"/>
        <v/>
      </c>
      <c r="K32" s="39" t="str">
        <f t="shared" si="3"/>
        <v/>
      </c>
      <c r="L32" s="39" t="str">
        <f t="shared" si="4"/>
        <v/>
      </c>
      <c r="M32" s="16"/>
      <c r="N32" s="215" t="str">
        <f t="shared" si="5"/>
        <v/>
      </c>
      <c r="O32" s="216" t="str">
        <f t="shared" si="6"/>
        <v/>
      </c>
      <c r="P32" s="39" t="str">
        <f t="shared" si="7"/>
        <v/>
      </c>
      <c r="Q32" s="39" t="str">
        <f t="shared" si="8"/>
        <v/>
      </c>
      <c r="R32" s="39" t="str">
        <f t="shared" si="9"/>
        <v/>
      </c>
      <c r="T32" s="215" t="str">
        <f t="shared" si="10"/>
        <v/>
      </c>
      <c r="U32" s="216" t="str">
        <f t="shared" si="11"/>
        <v/>
      </c>
      <c r="V32" s="39" t="str">
        <f t="shared" si="12"/>
        <v/>
      </c>
      <c r="W32" s="39" t="str">
        <f t="shared" si="13"/>
        <v/>
      </c>
      <c r="X32" s="39" t="str">
        <f t="shared" si="14"/>
        <v/>
      </c>
    </row>
    <row r="33" spans="1:24">
      <c r="A33" s="211">
        <v>22</v>
      </c>
      <c r="B33" s="212"/>
      <c r="C33" s="213"/>
      <c r="D33" s="214"/>
      <c r="E33" s="212"/>
      <c r="F33" s="213"/>
      <c r="G33" s="16"/>
      <c r="H33" s="215" t="str">
        <f t="shared" si="0"/>
        <v/>
      </c>
      <c r="I33" s="216" t="str">
        <f t="shared" si="1"/>
        <v/>
      </c>
      <c r="J33" s="39" t="str">
        <f t="shared" si="2"/>
        <v/>
      </c>
      <c r="K33" s="39" t="str">
        <f t="shared" si="3"/>
        <v/>
      </c>
      <c r="L33" s="39" t="str">
        <f t="shared" si="4"/>
        <v/>
      </c>
      <c r="M33" s="16"/>
      <c r="N33" s="215" t="str">
        <f t="shared" si="5"/>
        <v/>
      </c>
      <c r="O33" s="216" t="str">
        <f t="shared" si="6"/>
        <v/>
      </c>
      <c r="P33" s="39" t="str">
        <f t="shared" si="7"/>
        <v/>
      </c>
      <c r="Q33" s="39" t="str">
        <f t="shared" si="8"/>
        <v/>
      </c>
      <c r="R33" s="39" t="str">
        <f t="shared" si="9"/>
        <v/>
      </c>
      <c r="T33" s="215" t="str">
        <f t="shared" si="10"/>
        <v/>
      </c>
      <c r="U33" s="216" t="str">
        <f t="shared" si="11"/>
        <v/>
      </c>
      <c r="V33" s="39" t="str">
        <f t="shared" si="12"/>
        <v/>
      </c>
      <c r="W33" s="39" t="str">
        <f t="shared" si="13"/>
        <v/>
      </c>
      <c r="X33" s="39" t="str">
        <f t="shared" si="14"/>
        <v/>
      </c>
    </row>
    <row r="34" spans="1:24">
      <c r="A34" s="211">
        <v>23</v>
      </c>
      <c r="B34" s="212"/>
      <c r="C34" s="213"/>
      <c r="D34" s="214"/>
      <c r="E34" s="212"/>
      <c r="F34" s="213"/>
      <c r="G34" s="16"/>
      <c r="H34" s="215" t="str">
        <f t="shared" si="0"/>
        <v/>
      </c>
      <c r="I34" s="216" t="str">
        <f t="shared" si="1"/>
        <v/>
      </c>
      <c r="J34" s="39" t="str">
        <f t="shared" si="2"/>
        <v/>
      </c>
      <c r="K34" s="39" t="str">
        <f t="shared" si="3"/>
        <v/>
      </c>
      <c r="L34" s="39" t="str">
        <f t="shared" si="4"/>
        <v/>
      </c>
      <c r="M34" s="16"/>
      <c r="N34" s="215" t="str">
        <f t="shared" si="5"/>
        <v/>
      </c>
      <c r="O34" s="216" t="str">
        <f t="shared" si="6"/>
        <v/>
      </c>
      <c r="P34" s="39" t="str">
        <f t="shared" si="7"/>
        <v/>
      </c>
      <c r="Q34" s="39" t="str">
        <f t="shared" si="8"/>
        <v/>
      </c>
      <c r="R34" s="39" t="str">
        <f t="shared" si="9"/>
        <v/>
      </c>
      <c r="T34" s="215" t="str">
        <f t="shared" si="10"/>
        <v/>
      </c>
      <c r="U34" s="216" t="str">
        <f t="shared" si="11"/>
        <v/>
      </c>
      <c r="V34" s="39" t="str">
        <f t="shared" si="12"/>
        <v/>
      </c>
      <c r="W34" s="39" t="str">
        <f t="shared" si="13"/>
        <v/>
      </c>
      <c r="X34" s="39" t="str">
        <f t="shared" si="14"/>
        <v/>
      </c>
    </row>
    <row r="35" spans="1:24">
      <c r="A35" s="211">
        <v>24</v>
      </c>
      <c r="B35" s="212"/>
      <c r="C35" s="213"/>
      <c r="D35" s="214"/>
      <c r="E35" s="212"/>
      <c r="F35" s="213"/>
      <c r="G35" s="16"/>
      <c r="H35" s="215" t="str">
        <f t="shared" si="0"/>
        <v/>
      </c>
      <c r="I35" s="216" t="str">
        <f t="shared" si="1"/>
        <v/>
      </c>
      <c r="J35" s="39" t="str">
        <f t="shared" si="2"/>
        <v/>
      </c>
      <c r="K35" s="39" t="str">
        <f t="shared" si="3"/>
        <v/>
      </c>
      <c r="L35" s="39" t="str">
        <f t="shared" si="4"/>
        <v/>
      </c>
      <c r="M35" s="16"/>
      <c r="N35" s="215" t="str">
        <f t="shared" si="5"/>
        <v/>
      </c>
      <c r="O35" s="216" t="str">
        <f t="shared" si="6"/>
        <v/>
      </c>
      <c r="P35" s="39" t="str">
        <f t="shared" si="7"/>
        <v/>
      </c>
      <c r="Q35" s="39" t="str">
        <f t="shared" si="8"/>
        <v/>
      </c>
      <c r="R35" s="39" t="str">
        <f t="shared" si="9"/>
        <v/>
      </c>
      <c r="T35" s="215" t="str">
        <f t="shared" si="10"/>
        <v/>
      </c>
      <c r="U35" s="216" t="str">
        <f t="shared" si="11"/>
        <v/>
      </c>
      <c r="V35" s="39" t="str">
        <f t="shared" si="12"/>
        <v/>
      </c>
      <c r="W35" s="39" t="str">
        <f t="shared" si="13"/>
        <v/>
      </c>
      <c r="X35" s="39" t="str">
        <f t="shared" si="14"/>
        <v/>
      </c>
    </row>
    <row r="36" spans="1:24">
      <c r="A36" s="211">
        <v>25</v>
      </c>
      <c r="B36" s="212"/>
      <c r="C36" s="213"/>
      <c r="D36" s="214"/>
      <c r="E36" s="212"/>
      <c r="F36" s="213"/>
      <c r="G36" s="16"/>
      <c r="H36" s="215" t="str">
        <f t="shared" si="0"/>
        <v/>
      </c>
      <c r="I36" s="216" t="str">
        <f t="shared" si="1"/>
        <v/>
      </c>
      <c r="J36" s="39" t="str">
        <f t="shared" si="2"/>
        <v/>
      </c>
      <c r="K36" s="39" t="str">
        <f t="shared" si="3"/>
        <v/>
      </c>
      <c r="L36" s="39" t="str">
        <f t="shared" si="4"/>
        <v/>
      </c>
      <c r="M36" s="16"/>
      <c r="N36" s="215" t="str">
        <f t="shared" si="5"/>
        <v/>
      </c>
      <c r="O36" s="216" t="str">
        <f t="shared" si="6"/>
        <v/>
      </c>
      <c r="P36" s="39" t="str">
        <f t="shared" si="7"/>
        <v/>
      </c>
      <c r="Q36" s="39" t="str">
        <f t="shared" si="8"/>
        <v/>
      </c>
      <c r="R36" s="39" t="str">
        <f t="shared" si="9"/>
        <v/>
      </c>
      <c r="T36" s="215" t="str">
        <f t="shared" si="10"/>
        <v/>
      </c>
      <c r="U36" s="216" t="str">
        <f t="shared" si="11"/>
        <v/>
      </c>
      <c r="V36" s="39" t="str">
        <f t="shared" si="12"/>
        <v/>
      </c>
      <c r="W36" s="39" t="str">
        <f t="shared" si="13"/>
        <v/>
      </c>
      <c r="X36" s="39" t="str">
        <f t="shared" si="14"/>
        <v/>
      </c>
    </row>
    <row r="37" spans="1:24">
      <c r="A37" s="211">
        <v>26</v>
      </c>
      <c r="B37" s="212"/>
      <c r="C37" s="213"/>
      <c r="D37" s="214"/>
      <c r="E37" s="212"/>
      <c r="F37" s="213"/>
      <c r="G37" s="16"/>
      <c r="H37" s="215" t="str">
        <f t="shared" si="0"/>
        <v/>
      </c>
      <c r="I37" s="216" t="str">
        <f t="shared" si="1"/>
        <v/>
      </c>
      <c r="J37" s="39" t="str">
        <f t="shared" si="2"/>
        <v/>
      </c>
      <c r="K37" s="39" t="str">
        <f t="shared" si="3"/>
        <v/>
      </c>
      <c r="L37" s="39" t="str">
        <f t="shared" si="4"/>
        <v/>
      </c>
      <c r="M37" s="16"/>
      <c r="N37" s="215" t="str">
        <f t="shared" si="5"/>
        <v/>
      </c>
      <c r="O37" s="216" t="str">
        <f t="shared" si="6"/>
        <v/>
      </c>
      <c r="P37" s="39" t="str">
        <f t="shared" si="7"/>
        <v/>
      </c>
      <c r="Q37" s="39" t="str">
        <f t="shared" si="8"/>
        <v/>
      </c>
      <c r="R37" s="39" t="str">
        <f t="shared" si="9"/>
        <v/>
      </c>
      <c r="T37" s="215" t="str">
        <f t="shared" si="10"/>
        <v/>
      </c>
      <c r="U37" s="216" t="str">
        <f t="shared" si="11"/>
        <v/>
      </c>
      <c r="V37" s="39" t="str">
        <f t="shared" si="12"/>
        <v/>
      </c>
      <c r="W37" s="39" t="str">
        <f t="shared" si="13"/>
        <v/>
      </c>
      <c r="X37" s="39" t="str">
        <f t="shared" si="14"/>
        <v/>
      </c>
    </row>
    <row r="38" spans="1:24">
      <c r="A38" s="211">
        <v>27</v>
      </c>
      <c r="B38" s="212"/>
      <c r="C38" s="213"/>
      <c r="D38" s="214"/>
      <c r="E38" s="212"/>
      <c r="F38" s="213"/>
      <c r="G38" s="16"/>
      <c r="H38" s="215" t="str">
        <f t="shared" si="0"/>
        <v/>
      </c>
      <c r="I38" s="216" t="str">
        <f t="shared" si="1"/>
        <v/>
      </c>
      <c r="J38" s="39" t="str">
        <f t="shared" si="2"/>
        <v/>
      </c>
      <c r="K38" s="39" t="str">
        <f t="shared" si="3"/>
        <v/>
      </c>
      <c r="L38" s="39" t="str">
        <f t="shared" si="4"/>
        <v/>
      </c>
      <c r="M38" s="16"/>
      <c r="N38" s="215" t="str">
        <f t="shared" si="5"/>
        <v/>
      </c>
      <c r="O38" s="216" t="str">
        <f t="shared" si="6"/>
        <v/>
      </c>
      <c r="P38" s="39" t="str">
        <f t="shared" si="7"/>
        <v/>
      </c>
      <c r="Q38" s="39" t="str">
        <f t="shared" si="8"/>
        <v/>
      </c>
      <c r="R38" s="39" t="str">
        <f t="shared" si="9"/>
        <v/>
      </c>
      <c r="T38" s="215" t="str">
        <f t="shared" si="10"/>
        <v/>
      </c>
      <c r="U38" s="216" t="str">
        <f t="shared" si="11"/>
        <v/>
      </c>
      <c r="V38" s="39" t="str">
        <f t="shared" si="12"/>
        <v/>
      </c>
      <c r="W38" s="39" t="str">
        <f t="shared" si="13"/>
        <v/>
      </c>
      <c r="X38" s="39" t="str">
        <f t="shared" si="14"/>
        <v/>
      </c>
    </row>
    <row r="39" spans="1:24">
      <c r="A39" s="211">
        <v>28</v>
      </c>
      <c r="B39" s="212"/>
      <c r="C39" s="213"/>
      <c r="D39" s="214"/>
      <c r="E39" s="212"/>
      <c r="F39" s="213"/>
      <c r="G39" s="16"/>
      <c r="H39" s="215" t="str">
        <f t="shared" si="0"/>
        <v/>
      </c>
      <c r="I39" s="216" t="str">
        <f t="shared" si="1"/>
        <v/>
      </c>
      <c r="J39" s="39" t="str">
        <f t="shared" si="2"/>
        <v/>
      </c>
      <c r="K39" s="39" t="str">
        <f t="shared" si="3"/>
        <v/>
      </c>
      <c r="L39" s="39" t="str">
        <f t="shared" si="4"/>
        <v/>
      </c>
      <c r="M39" s="16"/>
      <c r="N39" s="215" t="str">
        <f t="shared" si="5"/>
        <v/>
      </c>
      <c r="O39" s="216" t="str">
        <f t="shared" si="6"/>
        <v/>
      </c>
      <c r="P39" s="39" t="str">
        <f t="shared" si="7"/>
        <v/>
      </c>
      <c r="Q39" s="39" t="str">
        <f t="shared" si="8"/>
        <v/>
      </c>
      <c r="R39" s="39" t="str">
        <f t="shared" si="9"/>
        <v/>
      </c>
      <c r="T39" s="215" t="str">
        <f t="shared" si="10"/>
        <v/>
      </c>
      <c r="U39" s="216" t="str">
        <f t="shared" si="11"/>
        <v/>
      </c>
      <c r="V39" s="39" t="str">
        <f t="shared" si="12"/>
        <v/>
      </c>
      <c r="W39" s="39" t="str">
        <f t="shared" si="13"/>
        <v/>
      </c>
      <c r="X39" s="39" t="str">
        <f t="shared" si="14"/>
        <v/>
      </c>
    </row>
    <row r="40" spans="1:24">
      <c r="A40" s="211">
        <v>29</v>
      </c>
      <c r="B40" s="212"/>
      <c r="C40" s="213"/>
      <c r="D40" s="214"/>
      <c r="E40" s="212"/>
      <c r="F40" s="213"/>
      <c r="G40" s="16"/>
      <c r="H40" s="215" t="str">
        <f t="shared" si="0"/>
        <v/>
      </c>
      <c r="I40" s="216" t="str">
        <f t="shared" si="1"/>
        <v/>
      </c>
      <c r="J40" s="39" t="str">
        <f t="shared" si="2"/>
        <v/>
      </c>
      <c r="K40" s="39" t="str">
        <f t="shared" si="3"/>
        <v/>
      </c>
      <c r="L40" s="39" t="str">
        <f t="shared" si="4"/>
        <v/>
      </c>
      <c r="M40" s="16"/>
      <c r="N40" s="215" t="str">
        <f t="shared" si="5"/>
        <v/>
      </c>
      <c r="O40" s="216" t="str">
        <f t="shared" si="6"/>
        <v/>
      </c>
      <c r="P40" s="39" t="str">
        <f t="shared" si="7"/>
        <v/>
      </c>
      <c r="Q40" s="39" t="str">
        <f t="shared" si="8"/>
        <v/>
      </c>
      <c r="R40" s="39" t="str">
        <f t="shared" si="9"/>
        <v/>
      </c>
      <c r="T40" s="215" t="str">
        <f t="shared" si="10"/>
        <v/>
      </c>
      <c r="U40" s="216" t="str">
        <f t="shared" si="11"/>
        <v/>
      </c>
      <c r="V40" s="39" t="str">
        <f t="shared" si="12"/>
        <v/>
      </c>
      <c r="W40" s="39" t="str">
        <f t="shared" si="13"/>
        <v/>
      </c>
      <c r="X40" s="39" t="str">
        <f t="shared" si="14"/>
        <v/>
      </c>
    </row>
    <row r="41" spans="1:24">
      <c r="A41" s="211">
        <v>30</v>
      </c>
      <c r="B41" s="212"/>
      <c r="C41" s="213"/>
      <c r="D41" s="214"/>
      <c r="E41" s="212"/>
      <c r="F41" s="213"/>
      <c r="G41" s="16"/>
      <c r="H41" s="215" t="str">
        <f t="shared" si="0"/>
        <v/>
      </c>
      <c r="I41" s="216" t="str">
        <f t="shared" si="1"/>
        <v/>
      </c>
      <c r="J41" s="39" t="str">
        <f t="shared" si="2"/>
        <v/>
      </c>
      <c r="K41" s="39" t="str">
        <f t="shared" si="3"/>
        <v/>
      </c>
      <c r="L41" s="39" t="str">
        <f t="shared" si="4"/>
        <v/>
      </c>
      <c r="M41" s="16"/>
      <c r="N41" s="215" t="str">
        <f t="shared" si="5"/>
        <v/>
      </c>
      <c r="O41" s="216" t="str">
        <f t="shared" si="6"/>
        <v/>
      </c>
      <c r="P41" s="39" t="str">
        <f t="shared" si="7"/>
        <v/>
      </c>
      <c r="Q41" s="39" t="str">
        <f t="shared" si="8"/>
        <v/>
      </c>
      <c r="R41" s="39" t="str">
        <f t="shared" si="9"/>
        <v/>
      </c>
      <c r="T41" s="215" t="str">
        <f t="shared" si="10"/>
        <v/>
      </c>
      <c r="U41" s="216" t="str">
        <f t="shared" si="11"/>
        <v/>
      </c>
      <c r="V41" s="39" t="str">
        <f t="shared" si="12"/>
        <v/>
      </c>
      <c r="W41" s="39" t="str">
        <f t="shared" si="13"/>
        <v/>
      </c>
      <c r="X41" s="39" t="str">
        <f t="shared" si="14"/>
        <v/>
      </c>
    </row>
    <row r="42" spans="1:24">
      <c r="A42" s="92"/>
      <c r="B42" s="92"/>
      <c r="C42" s="9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4">
      <c r="E44"/>
      <c r="F44"/>
      <c r="G44"/>
      <c r="H44" s="218" t="str">
        <f>IF(B4="", "", MIN(I12:I14,O12:O14,U12:U14)*1.1)</f>
        <v/>
      </c>
      <c r="I44" s="218" t="str">
        <f>IF(B4="", "", B4)</f>
        <v/>
      </c>
      <c r="J44" s="218" t="str">
        <f>IF(B5="", "", B5)</f>
        <v/>
      </c>
      <c r="K44" s="218">
        <f>MAX(B12:C41,E12:F41)*1.1</f>
        <v>0</v>
      </c>
      <c r="L44"/>
      <c r="M44"/>
      <c r="N44"/>
      <c r="O44"/>
      <c r="P44"/>
      <c r="Q44"/>
      <c r="R44"/>
      <c r="S44"/>
      <c r="T44"/>
      <c r="U44"/>
      <c r="V44"/>
      <c r="W44"/>
    </row>
    <row r="45" spans="1:24">
      <c r="E45"/>
      <c r="F45"/>
      <c r="G45"/>
      <c r="H45" s="218" t="str">
        <f>IF(B4="", "", MAX(I12:I14,O12:O14,U12:U14)*1.1)</f>
        <v/>
      </c>
      <c r="I45" s="218" t="str">
        <f>I44</f>
        <v/>
      </c>
      <c r="J45" s="218" t="str">
        <f>J44</f>
        <v/>
      </c>
      <c r="K45" s="218">
        <f>MIN(B12:C41,E12:F41)*0.9</f>
        <v>0</v>
      </c>
    </row>
    <row r="46" spans="1:24">
      <c r="A46"/>
      <c r="B46"/>
      <c r="C46"/>
      <c r="D46"/>
      <c r="E46"/>
      <c r="F46"/>
      <c r="G46"/>
      <c r="H46"/>
      <c r="I46"/>
      <c r="J46"/>
    </row>
    <row r="47" spans="1:24">
      <c r="A47"/>
      <c r="B47"/>
      <c r="C47"/>
      <c r="D47"/>
      <c r="E47"/>
      <c r="F47"/>
      <c r="G47"/>
      <c r="H47"/>
      <c r="I47"/>
      <c r="J47"/>
    </row>
    <row r="48" spans="1:24">
      <c r="A48"/>
      <c r="B48"/>
      <c r="C48"/>
      <c r="D48"/>
      <c r="E48"/>
      <c r="F48"/>
      <c r="G48"/>
      <c r="H48"/>
      <c r="I48"/>
      <c r="J48"/>
    </row>
    <row r="49" spans="1:10">
      <c r="A49"/>
      <c r="B49"/>
      <c r="C49"/>
      <c r="D49"/>
      <c r="E49"/>
      <c r="F49"/>
      <c r="G49"/>
      <c r="H49"/>
      <c r="I49"/>
      <c r="J49"/>
    </row>
    <row r="50" spans="1:10">
      <c r="A50"/>
      <c r="B50"/>
      <c r="C50"/>
      <c r="D50"/>
      <c r="E50"/>
      <c r="F50"/>
      <c r="G50"/>
      <c r="H50"/>
      <c r="I50"/>
      <c r="J50"/>
    </row>
    <row r="51" spans="1:10">
      <c r="A51"/>
      <c r="B51"/>
      <c r="C51"/>
      <c r="D51"/>
      <c r="E51"/>
      <c r="F51"/>
      <c r="G51"/>
      <c r="H51"/>
      <c r="I51"/>
      <c r="J51"/>
    </row>
    <row r="52" spans="1:10">
      <c r="A52"/>
      <c r="B52"/>
      <c r="C52"/>
      <c r="D52"/>
      <c r="E52"/>
      <c r="F52"/>
      <c r="G52"/>
      <c r="H52"/>
      <c r="I52"/>
      <c r="J52"/>
    </row>
    <row r="53" spans="1:10">
      <c r="A53"/>
      <c r="B53"/>
      <c r="C53"/>
      <c r="D53"/>
      <c r="E53"/>
      <c r="F53"/>
      <c r="G53"/>
      <c r="H53"/>
      <c r="I53"/>
      <c r="J53"/>
    </row>
    <row r="54" spans="1:10">
      <c r="A54"/>
      <c r="B54"/>
      <c r="C54"/>
      <c r="D54"/>
      <c r="E54"/>
      <c r="F54"/>
      <c r="G54"/>
      <c r="H54"/>
      <c r="I54"/>
      <c r="J54"/>
    </row>
    <row r="55" spans="1:10">
      <c r="A55"/>
      <c r="B55"/>
      <c r="C55"/>
      <c r="D55"/>
      <c r="E55"/>
      <c r="F55"/>
      <c r="G55"/>
      <c r="H55"/>
      <c r="I55"/>
      <c r="J55"/>
    </row>
    <row r="56" spans="1:10">
      <c r="D56"/>
    </row>
    <row r="57" spans="1:10">
      <c r="D57"/>
    </row>
    <row r="58" spans="1:10">
      <c r="D58"/>
    </row>
    <row r="59" spans="1:10">
      <c r="D59"/>
    </row>
  </sheetData>
  <sheetProtection password="CC08" sheet="1" scenarios="1"/>
  <protectedRanges>
    <protectedRange sqref="F1:H6 B4:B5 C7 B12:F65536" name="Range1"/>
  </protectedRanges>
  <mergeCells count="10">
    <mergeCell ref="T10:X10"/>
    <mergeCell ref="N4:P4"/>
    <mergeCell ref="F1:H1"/>
    <mergeCell ref="F4:H4"/>
    <mergeCell ref="F5:H5"/>
    <mergeCell ref="F6:H6"/>
    <mergeCell ref="F2:H2"/>
    <mergeCell ref="H10:L10"/>
    <mergeCell ref="N10:R10"/>
    <mergeCell ref="H9:X9"/>
  </mergeCells>
  <phoneticPr fontId="5" type="noConversion"/>
  <conditionalFormatting sqref="A1795:K12309">
    <cfRule type="expression" dxfId="71" priority="1" stopIfTrue="1">
      <formula>$I1834&gt;$K1834</formula>
    </cfRule>
  </conditionalFormatting>
  <conditionalFormatting sqref="T1318:X39636">
    <cfRule type="expression" dxfId="70" priority="2" stopIfTrue="1">
      <formula>$I1022716&gt;$K1022716</formula>
    </cfRule>
  </conditionalFormatting>
  <conditionalFormatting sqref="IV928:IV40389">
    <cfRule type="expression" dxfId="69" priority="3" stopIfTrue="1">
      <formula>$I1023468&gt;$K1023468</formula>
    </cfRule>
  </conditionalFormatting>
  <conditionalFormatting sqref="IV1331:IV33566">
    <cfRule type="expression" dxfId="68" priority="4" stopIfTrue="1">
      <formula>$I33605&gt;$K33605</formula>
    </cfRule>
  </conditionalFormatting>
  <conditionalFormatting sqref="IV1327:IV41493">
    <cfRule type="expression" dxfId="67" priority="5" stopIfTrue="1">
      <formula>$I1024572&gt;$K1024572</formula>
    </cfRule>
  </conditionalFormatting>
  <conditionalFormatting sqref="Y1327:IV39645">
    <cfRule type="expression" dxfId="66" priority="6" stopIfTrue="1">
      <formula>$I1022726&gt;$K1022726</formula>
    </cfRule>
  </conditionalFormatting>
  <conditionalFormatting sqref="F4:F7 G4:I41 F9:F41 D4:E41">
    <cfRule type="expression" dxfId="65" priority="7" stopIfTrue="1">
      <formula>$I55&gt;$K55</formula>
    </cfRule>
  </conditionalFormatting>
  <conditionalFormatting sqref="H10:X11 C10:C11">
    <cfRule type="expression" dxfId="64" priority="8" stopIfTrue="1">
      <formula>$I42&gt;$K42</formula>
    </cfRule>
  </conditionalFormatting>
  <conditionalFormatting sqref="IV1:IV9 H2:X8 D2:D7 C2:C6 Y2:IV41 F2:F7 Y65535:IV65536 D4:E41 G2:G41 F9:F41 E2:E41 H12:X41 C12:C41">
    <cfRule type="expression" dxfId="63" priority="9" stopIfTrue="1">
      <formula>#REF!&gt;#REF!</formula>
    </cfRule>
  </conditionalFormatting>
  <conditionalFormatting sqref="B12:F41">
    <cfRule type="expression" dxfId="62" priority="14" stopIfTrue="1">
      <formula>$J12&gt;$L12</formula>
    </cfRule>
  </conditionalFormatting>
  <conditionalFormatting sqref="D34:I41">
    <cfRule type="expression" dxfId="61" priority="16" stopIfTrue="1">
      <formula>$I85&gt;$K85</formula>
    </cfRule>
  </conditionalFormatting>
  <conditionalFormatting sqref="D34:I41 D15:I24">
    <cfRule type="expression" dxfId="60" priority="37" stopIfTrue="1">
      <formula>$I76&gt;$K76</formula>
    </cfRule>
  </conditionalFormatting>
  <conditionalFormatting sqref="D34:I41">
    <cfRule type="expression" dxfId="59" priority="39" stopIfTrue="1">
      <formula>$I75&gt;$K75</formula>
    </cfRule>
  </conditionalFormatting>
  <conditionalFormatting sqref="D33:I33">
    <cfRule type="expression" dxfId="58" priority="59" stopIfTrue="1">
      <formula>$I85&gt;$K85</formula>
    </cfRule>
  </conditionalFormatting>
  <conditionalFormatting sqref="D33:I33">
    <cfRule type="expression" dxfId="57" priority="61" stopIfTrue="1">
      <formula>$I95&gt;$K95</formula>
    </cfRule>
  </conditionalFormatting>
  <conditionalFormatting sqref="D33:I33">
    <cfRule type="expression" dxfId="56" priority="63" stopIfTrue="1">
      <formula>$I75&gt;$K75</formula>
    </cfRule>
  </conditionalFormatting>
  <conditionalFormatting sqref="D32:I32">
    <cfRule type="expression" dxfId="55" priority="83" stopIfTrue="1">
      <formula>$I85&gt;$K85</formula>
    </cfRule>
  </conditionalFormatting>
  <conditionalFormatting sqref="D32:I32">
    <cfRule type="expression" dxfId="54" priority="85" stopIfTrue="1">
      <formula>$I95&gt;$K95</formula>
    </cfRule>
  </conditionalFormatting>
  <conditionalFormatting sqref="D32:I32">
    <cfRule type="expression" dxfId="53" priority="87" stopIfTrue="1">
      <formula>$I75&gt;$K75</formula>
    </cfRule>
  </conditionalFormatting>
  <conditionalFormatting sqref="D31:I31">
    <cfRule type="expression" dxfId="52" priority="107" stopIfTrue="1">
      <formula>$I85&gt;$K85</formula>
    </cfRule>
  </conditionalFormatting>
  <conditionalFormatting sqref="D31:I31">
    <cfRule type="expression" dxfId="51" priority="109" stopIfTrue="1">
      <formula>$I95&gt;$K95</formula>
    </cfRule>
  </conditionalFormatting>
  <conditionalFormatting sqref="D31:I31">
    <cfRule type="expression" dxfId="50" priority="111" stopIfTrue="1">
      <formula>$I75&gt;$K75</formula>
    </cfRule>
  </conditionalFormatting>
  <conditionalFormatting sqref="D30:I30">
    <cfRule type="expression" dxfId="49" priority="131" stopIfTrue="1">
      <formula>$I85&gt;$K85</formula>
    </cfRule>
  </conditionalFormatting>
  <conditionalFormatting sqref="D30:I30">
    <cfRule type="expression" dxfId="48" priority="133" stopIfTrue="1">
      <formula>$I95&gt;$K95</formula>
    </cfRule>
  </conditionalFormatting>
  <conditionalFormatting sqref="D30:I30">
    <cfRule type="expression" dxfId="47" priority="135" stopIfTrue="1">
      <formula>$I75&gt;$K75</formula>
    </cfRule>
  </conditionalFormatting>
  <conditionalFormatting sqref="D29:I29">
    <cfRule type="expression" dxfId="46" priority="155" stopIfTrue="1">
      <formula>$I85&gt;$K85</formula>
    </cfRule>
  </conditionalFormatting>
  <conditionalFormatting sqref="D29:I29">
    <cfRule type="expression" dxfId="45" priority="157" stopIfTrue="1">
      <formula>$I95&gt;$K95</formula>
    </cfRule>
  </conditionalFormatting>
  <conditionalFormatting sqref="D29:I29">
    <cfRule type="expression" dxfId="44" priority="159" stopIfTrue="1">
      <formula>$I75&gt;$K75</formula>
    </cfRule>
  </conditionalFormatting>
  <conditionalFormatting sqref="D28:I28">
    <cfRule type="expression" dxfId="43" priority="179" stopIfTrue="1">
      <formula>$I85&gt;$K85</formula>
    </cfRule>
  </conditionalFormatting>
  <conditionalFormatting sqref="D28:I28">
    <cfRule type="expression" dxfId="42" priority="181" stopIfTrue="1">
      <formula>$I95&gt;$K95</formula>
    </cfRule>
  </conditionalFormatting>
  <conditionalFormatting sqref="D28:I28">
    <cfRule type="expression" dxfId="41" priority="183" stopIfTrue="1">
      <formula>$I75&gt;$K75</formula>
    </cfRule>
  </conditionalFormatting>
  <conditionalFormatting sqref="D27:I27">
    <cfRule type="expression" dxfId="40" priority="203" stopIfTrue="1">
      <formula>$I85&gt;$K85</formula>
    </cfRule>
  </conditionalFormatting>
  <conditionalFormatting sqref="D27:I27">
    <cfRule type="expression" dxfId="39" priority="205" stopIfTrue="1">
      <formula>$I95&gt;$K95</formula>
    </cfRule>
  </conditionalFormatting>
  <conditionalFormatting sqref="D27:I27">
    <cfRule type="expression" dxfId="38" priority="207" stopIfTrue="1">
      <formula>$I75&gt;$K75</formula>
    </cfRule>
  </conditionalFormatting>
  <conditionalFormatting sqref="D26:I26">
    <cfRule type="expression" dxfId="37" priority="227" stopIfTrue="1">
      <formula>$I85&gt;$K85</formula>
    </cfRule>
  </conditionalFormatting>
  <conditionalFormatting sqref="D26:I26">
    <cfRule type="expression" dxfId="36" priority="229" stopIfTrue="1">
      <formula>$I95&gt;$K95</formula>
    </cfRule>
  </conditionalFormatting>
  <conditionalFormatting sqref="D26:I26">
    <cfRule type="expression" dxfId="35" priority="231" stopIfTrue="1">
      <formula>$I75&gt;$K75</formula>
    </cfRule>
  </conditionalFormatting>
  <conditionalFormatting sqref="D25:I25">
    <cfRule type="expression" dxfId="34" priority="251" stopIfTrue="1">
      <formula>$I85&gt;$K85</formula>
    </cfRule>
  </conditionalFormatting>
  <conditionalFormatting sqref="D25:I25">
    <cfRule type="expression" dxfId="33" priority="253" stopIfTrue="1">
      <formula>$I95&gt;$K95</formula>
    </cfRule>
  </conditionalFormatting>
  <conditionalFormatting sqref="D25:I25">
    <cfRule type="expression" dxfId="32" priority="255" stopIfTrue="1">
      <formula>$I75&gt;$K75</formula>
    </cfRule>
  </conditionalFormatting>
  <conditionalFormatting sqref="D15:I24">
    <cfRule type="expression" dxfId="31" priority="277" stopIfTrue="1">
      <formula>$I86&gt;$K86</formula>
    </cfRule>
  </conditionalFormatting>
  <pageMargins left="0.75" right="0.75" top="0.75" bottom="0.25" header="0.5" footer="0.5"/>
  <pageSetup orientation="portrait" horizontalDpi="4294967292" r:id="rId1"/>
  <headerFooter alignWithMargins="0">
    <oddHeader>&amp;C&amp;"Arial,Bold"&amp;12Measurement Discrimination Study</oddHeader>
  </headerFooter>
  <colBreaks count="1" manualBreakCount="1">
    <brk id="10" max="1048575" man="1"/>
  </colBreaks>
  <drawing r:id="rId2"/>
  <legacyDrawing r:id="rId3"/>
  <controls>
    <control shapeId="16394" r:id="rId4" name="MainMenu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L21"/>
  <sheetViews>
    <sheetView showGridLines="0" workbookViewId="0">
      <selection activeCell="K30" sqref="K30"/>
    </sheetView>
  </sheetViews>
  <sheetFormatPr defaultColWidth="8" defaultRowHeight="12.75"/>
  <cols>
    <col min="1" max="1" width="20" style="234" customWidth="1"/>
    <col min="2" max="2" width="9.28515625" style="234" customWidth="1"/>
    <col min="3" max="3" width="8" style="234" customWidth="1"/>
    <col min="4" max="4" width="12.28515625" style="234" customWidth="1"/>
    <col min="5" max="5" width="8" style="234" customWidth="1"/>
    <col min="6" max="6" width="9.140625" style="234" customWidth="1"/>
    <col min="7" max="16384" width="8" style="234"/>
  </cols>
  <sheetData>
    <row r="1" spans="1:12" ht="15.75">
      <c r="A1" s="233" t="s">
        <v>426</v>
      </c>
    </row>
    <row r="2" spans="1:12">
      <c r="A2" s="235"/>
      <c r="B2" s="236"/>
      <c r="C2" s="236"/>
      <c r="D2" s="236"/>
      <c r="E2" s="236"/>
      <c r="F2" s="236"/>
    </row>
    <row r="3" spans="1:12">
      <c r="A3" s="237" t="s">
        <v>427</v>
      </c>
      <c r="B3" s="238"/>
      <c r="C3" s="239"/>
      <c r="D3" s="239"/>
      <c r="E3" s="239"/>
      <c r="F3" s="240"/>
      <c r="G3" s="241"/>
      <c r="H3" s="241"/>
      <c r="I3" s="241"/>
    </row>
    <row r="4" spans="1:12">
      <c r="A4" s="237" t="s">
        <v>428</v>
      </c>
      <c r="B4" s="238"/>
      <c r="C4" s="239"/>
      <c r="D4" s="239"/>
      <c r="E4" s="239"/>
      <c r="F4" s="240"/>
      <c r="G4" s="241"/>
      <c r="H4" s="241"/>
      <c r="I4" s="241"/>
    </row>
    <row r="5" spans="1:12">
      <c r="G5" s="241"/>
      <c r="H5" s="241"/>
      <c r="I5" s="241"/>
    </row>
    <row r="6" spans="1:12" ht="13.5" thickBot="1">
      <c r="A6" s="242" t="s">
        <v>429</v>
      </c>
      <c r="B6" s="243" t="s">
        <v>430</v>
      </c>
      <c r="C6" s="243" t="s">
        <v>214</v>
      </c>
      <c r="D6" s="243" t="s">
        <v>431</v>
      </c>
      <c r="E6" s="243" t="s">
        <v>432</v>
      </c>
      <c r="F6" s="244" t="s">
        <v>433</v>
      </c>
      <c r="G6" s="241"/>
      <c r="H6" s="241"/>
      <c r="I6" s="241"/>
    </row>
    <row r="7" spans="1:12" ht="13.5" thickTop="1">
      <c r="A7" s="1452"/>
      <c r="B7" s="245"/>
      <c r="C7" s="245"/>
      <c r="D7" s="948" t="str">
        <f>IF(B7="","",$B$16/$C$16*C7)</f>
        <v/>
      </c>
      <c r="E7" s="949" t="str">
        <f>IF(B7="","",B7/C7)</f>
        <v/>
      </c>
      <c r="F7" s="950" t="str">
        <f>IF(A7="","",((B7-D7)^2)/D7)</f>
        <v/>
      </c>
      <c r="G7" s="241"/>
      <c r="H7" s="241"/>
      <c r="I7" s="241"/>
      <c r="J7" s="234">
        <v>25</v>
      </c>
      <c r="K7" s="234">
        <v>0.12</v>
      </c>
      <c r="L7" s="234">
        <f>K7*J7</f>
        <v>3</v>
      </c>
    </row>
    <row r="8" spans="1:12">
      <c r="A8" s="1452"/>
      <c r="B8" s="245"/>
      <c r="C8" s="245"/>
      <c r="D8" s="948" t="str">
        <f>IF(B8="","",$B$16/$C$16*C8)</f>
        <v/>
      </c>
      <c r="E8" s="949" t="str">
        <f>IF(B8="","",B8/C8)</f>
        <v/>
      </c>
      <c r="F8" s="950" t="str">
        <f>IF(A8="","",((B8-D8)^2)/D8)</f>
        <v/>
      </c>
      <c r="G8" s="241"/>
      <c r="H8" s="241"/>
      <c r="I8" s="241"/>
      <c r="J8" s="234">
        <v>25</v>
      </c>
      <c r="K8" s="234">
        <v>0.32</v>
      </c>
      <c r="L8" s="234">
        <f>K8*J8</f>
        <v>8</v>
      </c>
    </row>
    <row r="9" spans="1:12">
      <c r="A9" s="1452"/>
      <c r="B9" s="245"/>
      <c r="C9" s="245"/>
      <c r="D9" s="948" t="str">
        <f>IF(B9="","",$B$16/$C$16*C9)</f>
        <v/>
      </c>
      <c r="E9" s="949" t="str">
        <f>IF(B9="","",B9/C9)</f>
        <v/>
      </c>
      <c r="F9" s="950" t="str">
        <f>IF(A9="","",((B9-D9)^2)/D9)</f>
        <v/>
      </c>
      <c r="H9" s="241"/>
      <c r="I9" s="241"/>
      <c r="J9" s="234">
        <v>25</v>
      </c>
      <c r="K9" s="234">
        <v>0.32</v>
      </c>
      <c r="L9" s="234">
        <f>K9*J9</f>
        <v>8</v>
      </c>
    </row>
    <row r="10" spans="1:12">
      <c r="A10" s="1452"/>
      <c r="B10" s="245"/>
      <c r="C10" s="245"/>
      <c r="D10" s="948" t="str">
        <f>IF(B10="","",$B$16/$C$16*C10)</f>
        <v/>
      </c>
      <c r="E10" s="949" t="str">
        <f>IF(B10="","",B10/C10)</f>
        <v/>
      </c>
      <c r="F10" s="950" t="str">
        <f>IF(A10="","",((B10-D10)^2)/D10)</f>
        <v/>
      </c>
      <c r="H10" s="241"/>
      <c r="I10" s="241"/>
      <c r="J10" s="234">
        <v>25</v>
      </c>
      <c r="K10" s="234">
        <v>0.04</v>
      </c>
      <c r="L10" s="234">
        <f>K10*J10</f>
        <v>1</v>
      </c>
    </row>
    <row r="11" spans="1:12">
      <c r="A11" s="1452"/>
      <c r="B11" s="245"/>
      <c r="C11" s="245"/>
      <c r="D11" s="948" t="str">
        <f t="shared" ref="D11:D12" si="0">IF(B11="","",$B$16/$C$16*C11)</f>
        <v/>
      </c>
      <c r="E11" s="949" t="str">
        <f t="shared" ref="E11:E12" si="1">IF(B11="","",B11/C11)</f>
        <v/>
      </c>
      <c r="F11" s="950" t="str">
        <f t="shared" ref="F11:F12" si="2">IF(A11="","",((B11-D11)^2)/D11)</f>
        <v/>
      </c>
    </row>
    <row r="12" spans="1:12">
      <c r="A12" s="1452"/>
      <c r="B12" s="245"/>
      <c r="C12" s="245"/>
      <c r="D12" s="948" t="str">
        <f t="shared" si="0"/>
        <v/>
      </c>
      <c r="E12" s="949" t="str">
        <f t="shared" si="1"/>
        <v/>
      </c>
      <c r="F12" s="950" t="str">
        <f t="shared" si="2"/>
        <v/>
      </c>
    </row>
    <row r="13" spans="1:12">
      <c r="A13" s="1452"/>
      <c r="B13" s="245"/>
      <c r="C13" s="245"/>
      <c r="D13" s="948" t="str">
        <f t="shared" ref="D13" si="3">IF(B13="","",$B$16/$C$16*C13)</f>
        <v/>
      </c>
      <c r="E13" s="949" t="str">
        <f t="shared" ref="E13" si="4">IF(B13="","",B13/C13)</f>
        <v/>
      </c>
      <c r="F13" s="950" t="str">
        <f t="shared" ref="F13" si="5">IF(A13="","",((B13-D13)^2)/D13)</f>
        <v/>
      </c>
    </row>
    <row r="14" spans="1:12">
      <c r="A14" s="1452"/>
      <c r="B14" s="245"/>
      <c r="C14" s="245"/>
      <c r="D14" s="948" t="str">
        <f t="shared" ref="D14" si="6">IF(B14="","",$B$16/$C$16*C14)</f>
        <v/>
      </c>
      <c r="E14" s="949" t="str">
        <f t="shared" ref="E14" si="7">IF(B14="","",B14/C14)</f>
        <v/>
      </c>
      <c r="F14" s="950" t="str">
        <f t="shared" ref="F14" si="8">IF(A14="","",((B14-D14)^2)/D14)</f>
        <v/>
      </c>
    </row>
    <row r="15" spans="1:12">
      <c r="A15" s="1452"/>
      <c r="B15" s="245"/>
      <c r="C15" s="245"/>
      <c r="D15" s="948" t="str">
        <f t="shared" ref="D15" si="9">IF(B15="","",$B$16/$C$16*C15)</f>
        <v/>
      </c>
      <c r="E15" s="949" t="str">
        <f t="shared" ref="E15" si="10">IF(B15="","",B15/C15)</f>
        <v/>
      </c>
      <c r="F15" s="950" t="str">
        <f t="shared" ref="F15" si="11">IF(A15="","",((B15-D15)^2)/D15)</f>
        <v/>
      </c>
    </row>
    <row r="16" spans="1:12">
      <c r="A16" s="247" t="s">
        <v>434</v>
      </c>
      <c r="B16" s="246">
        <f>SUM(B7:B15)</f>
        <v>0</v>
      </c>
      <c r="C16" s="246">
        <f>SUM(C7:C15)</f>
        <v>0</v>
      </c>
      <c r="D16" s="241"/>
      <c r="E16" s="241"/>
      <c r="F16" s="241"/>
    </row>
    <row r="17" spans="1:6">
      <c r="A17" s="241"/>
      <c r="B17" s="248" t="s">
        <v>435</v>
      </c>
      <c r="C17" s="249" t="str">
        <f>IF(B7="","",CHITEST(B7:B15,D7:D15))</f>
        <v/>
      </c>
      <c r="E17" s="250" t="s">
        <v>436</v>
      </c>
      <c r="F17" s="251">
        <f>SUM(F7:F15)</f>
        <v>0</v>
      </c>
    </row>
    <row r="18" spans="1:6">
      <c r="A18" s="241"/>
      <c r="B18" s="252" t="s">
        <v>437</v>
      </c>
      <c r="C18" s="241" t="str">
        <f>IF(B7="","",COUNT(B7:B15)-1)</f>
        <v/>
      </c>
      <c r="E18" s="253" t="s">
        <v>438</v>
      </c>
      <c r="F18" s="251" t="str">
        <f>IF(B7="","",CHIINV(0.05,C18))</f>
        <v/>
      </c>
    </row>
    <row r="19" spans="1:6">
      <c r="A19" s="254" t="str">
        <f>IF(B7="","",IF(MIN(D7:D15)&lt;5,"CAUTION:  Expected Frequencies are less than 5, increase sample size or use alternative analysis!",""))</f>
        <v/>
      </c>
    </row>
    <row r="21" spans="1:6">
      <c r="C21" s="255" t="str">
        <f>IF(C17&lt;0.05,"There is a statistically significant difference","There is NOT a statistically significant difference")</f>
        <v>There is NOT a statistically significant difference</v>
      </c>
    </row>
  </sheetData>
  <sheetProtection password="CC08" sheet="1" objects="1" scenarios="1"/>
  <phoneticPr fontId="6" type="noConversion"/>
  <conditionalFormatting sqref="C21">
    <cfRule type="cellIs" dxfId="30" priority="1" stopIfTrue="1" operator="lessThanOrEqual">
      <formula>0.05</formula>
    </cfRule>
    <cfRule type="cellIs" dxfId="29" priority="2" stopIfTrue="1" operator="greaterThan">
      <formula>0.05</formula>
    </cfRule>
  </conditionalFormatting>
  <printOptions horizontalCentered="1"/>
  <pageMargins left="0.75" right="0.75" top="1" bottom="1" header="0.5" footer="0.5"/>
  <pageSetup orientation="portrait" r:id="rId1"/>
  <headerFooter alignWithMargins="0">
    <oddHeader>&amp;C&amp;12Attributes Data Hypothesis Test
&amp;A</oddHeader>
    <oddFooter>&amp;L&amp;8&amp;F&amp;C&amp;8Page &amp;P&amp;R&amp;8&amp;D</oddFooter>
  </headerFooter>
  <drawing r:id="rId2"/>
  <legacyDrawing r:id="rId3"/>
  <controls>
    <control shapeId="20483" r:id="rId4" name="MainMenu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G16"/>
  <sheetViews>
    <sheetView showGridLines="0" workbookViewId="0">
      <selection activeCell="G11" sqref="G11"/>
    </sheetView>
  </sheetViews>
  <sheetFormatPr defaultColWidth="8" defaultRowHeight="12.75"/>
  <cols>
    <col min="1" max="1" width="4.5703125" style="1416" customWidth="1"/>
    <col min="2" max="2" width="18.140625" style="1416" customWidth="1"/>
    <col min="3" max="3" width="10.28515625" style="1416" customWidth="1"/>
    <col min="4" max="4" width="9.7109375" style="1416" customWidth="1"/>
    <col min="5" max="5" width="13.28515625" style="1416" customWidth="1"/>
    <col min="6" max="16384" width="8" style="1416"/>
  </cols>
  <sheetData>
    <row r="1" spans="1:7" ht="18.75">
      <c r="A1" s="1415" t="s">
        <v>443</v>
      </c>
    </row>
    <row r="2" spans="1:7" ht="12.75" customHeight="1">
      <c r="A2" s="1415"/>
    </row>
    <row r="3" spans="1:7" ht="12.75" customHeight="1">
      <c r="A3" s="1415"/>
      <c r="B3" s="1417" t="s">
        <v>427</v>
      </c>
      <c r="C3" s="1432"/>
      <c r="D3" s="1433"/>
      <c r="E3" s="1433"/>
      <c r="F3" s="1433"/>
      <c r="G3" s="1434"/>
    </row>
    <row r="4" spans="1:7" ht="12.75" customHeight="1">
      <c r="A4" s="1415"/>
      <c r="B4" s="1417" t="s">
        <v>428</v>
      </c>
      <c r="C4" s="1432"/>
      <c r="D4" s="1433"/>
      <c r="E4" s="1433"/>
      <c r="F4" s="1433"/>
      <c r="G4" s="1434"/>
    </row>
    <row r="6" spans="1:7" s="1418" customFormat="1" ht="13.5" thickBot="1">
      <c r="B6" s="1419" t="s">
        <v>439</v>
      </c>
      <c r="C6" s="1419" t="s">
        <v>440</v>
      </c>
      <c r="D6" s="1419" t="s">
        <v>441</v>
      </c>
      <c r="E6" s="1419" t="s">
        <v>432</v>
      </c>
      <c r="F6" s="1420"/>
    </row>
    <row r="7" spans="1:7" s="1418" customFormat="1" ht="15" thickTop="1">
      <c r="B7" s="1432"/>
      <c r="C7" s="1432"/>
      <c r="D7" s="1432"/>
      <c r="E7" s="1421" t="e">
        <f>C7/D7</f>
        <v>#DIV/0!</v>
      </c>
      <c r="F7" s="1422" t="s">
        <v>463</v>
      </c>
    </row>
    <row r="8" spans="1:7" s="1418" customFormat="1" ht="14.25">
      <c r="B8" s="1432"/>
      <c r="C8" s="1432"/>
      <c r="D8" s="1432"/>
      <c r="E8" s="1421" t="e">
        <f>C8/D8</f>
        <v>#DIV/0!</v>
      </c>
      <c r="F8" s="1422" t="s">
        <v>464</v>
      </c>
    </row>
    <row r="9" spans="1:7" s="1418" customFormat="1">
      <c r="B9" s="1423"/>
      <c r="C9" s="1423"/>
      <c r="D9" s="1423"/>
      <c r="E9" s="1424"/>
      <c r="F9" s="1423"/>
    </row>
    <row r="10" spans="1:7" s="1418" customFormat="1" ht="14.25">
      <c r="B10" s="1423"/>
      <c r="C10" s="1423"/>
      <c r="D10" s="1425" t="s">
        <v>465</v>
      </c>
      <c r="E10" s="1426" t="e">
        <f>E7-E8</f>
        <v>#DIV/0!</v>
      </c>
      <c r="F10" s="1423"/>
    </row>
    <row r="11" spans="1:7" s="1418" customFormat="1" ht="14.25">
      <c r="B11" s="1423"/>
      <c r="C11" s="1423"/>
      <c r="D11" s="1427" t="s">
        <v>466</v>
      </c>
      <c r="E11" s="1426" t="e">
        <f>((E7*(1-E7)/(C7+D7))+(E8*(1-E8)/(C8+D8)))^0.5</f>
        <v>#DIV/0!</v>
      </c>
      <c r="F11" s="1423"/>
    </row>
    <row r="12" spans="1:7" s="1418" customFormat="1">
      <c r="B12" s="1423"/>
      <c r="C12" s="1423"/>
      <c r="D12" s="1425" t="s">
        <v>442</v>
      </c>
      <c r="E12" s="1428" t="e">
        <f>E10/E11</f>
        <v>#DIV/0!</v>
      </c>
      <c r="F12" s="1423"/>
    </row>
    <row r="13" spans="1:7" s="1418" customFormat="1" ht="14.25">
      <c r="B13" s="1423"/>
      <c r="C13" s="1423"/>
      <c r="D13" s="1427" t="s">
        <v>467</v>
      </c>
      <c r="E13" s="1429" t="e">
        <f>1-NORMSDIST(ABS(E12))</f>
        <v>#DIV/0!</v>
      </c>
      <c r="F13" s="1423"/>
    </row>
    <row r="14" spans="1:7" s="1418" customFormat="1">
      <c r="B14" s="1423"/>
      <c r="C14" s="1423"/>
      <c r="D14" s="1430" t="s">
        <v>435</v>
      </c>
      <c r="E14" s="1431" t="e">
        <f>2*E13</f>
        <v>#DIV/0!</v>
      </c>
      <c r="F14" s="1423"/>
    </row>
    <row r="16" spans="1:7">
      <c r="B16" s="1495" t="e">
        <f>IF(E14&lt;0.05,"There is a statistically significant difference","There is NOT a statistically significant difference")</f>
        <v>#DIV/0!</v>
      </c>
      <c r="C16" s="1495"/>
      <c r="D16" s="1495"/>
      <c r="E16" s="1495"/>
      <c r="F16" s="1495"/>
    </row>
  </sheetData>
  <sheetProtection password="CC08" sheet="1" scenarios="1"/>
  <mergeCells count="1">
    <mergeCell ref="B16:F16"/>
  </mergeCells>
  <phoneticPr fontId="6" type="noConversion"/>
  <conditionalFormatting sqref="B16">
    <cfRule type="cellIs" dxfId="28" priority="1" stopIfTrue="1" operator="lessThanOrEqual">
      <formula>0.05</formula>
    </cfRule>
    <cfRule type="cellIs" dxfId="27" priority="2" stopIfTrue="1" operator="greaterThan">
      <formula>0.05</formula>
    </cfRule>
  </conditionalFormatting>
  <printOptions horizontalCentered="1"/>
  <pageMargins left="0.75" right="0.75" top="1" bottom="1" header="0.5" footer="0.5"/>
  <pageSetup orientation="portrait" horizontalDpi="4294967292" r:id="rId1"/>
  <headerFooter alignWithMargins="0">
    <oddHeader>&amp;CAttributes Data Hypothesis Test</oddHeader>
    <oddFooter>&amp;L&amp;8&amp;F&amp;C&amp;8Page &amp;P&amp;R&amp;8&amp;D</oddFooter>
  </headerFooter>
  <drawing r:id="rId2"/>
  <legacyDrawing r:id="rId3"/>
  <controls>
    <control shapeId="22530" r:id="rId4" name="MainMenu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O57"/>
  <sheetViews>
    <sheetView workbookViewId="0"/>
  </sheetViews>
  <sheetFormatPr defaultRowHeight="12.75"/>
  <cols>
    <col min="1" max="1" width="6.85546875" customWidth="1"/>
    <col min="2" max="2" width="20.5703125" customWidth="1"/>
    <col min="3" max="3" width="18.5703125" customWidth="1"/>
    <col min="4" max="4" width="12.28515625" bestFit="1" customWidth="1"/>
    <col min="5" max="5" width="10.28515625" customWidth="1"/>
    <col min="6" max="6" width="12.140625" customWidth="1"/>
    <col min="7" max="9" width="10.140625" customWidth="1"/>
    <col min="10" max="11" width="13.7109375" customWidth="1"/>
    <col min="12" max="12" width="15.5703125" customWidth="1"/>
    <col min="13" max="13" width="16.140625" customWidth="1"/>
    <col min="14" max="14" width="16.28515625" customWidth="1"/>
  </cols>
  <sheetData>
    <row r="1" spans="1:11">
      <c r="A1" s="256"/>
      <c r="B1" s="257" t="s">
        <v>460</v>
      </c>
    </row>
    <row r="2" spans="1:11">
      <c r="A2" s="258" t="s">
        <v>460</v>
      </c>
      <c r="B2" s="259">
        <v>0.05</v>
      </c>
    </row>
    <row r="3" spans="1:11">
      <c r="A3" s="258" t="s">
        <v>480</v>
      </c>
      <c r="B3" s="260">
        <f>B2/2</f>
        <v>2.5000000000000001E-2</v>
      </c>
      <c r="C3" s="261"/>
      <c r="F3" s="262"/>
      <c r="G3" s="262"/>
      <c r="H3" s="262"/>
      <c r="I3" s="262"/>
    </row>
    <row r="4" spans="1:11">
      <c r="A4" s="263" t="s">
        <v>481</v>
      </c>
      <c r="B4" s="260">
        <f>1-B2/2</f>
        <v>0.97499999999999998</v>
      </c>
      <c r="D4" s="264"/>
      <c r="E4" s="264"/>
      <c r="F4" s="265"/>
      <c r="G4" s="266"/>
      <c r="H4" s="183"/>
      <c r="I4" s="183"/>
    </row>
    <row r="5" spans="1:11">
      <c r="D5" s="264"/>
      <c r="E5" s="264"/>
      <c r="F5" s="267"/>
      <c r="G5" s="266"/>
    </row>
    <row r="6" spans="1:11">
      <c r="B6" s="184" t="s">
        <v>470</v>
      </c>
      <c r="D6" s="264"/>
      <c r="E6" s="264"/>
      <c r="F6" s="267"/>
      <c r="G6" s="266"/>
      <c r="J6" s="268"/>
      <c r="K6" s="268"/>
    </row>
    <row r="7" spans="1:11">
      <c r="B7" s="1501" t="s">
        <v>471</v>
      </c>
      <c r="C7" s="1501" t="s">
        <v>472</v>
      </c>
      <c r="D7" s="1503" t="s">
        <v>473</v>
      </c>
      <c r="E7" s="1503" t="s">
        <v>474</v>
      </c>
      <c r="F7" s="1496" t="s">
        <v>475</v>
      </c>
      <c r="G7" s="1498" t="s">
        <v>476</v>
      </c>
      <c r="H7" s="1498"/>
      <c r="I7" s="1498"/>
      <c r="J7" s="1499" t="s">
        <v>477</v>
      </c>
      <c r="K7" s="1500"/>
    </row>
    <row r="8" spans="1:11" ht="12.75" customHeight="1">
      <c r="B8" s="1502"/>
      <c r="C8" s="1502"/>
      <c r="D8" s="1504"/>
      <c r="E8" s="1504"/>
      <c r="F8" s="1497"/>
      <c r="G8" s="270" t="str">
        <f>100*(1-B2)&amp;"% CI"</f>
        <v>95% CI</v>
      </c>
      <c r="H8" s="270" t="s">
        <v>350</v>
      </c>
      <c r="I8" s="270" t="s">
        <v>351</v>
      </c>
      <c r="J8" s="271" t="s">
        <v>350</v>
      </c>
      <c r="K8" s="272" t="s">
        <v>351</v>
      </c>
    </row>
    <row r="9" spans="1:11">
      <c r="B9" s="273"/>
      <c r="C9" s="273"/>
      <c r="D9" s="274"/>
      <c r="E9" s="274"/>
      <c r="F9" s="275" t="str">
        <f t="shared" ref="F9" si="0">IF(E9="","",E9/D9)</f>
        <v/>
      </c>
      <c r="G9" s="275" t="str">
        <f t="shared" ref="G9" si="1">IF((D9=""),"",IF((E9=0),1-(($B$2/2)^(1/D9)),-NORMSINV((B$2/2))*SQRT((F9)*(1-(F9))/D9)))</f>
        <v/>
      </c>
      <c r="H9" s="275" t="str">
        <f t="shared" ref="H9" si="2">IF(D9="","",F9+G9)</f>
        <v/>
      </c>
      <c r="I9" s="276" t="str">
        <f t="shared" ref="I9" si="3">IF(E9="","",F9-G9)</f>
        <v/>
      </c>
      <c r="J9" s="277" t="str">
        <f t="shared" ref="J9" si="4">IF(D9="","",IF(E9=D9,1,BETAINV(1-$B$2/2,E9+1,D9-E9+1)))</f>
        <v/>
      </c>
      <c r="K9" s="277" t="str">
        <f t="shared" ref="K9" si="5">IF(D9="","",IF(E9=0,0,BETAINV($B$2/2,E9+1,D9-E9+1)))</f>
        <v/>
      </c>
    </row>
    <row r="10" spans="1:11">
      <c r="B10" s="278"/>
      <c r="C10" s="278"/>
      <c r="D10" s="279"/>
      <c r="E10" s="279"/>
      <c r="F10" s="275" t="str">
        <f t="shared" ref="F10:F37" si="6">IF(E10="","",E10/D10)</f>
        <v/>
      </c>
      <c r="G10" s="275" t="str">
        <f t="shared" ref="G10:G37" si="7">IF((D10=""),"",IF((E10=0),1-(($B$2/2)^(1/D10)),-NORMSINV((B$2/2))*SQRT((F10)*(1-(F10))/D10)))</f>
        <v/>
      </c>
      <c r="H10" s="275" t="str">
        <f t="shared" ref="H10:H37" si="8">IF(D10="","",F10+G10)</f>
        <v/>
      </c>
      <c r="I10" s="276" t="str">
        <f t="shared" ref="I10:I37" si="9">IF(E10="","",F10-G10)</f>
        <v/>
      </c>
      <c r="J10" s="277" t="str">
        <f t="shared" ref="J10:J37" si="10">IF(D10="","",IF(E10=D10,1,BETAINV(1-$B$2/2,E10+1,D10-E10+1)))</f>
        <v/>
      </c>
      <c r="K10" s="277" t="str">
        <f t="shared" ref="K10:K37" si="11">IF(D10="","",IF(E10=0,0,BETAINV($B$2/2,E10+1,D10-E10+1)))</f>
        <v/>
      </c>
    </row>
    <row r="11" spans="1:11">
      <c r="B11" s="278"/>
      <c r="C11" s="278"/>
      <c r="D11" s="279"/>
      <c r="E11" s="279"/>
      <c r="F11" s="275" t="str">
        <f t="shared" si="6"/>
        <v/>
      </c>
      <c r="G11" s="275" t="str">
        <f t="shared" si="7"/>
        <v/>
      </c>
      <c r="H11" s="275" t="str">
        <f t="shared" si="8"/>
        <v/>
      </c>
      <c r="I11" s="276" t="str">
        <f t="shared" si="9"/>
        <v/>
      </c>
      <c r="J11" s="277" t="str">
        <f t="shared" si="10"/>
        <v/>
      </c>
      <c r="K11" s="277" t="str">
        <f t="shared" si="11"/>
        <v/>
      </c>
    </row>
    <row r="12" spans="1:11">
      <c r="B12" s="278"/>
      <c r="C12" s="278"/>
      <c r="D12" s="279"/>
      <c r="E12" s="279"/>
      <c r="F12" s="275" t="str">
        <f t="shared" si="6"/>
        <v/>
      </c>
      <c r="G12" s="275" t="str">
        <f t="shared" si="7"/>
        <v/>
      </c>
      <c r="H12" s="275" t="str">
        <f t="shared" si="8"/>
        <v/>
      </c>
      <c r="I12" s="276" t="str">
        <f t="shared" si="9"/>
        <v/>
      </c>
      <c r="J12" s="277" t="str">
        <f t="shared" si="10"/>
        <v/>
      </c>
      <c r="K12" s="277" t="str">
        <f t="shared" si="11"/>
        <v/>
      </c>
    </row>
    <row r="13" spans="1:11">
      <c r="B13" s="278"/>
      <c r="C13" s="278"/>
      <c r="D13" s="279"/>
      <c r="E13" s="279"/>
      <c r="F13" s="275" t="str">
        <f t="shared" si="6"/>
        <v/>
      </c>
      <c r="G13" s="275" t="str">
        <f t="shared" si="7"/>
        <v/>
      </c>
      <c r="H13" s="275" t="str">
        <f t="shared" si="8"/>
        <v/>
      </c>
      <c r="I13" s="276" t="str">
        <f t="shared" si="9"/>
        <v/>
      </c>
      <c r="J13" s="277" t="str">
        <f t="shared" si="10"/>
        <v/>
      </c>
      <c r="K13" s="277" t="str">
        <f t="shared" si="11"/>
        <v/>
      </c>
    </row>
    <row r="14" spans="1:11" s="1450" customFormat="1">
      <c r="B14" s="1451"/>
      <c r="C14" s="1451"/>
      <c r="D14" s="279"/>
      <c r="E14" s="279"/>
      <c r="F14" s="275" t="str">
        <f t="shared" si="6"/>
        <v/>
      </c>
      <c r="G14" s="275" t="str">
        <f t="shared" si="7"/>
        <v/>
      </c>
      <c r="H14" s="275" t="str">
        <f t="shared" si="8"/>
        <v/>
      </c>
      <c r="I14" s="276" t="str">
        <f t="shared" si="9"/>
        <v/>
      </c>
      <c r="J14" s="277" t="str">
        <f t="shared" si="10"/>
        <v/>
      </c>
      <c r="K14" s="277" t="str">
        <f t="shared" si="11"/>
        <v/>
      </c>
    </row>
    <row r="15" spans="1:11" s="1450" customFormat="1">
      <c r="B15" s="1451"/>
      <c r="C15" s="1451"/>
      <c r="D15" s="279"/>
      <c r="E15" s="279"/>
      <c r="F15" s="275" t="str">
        <f t="shared" si="6"/>
        <v/>
      </c>
      <c r="G15" s="275" t="str">
        <f t="shared" si="7"/>
        <v/>
      </c>
      <c r="H15" s="275" t="str">
        <f t="shared" si="8"/>
        <v/>
      </c>
      <c r="I15" s="276" t="str">
        <f t="shared" si="9"/>
        <v/>
      </c>
      <c r="J15" s="277" t="str">
        <f t="shared" si="10"/>
        <v/>
      </c>
      <c r="K15" s="277" t="str">
        <f t="shared" si="11"/>
        <v/>
      </c>
    </row>
    <row r="16" spans="1:11" s="1450" customFormat="1">
      <c r="B16" s="1451"/>
      <c r="C16" s="1451"/>
      <c r="D16" s="279"/>
      <c r="E16" s="279"/>
      <c r="F16" s="275" t="str">
        <f t="shared" si="6"/>
        <v/>
      </c>
      <c r="G16" s="275" t="str">
        <f t="shared" si="7"/>
        <v/>
      </c>
      <c r="H16" s="275" t="str">
        <f t="shared" si="8"/>
        <v/>
      </c>
      <c r="I16" s="276" t="str">
        <f t="shared" si="9"/>
        <v/>
      </c>
      <c r="J16" s="277" t="str">
        <f t="shared" si="10"/>
        <v/>
      </c>
      <c r="K16" s="277" t="str">
        <f t="shared" si="11"/>
        <v/>
      </c>
    </row>
    <row r="17" spans="1:13" s="1450" customFormat="1">
      <c r="B17" s="1451"/>
      <c r="C17" s="1451"/>
      <c r="D17" s="279"/>
      <c r="E17" s="279"/>
      <c r="F17" s="275" t="str">
        <f t="shared" si="6"/>
        <v/>
      </c>
      <c r="G17" s="275" t="str">
        <f t="shared" si="7"/>
        <v/>
      </c>
      <c r="H17" s="275" t="str">
        <f t="shared" si="8"/>
        <v/>
      </c>
      <c r="I17" s="276" t="str">
        <f t="shared" si="9"/>
        <v/>
      </c>
      <c r="J17" s="277" t="str">
        <f t="shared" si="10"/>
        <v/>
      </c>
      <c r="K17" s="277" t="str">
        <f t="shared" si="11"/>
        <v/>
      </c>
    </row>
    <row r="18" spans="1:13" s="1450" customFormat="1">
      <c r="B18" s="1451"/>
      <c r="C18" s="1451"/>
      <c r="D18" s="279"/>
      <c r="E18" s="279"/>
      <c r="F18" s="275" t="str">
        <f t="shared" si="6"/>
        <v/>
      </c>
      <c r="G18" s="275" t="str">
        <f t="shared" si="7"/>
        <v/>
      </c>
      <c r="H18" s="275" t="str">
        <f t="shared" si="8"/>
        <v/>
      </c>
      <c r="I18" s="276" t="str">
        <f t="shared" si="9"/>
        <v/>
      </c>
      <c r="J18" s="277" t="str">
        <f t="shared" si="10"/>
        <v/>
      </c>
      <c r="K18" s="277" t="str">
        <f t="shared" si="11"/>
        <v/>
      </c>
    </row>
    <row r="19" spans="1:13" s="1450" customFormat="1">
      <c r="B19" s="1451"/>
      <c r="C19" s="1451"/>
      <c r="D19" s="279"/>
      <c r="E19" s="279"/>
      <c r="F19" s="275" t="str">
        <f t="shared" si="6"/>
        <v/>
      </c>
      <c r="G19" s="275" t="str">
        <f t="shared" si="7"/>
        <v/>
      </c>
      <c r="H19" s="275" t="str">
        <f t="shared" si="8"/>
        <v/>
      </c>
      <c r="I19" s="276" t="str">
        <f t="shared" si="9"/>
        <v/>
      </c>
      <c r="J19" s="277" t="str">
        <f t="shared" si="10"/>
        <v/>
      </c>
      <c r="K19" s="277" t="str">
        <f t="shared" si="11"/>
        <v/>
      </c>
    </row>
    <row r="20" spans="1:13" s="1450" customFormat="1">
      <c r="B20" s="1451"/>
      <c r="C20" s="1451"/>
      <c r="D20" s="279"/>
      <c r="E20" s="279"/>
      <c r="F20" s="275" t="str">
        <f t="shared" si="6"/>
        <v/>
      </c>
      <c r="G20" s="275" t="str">
        <f t="shared" si="7"/>
        <v/>
      </c>
      <c r="H20" s="275" t="str">
        <f t="shared" si="8"/>
        <v/>
      </c>
      <c r="I20" s="276" t="str">
        <f t="shared" si="9"/>
        <v/>
      </c>
      <c r="J20" s="277" t="str">
        <f t="shared" si="10"/>
        <v/>
      </c>
      <c r="K20" s="277" t="str">
        <f t="shared" si="11"/>
        <v/>
      </c>
    </row>
    <row r="21" spans="1:13" s="1450" customFormat="1">
      <c r="B21" s="1451"/>
      <c r="C21" s="1451"/>
      <c r="D21" s="279"/>
      <c r="E21" s="279"/>
      <c r="F21" s="275" t="str">
        <f t="shared" si="6"/>
        <v/>
      </c>
      <c r="G21" s="275" t="str">
        <f t="shared" si="7"/>
        <v/>
      </c>
      <c r="H21" s="275" t="str">
        <f t="shared" si="8"/>
        <v/>
      </c>
      <c r="I21" s="276" t="str">
        <f t="shared" si="9"/>
        <v/>
      </c>
      <c r="J21" s="277" t="str">
        <f t="shared" si="10"/>
        <v/>
      </c>
      <c r="K21" s="277" t="str">
        <f t="shared" si="11"/>
        <v/>
      </c>
    </row>
    <row r="22" spans="1:13" s="1450" customFormat="1">
      <c r="B22" s="1451"/>
      <c r="C22" s="1451"/>
      <c r="D22" s="279"/>
      <c r="E22" s="279"/>
      <c r="F22" s="275" t="str">
        <f t="shared" si="6"/>
        <v/>
      </c>
      <c r="G22" s="275" t="str">
        <f t="shared" si="7"/>
        <v/>
      </c>
      <c r="H22" s="275" t="str">
        <f t="shared" si="8"/>
        <v/>
      </c>
      <c r="I22" s="276" t="str">
        <f t="shared" si="9"/>
        <v/>
      </c>
      <c r="J22" s="277" t="str">
        <f t="shared" si="10"/>
        <v/>
      </c>
      <c r="K22" s="277" t="str">
        <f t="shared" si="11"/>
        <v/>
      </c>
    </row>
    <row r="23" spans="1:13">
      <c r="B23" s="278"/>
      <c r="C23" s="278"/>
      <c r="D23" s="279"/>
      <c r="E23" s="279"/>
      <c r="F23" s="275" t="str">
        <f t="shared" si="6"/>
        <v/>
      </c>
      <c r="G23" s="275" t="str">
        <f t="shared" si="7"/>
        <v/>
      </c>
      <c r="H23" s="275" t="str">
        <f t="shared" si="8"/>
        <v/>
      </c>
      <c r="I23" s="276" t="str">
        <f t="shared" si="9"/>
        <v/>
      </c>
      <c r="J23" s="277" t="str">
        <f t="shared" si="10"/>
        <v/>
      </c>
      <c r="K23" s="277" t="str">
        <f t="shared" si="11"/>
        <v/>
      </c>
    </row>
    <row r="24" spans="1:13" s="80" customFormat="1">
      <c r="A24"/>
      <c r="B24" s="278"/>
      <c r="C24" s="278"/>
      <c r="D24" s="279"/>
      <c r="E24" s="279"/>
      <c r="F24" s="275" t="str">
        <f t="shared" si="6"/>
        <v/>
      </c>
      <c r="G24" s="275" t="str">
        <f t="shared" si="7"/>
        <v/>
      </c>
      <c r="H24" s="275" t="str">
        <f t="shared" si="8"/>
        <v/>
      </c>
      <c r="I24" s="276" t="str">
        <f t="shared" si="9"/>
        <v/>
      </c>
      <c r="J24" s="277" t="str">
        <f t="shared" si="10"/>
        <v/>
      </c>
      <c r="K24" s="277" t="str">
        <f t="shared" si="11"/>
        <v/>
      </c>
      <c r="L24"/>
      <c r="M24"/>
    </row>
    <row r="25" spans="1:13" s="80" customFormat="1">
      <c r="A25"/>
      <c r="B25" s="278"/>
      <c r="C25" s="278"/>
      <c r="D25" s="279"/>
      <c r="E25" s="279"/>
      <c r="F25" s="275" t="str">
        <f t="shared" si="6"/>
        <v/>
      </c>
      <c r="G25" s="275" t="str">
        <f t="shared" si="7"/>
        <v/>
      </c>
      <c r="H25" s="275" t="str">
        <f t="shared" si="8"/>
        <v/>
      </c>
      <c r="I25" s="276" t="str">
        <f t="shared" si="9"/>
        <v/>
      </c>
      <c r="J25" s="277" t="str">
        <f t="shared" si="10"/>
        <v/>
      </c>
      <c r="K25" s="277" t="str">
        <f t="shared" si="11"/>
        <v/>
      </c>
      <c r="L25"/>
      <c r="M25"/>
    </row>
    <row r="26" spans="1:13" s="80" customFormat="1">
      <c r="A26"/>
      <c r="B26" s="278"/>
      <c r="C26" s="278"/>
      <c r="D26" s="279"/>
      <c r="E26" s="279"/>
      <c r="F26" s="275" t="str">
        <f t="shared" si="6"/>
        <v/>
      </c>
      <c r="G26" s="275" t="str">
        <f t="shared" si="7"/>
        <v/>
      </c>
      <c r="H26" s="275" t="str">
        <f t="shared" si="8"/>
        <v/>
      </c>
      <c r="I26" s="276" t="str">
        <f t="shared" si="9"/>
        <v/>
      </c>
      <c r="J26" s="277" t="str">
        <f t="shared" si="10"/>
        <v/>
      </c>
      <c r="K26" s="277" t="str">
        <f t="shared" si="11"/>
        <v/>
      </c>
      <c r="L26"/>
      <c r="M26"/>
    </row>
    <row r="27" spans="1:13" s="80" customFormat="1">
      <c r="A27"/>
      <c r="B27" s="278"/>
      <c r="C27" s="278"/>
      <c r="D27" s="279"/>
      <c r="E27" s="279"/>
      <c r="F27" s="275" t="str">
        <f t="shared" si="6"/>
        <v/>
      </c>
      <c r="G27" s="275" t="str">
        <f t="shared" si="7"/>
        <v/>
      </c>
      <c r="H27" s="275" t="str">
        <f t="shared" si="8"/>
        <v/>
      </c>
      <c r="I27" s="276" t="str">
        <f t="shared" si="9"/>
        <v/>
      </c>
      <c r="J27" s="277" t="str">
        <f t="shared" si="10"/>
        <v/>
      </c>
      <c r="K27" s="277" t="str">
        <f t="shared" si="11"/>
        <v/>
      </c>
      <c r="L27"/>
      <c r="M27"/>
    </row>
    <row r="28" spans="1:13" s="1453" customFormat="1">
      <c r="A28" s="1454"/>
      <c r="B28" s="1455"/>
      <c r="C28" s="1455"/>
      <c r="D28" s="279"/>
      <c r="E28" s="279"/>
      <c r="F28" s="275" t="str">
        <f t="shared" si="6"/>
        <v/>
      </c>
      <c r="G28" s="275" t="str">
        <f t="shared" si="7"/>
        <v/>
      </c>
      <c r="H28" s="275" t="str">
        <f t="shared" si="8"/>
        <v/>
      </c>
      <c r="I28" s="276" t="str">
        <f t="shared" si="9"/>
        <v/>
      </c>
      <c r="J28" s="277" t="str">
        <f t="shared" si="10"/>
        <v/>
      </c>
      <c r="K28" s="277" t="str">
        <f t="shared" si="11"/>
        <v/>
      </c>
      <c r="L28" s="1454"/>
      <c r="M28" s="1454"/>
    </row>
    <row r="29" spans="1:13" s="1453" customFormat="1">
      <c r="A29" s="1454"/>
      <c r="B29" s="1455"/>
      <c r="C29" s="1455"/>
      <c r="D29" s="279"/>
      <c r="E29" s="279"/>
      <c r="F29" s="275" t="str">
        <f t="shared" si="6"/>
        <v/>
      </c>
      <c r="G29" s="275" t="str">
        <f t="shared" si="7"/>
        <v/>
      </c>
      <c r="H29" s="275" t="str">
        <f t="shared" si="8"/>
        <v/>
      </c>
      <c r="I29" s="276" t="str">
        <f t="shared" si="9"/>
        <v/>
      </c>
      <c r="J29" s="277" t="str">
        <f t="shared" si="10"/>
        <v/>
      </c>
      <c r="K29" s="277" t="str">
        <f t="shared" si="11"/>
        <v/>
      </c>
      <c r="L29" s="1454"/>
      <c r="M29" s="1454"/>
    </row>
    <row r="30" spans="1:13" s="1453" customFormat="1">
      <c r="A30" s="1454"/>
      <c r="B30" s="1455"/>
      <c r="C30" s="1455"/>
      <c r="D30" s="279"/>
      <c r="E30" s="279"/>
      <c r="F30" s="275" t="str">
        <f t="shared" si="6"/>
        <v/>
      </c>
      <c r="G30" s="275" t="str">
        <f t="shared" si="7"/>
        <v/>
      </c>
      <c r="H30" s="275" t="str">
        <f t="shared" si="8"/>
        <v/>
      </c>
      <c r="I30" s="276" t="str">
        <f t="shared" si="9"/>
        <v/>
      </c>
      <c r="J30" s="277" t="str">
        <f t="shared" si="10"/>
        <v/>
      </c>
      <c r="K30" s="277" t="str">
        <f t="shared" si="11"/>
        <v/>
      </c>
      <c r="L30" s="1454"/>
      <c r="M30" s="1454"/>
    </row>
    <row r="31" spans="1:13" s="1453" customFormat="1">
      <c r="A31" s="1454"/>
      <c r="B31" s="1455"/>
      <c r="C31" s="1455"/>
      <c r="D31" s="279"/>
      <c r="E31" s="279"/>
      <c r="F31" s="275" t="str">
        <f t="shared" si="6"/>
        <v/>
      </c>
      <c r="G31" s="275" t="str">
        <f t="shared" si="7"/>
        <v/>
      </c>
      <c r="H31" s="275" t="str">
        <f t="shared" si="8"/>
        <v/>
      </c>
      <c r="I31" s="276" t="str">
        <f t="shared" si="9"/>
        <v/>
      </c>
      <c r="J31" s="277" t="str">
        <f t="shared" si="10"/>
        <v/>
      </c>
      <c r="K31" s="277" t="str">
        <f t="shared" si="11"/>
        <v/>
      </c>
      <c r="L31" s="1454"/>
      <c r="M31" s="1454"/>
    </row>
    <row r="32" spans="1:13" s="1453" customFormat="1">
      <c r="A32" s="1454"/>
      <c r="B32" s="1455"/>
      <c r="C32" s="1455"/>
      <c r="D32" s="279"/>
      <c r="E32" s="279"/>
      <c r="F32" s="275" t="str">
        <f t="shared" si="6"/>
        <v/>
      </c>
      <c r="G32" s="275" t="str">
        <f t="shared" si="7"/>
        <v/>
      </c>
      <c r="H32" s="275" t="str">
        <f t="shared" si="8"/>
        <v/>
      </c>
      <c r="I32" s="276" t="str">
        <f t="shared" si="9"/>
        <v/>
      </c>
      <c r="J32" s="277" t="str">
        <f t="shared" si="10"/>
        <v/>
      </c>
      <c r="K32" s="277" t="str">
        <f t="shared" si="11"/>
        <v/>
      </c>
      <c r="L32" s="1454"/>
      <c r="M32" s="1454"/>
    </row>
    <row r="33" spans="1:15" s="1453" customFormat="1">
      <c r="A33" s="1454"/>
      <c r="B33" s="1455"/>
      <c r="C33" s="1455"/>
      <c r="D33" s="279"/>
      <c r="E33" s="279"/>
      <c r="F33" s="275" t="str">
        <f t="shared" si="6"/>
        <v/>
      </c>
      <c r="G33" s="275" t="str">
        <f t="shared" si="7"/>
        <v/>
      </c>
      <c r="H33" s="275" t="str">
        <f t="shared" si="8"/>
        <v/>
      </c>
      <c r="I33" s="276" t="str">
        <f t="shared" si="9"/>
        <v/>
      </c>
      <c r="J33" s="277" t="str">
        <f t="shared" si="10"/>
        <v/>
      </c>
      <c r="K33" s="277" t="str">
        <f t="shared" si="11"/>
        <v/>
      </c>
      <c r="L33" s="1454"/>
      <c r="M33" s="1454"/>
    </row>
    <row r="34" spans="1:15" s="1453" customFormat="1">
      <c r="A34" s="1454"/>
      <c r="B34" s="1455"/>
      <c r="C34" s="1455"/>
      <c r="D34" s="279"/>
      <c r="E34" s="279"/>
      <c r="F34" s="275" t="str">
        <f t="shared" si="6"/>
        <v/>
      </c>
      <c r="G34" s="275" t="str">
        <f t="shared" si="7"/>
        <v/>
      </c>
      <c r="H34" s="275" t="str">
        <f t="shared" si="8"/>
        <v/>
      </c>
      <c r="I34" s="276" t="str">
        <f t="shared" si="9"/>
        <v/>
      </c>
      <c r="J34" s="277" t="str">
        <f t="shared" si="10"/>
        <v/>
      </c>
      <c r="K34" s="277" t="str">
        <f t="shared" si="11"/>
        <v/>
      </c>
      <c r="L34" s="1454"/>
      <c r="M34" s="1454"/>
    </row>
    <row r="35" spans="1:15" s="1453" customFormat="1">
      <c r="A35" s="1454"/>
      <c r="B35" s="1455"/>
      <c r="C35" s="1455"/>
      <c r="D35" s="279"/>
      <c r="E35" s="279"/>
      <c r="F35" s="275" t="str">
        <f t="shared" si="6"/>
        <v/>
      </c>
      <c r="G35" s="275" t="str">
        <f t="shared" si="7"/>
        <v/>
      </c>
      <c r="H35" s="275" t="str">
        <f t="shared" si="8"/>
        <v/>
      </c>
      <c r="I35" s="276" t="str">
        <f t="shared" si="9"/>
        <v/>
      </c>
      <c r="J35" s="277" t="str">
        <f t="shared" si="10"/>
        <v/>
      </c>
      <c r="K35" s="277" t="str">
        <f t="shared" si="11"/>
        <v/>
      </c>
      <c r="L35" s="1454"/>
      <c r="M35" s="1454"/>
    </row>
    <row r="36" spans="1:15" s="1453" customFormat="1">
      <c r="A36" s="1454"/>
      <c r="B36" s="1455"/>
      <c r="C36" s="1455"/>
      <c r="D36" s="279"/>
      <c r="E36" s="279"/>
      <c r="F36" s="275" t="str">
        <f t="shared" si="6"/>
        <v/>
      </c>
      <c r="G36" s="275" t="str">
        <f t="shared" si="7"/>
        <v/>
      </c>
      <c r="H36" s="275" t="str">
        <f t="shared" si="8"/>
        <v/>
      </c>
      <c r="I36" s="276" t="str">
        <f t="shared" si="9"/>
        <v/>
      </c>
      <c r="J36" s="277" t="str">
        <f t="shared" si="10"/>
        <v/>
      </c>
      <c r="K36" s="277" t="str">
        <f t="shared" si="11"/>
        <v/>
      </c>
      <c r="L36" s="1454"/>
      <c r="M36" s="1454"/>
    </row>
    <row r="37" spans="1:15" s="93" customFormat="1">
      <c r="A37"/>
      <c r="B37" s="278"/>
      <c r="C37" s="278"/>
      <c r="D37" s="279"/>
      <c r="E37" s="279"/>
      <c r="F37" s="275" t="str">
        <f t="shared" si="6"/>
        <v/>
      </c>
      <c r="G37" s="275" t="str">
        <f t="shared" si="7"/>
        <v/>
      </c>
      <c r="H37" s="275" t="str">
        <f t="shared" si="8"/>
        <v/>
      </c>
      <c r="I37" s="276" t="str">
        <f t="shared" si="9"/>
        <v/>
      </c>
      <c r="J37" s="277" t="str">
        <f t="shared" si="10"/>
        <v/>
      </c>
      <c r="K37" s="277" t="str">
        <f t="shared" si="11"/>
        <v/>
      </c>
      <c r="L37"/>
      <c r="M37"/>
    </row>
    <row r="38" spans="1:15">
      <c r="A38" s="80"/>
    </row>
    <row r="39" spans="1:15" ht="12.75" customHeight="1">
      <c r="A39" s="93"/>
      <c r="N39" s="280"/>
      <c r="O39" s="280"/>
    </row>
    <row r="40" spans="1:15">
      <c r="N40" s="280"/>
      <c r="O40" s="280"/>
    </row>
    <row r="41" spans="1:15">
      <c r="B41" s="80"/>
      <c r="C41" s="80"/>
      <c r="D41" s="80"/>
    </row>
    <row r="42" spans="1:15">
      <c r="B42" s="93"/>
      <c r="C42" s="93"/>
      <c r="D42" s="281"/>
    </row>
    <row r="43" spans="1:15" ht="12.75" customHeight="1">
      <c r="N43" s="280"/>
      <c r="O43" s="280"/>
    </row>
    <row r="44" spans="1:15">
      <c r="N44" s="280"/>
      <c r="O44" s="280"/>
    </row>
    <row r="45" spans="1:15">
      <c r="N45" s="280"/>
      <c r="O45" s="280"/>
    </row>
    <row r="46" spans="1:15">
      <c r="I46" t="s">
        <v>478</v>
      </c>
    </row>
    <row r="50" spans="9:10">
      <c r="I50" t="s">
        <v>479</v>
      </c>
    </row>
    <row r="52" spans="9:10">
      <c r="I52" s="184"/>
    </row>
    <row r="53" spans="9:10">
      <c r="I53" s="184"/>
    </row>
    <row r="56" spans="9:10">
      <c r="J56" s="184"/>
    </row>
    <row r="57" spans="9:10">
      <c r="J57" s="184"/>
    </row>
  </sheetData>
  <sheetProtection password="CC08" sheet="1" scenarios="1"/>
  <protectedRanges>
    <protectedRange sqref="B2 B9:E37" name="Range1"/>
  </protectedRanges>
  <mergeCells count="7">
    <mergeCell ref="F7:F8"/>
    <mergeCell ref="G7:I7"/>
    <mergeCell ref="J7:K7"/>
    <mergeCell ref="B7:B8"/>
    <mergeCell ref="C7:C8"/>
    <mergeCell ref="D7:D8"/>
    <mergeCell ref="E7:E8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oleObjects>
    <oleObject progId="Equation.3" shapeId="24578" r:id="rId4"/>
    <oleObject progId="Equation.3" shapeId="24579" r:id="rId5"/>
  </oleObjects>
  <controls>
    <control shapeId="24581" r:id="rId6" name="MainMenu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2"/>
  <dimension ref="A1:R30"/>
  <sheetViews>
    <sheetView showGridLines="0" workbookViewId="0">
      <selection activeCell="G13" sqref="G13"/>
    </sheetView>
  </sheetViews>
  <sheetFormatPr defaultRowHeight="12.75"/>
  <cols>
    <col min="1" max="1" width="6" customWidth="1"/>
    <col min="2" max="2" width="10.7109375" customWidth="1"/>
    <col min="3" max="3" width="24.140625" customWidth="1"/>
    <col min="4" max="4" width="10.140625" style="264" bestFit="1" customWidth="1"/>
    <col min="5" max="5" width="9.140625" style="264"/>
    <col min="6" max="6" width="9.140625" style="267"/>
    <col min="7" max="7" width="12" style="261" customWidth="1"/>
    <col min="11" max="11" width="11.28515625" customWidth="1"/>
  </cols>
  <sheetData>
    <row r="1" spans="1:16">
      <c r="A1" s="256"/>
      <c r="B1" s="256"/>
      <c r="G1" s="266"/>
      <c r="H1" s="257" t="s">
        <v>460</v>
      </c>
    </row>
    <row r="2" spans="1:16" s="256" customFormat="1" ht="26.25" customHeight="1">
      <c r="B2" s="1501" t="s">
        <v>471</v>
      </c>
      <c r="C2" s="1501" t="s">
        <v>472</v>
      </c>
      <c r="D2" s="1503" t="s">
        <v>453</v>
      </c>
      <c r="E2" s="1503" t="s">
        <v>483</v>
      </c>
      <c r="F2" s="1496" t="s">
        <v>449</v>
      </c>
      <c r="G2" s="1505" t="str">
        <f>100*(1-H2)&amp;"% Confidence Interval"</f>
        <v>95% Confidence Interval</v>
      </c>
      <c r="H2" s="283">
        <v>0.05</v>
      </c>
    </row>
    <row r="3" spans="1:16" s="256" customFormat="1">
      <c r="B3" s="1502"/>
      <c r="C3" s="1502"/>
      <c r="D3" s="1504"/>
      <c r="E3" s="1504"/>
      <c r="F3" s="1497"/>
      <c r="G3" s="1506"/>
      <c r="H3" s="270" t="s">
        <v>350</v>
      </c>
      <c r="I3" s="270" t="s">
        <v>351</v>
      </c>
    </row>
    <row r="4" spans="1:16">
      <c r="B4" s="273"/>
      <c r="C4" s="273"/>
      <c r="D4" s="274"/>
      <c r="E4" s="274"/>
      <c r="F4" s="284" t="str">
        <f t="shared" ref="F4:F10" si="0">IF(E4="","",E4/D4)</f>
        <v/>
      </c>
      <c r="G4" s="285" t="str">
        <f t="shared" ref="G4:G10" si="1">IF((D4=""),"",IF((E4=0),1-(($H$2/2)^(1/D4)),-NORMSINV((H$2/2))*SQRT((F4)*(1-(F4))/D4)))</f>
        <v/>
      </c>
      <c r="H4" s="285" t="str">
        <f t="shared" ref="H4:H10" si="2">IF(D4="","",F4+G4)</f>
        <v/>
      </c>
      <c r="I4" s="285" t="str">
        <f t="shared" ref="I4:I10" si="3">IF(E4="","",IF(F4-G4&lt;0,0,F4-G4))</f>
        <v/>
      </c>
      <c r="K4" s="286" t="s">
        <v>484</v>
      </c>
      <c r="L4" s="287">
        <v>0.8</v>
      </c>
      <c r="M4" s="287">
        <v>0.9</v>
      </c>
      <c r="N4" s="287">
        <v>0.95</v>
      </c>
      <c r="O4" s="288">
        <v>0.99</v>
      </c>
      <c r="P4" s="288">
        <v>0.999</v>
      </c>
    </row>
    <row r="5" spans="1:16">
      <c r="B5" s="278"/>
      <c r="C5" s="278"/>
      <c r="D5" s="279"/>
      <c r="E5" s="279"/>
      <c r="F5" s="284" t="str">
        <f t="shared" si="0"/>
        <v/>
      </c>
      <c r="G5" s="285" t="str">
        <f t="shared" si="1"/>
        <v/>
      </c>
      <c r="H5" s="285" t="str">
        <f t="shared" si="2"/>
        <v/>
      </c>
      <c r="I5" s="285" t="str">
        <f t="shared" si="3"/>
        <v/>
      </c>
      <c r="K5" s="289" t="s">
        <v>460</v>
      </c>
      <c r="L5" s="290">
        <v>0.2</v>
      </c>
      <c r="M5" s="290">
        <v>0.1</v>
      </c>
      <c r="N5" s="290">
        <v>0.05</v>
      </c>
      <c r="O5" s="290">
        <v>0.01</v>
      </c>
      <c r="P5" s="290">
        <v>1E-3</v>
      </c>
    </row>
    <row r="6" spans="1:16" ht="15.75">
      <c r="B6" s="278"/>
      <c r="C6" s="278"/>
      <c r="D6" s="279"/>
      <c r="E6" s="279"/>
      <c r="F6" s="284" t="str">
        <f t="shared" si="0"/>
        <v/>
      </c>
      <c r="G6" s="285" t="str">
        <f t="shared" si="1"/>
        <v/>
      </c>
      <c r="H6" s="285" t="str">
        <f t="shared" si="2"/>
        <v/>
      </c>
      <c r="I6" s="285" t="str">
        <f t="shared" si="3"/>
        <v/>
      </c>
      <c r="K6" s="291" t="s">
        <v>490</v>
      </c>
      <c r="L6" s="292">
        <v>1.282</v>
      </c>
      <c r="M6" s="292">
        <v>1.645</v>
      </c>
      <c r="N6" s="292">
        <v>1.96</v>
      </c>
      <c r="O6" s="292">
        <v>2.5760000000000001</v>
      </c>
      <c r="P6" s="292">
        <v>3.2909999999999999</v>
      </c>
    </row>
    <row r="7" spans="1:16">
      <c r="B7" s="278"/>
      <c r="C7" s="278"/>
      <c r="D7" s="279"/>
      <c r="E7" s="279"/>
      <c r="F7" s="284" t="str">
        <f t="shared" si="0"/>
        <v/>
      </c>
      <c r="G7" s="285" t="str">
        <f t="shared" si="1"/>
        <v/>
      </c>
      <c r="H7" s="285" t="str">
        <f t="shared" si="2"/>
        <v/>
      </c>
      <c r="I7" s="285" t="str">
        <f t="shared" si="3"/>
        <v/>
      </c>
    </row>
    <row r="8" spans="1:16">
      <c r="B8" s="278"/>
      <c r="C8" s="278"/>
      <c r="D8" s="279"/>
      <c r="E8" s="279"/>
      <c r="F8" s="284" t="str">
        <f t="shared" si="0"/>
        <v/>
      </c>
      <c r="G8" s="285" t="str">
        <f t="shared" si="1"/>
        <v/>
      </c>
      <c r="H8" s="285" t="str">
        <f t="shared" si="2"/>
        <v/>
      </c>
      <c r="I8" s="285" t="str">
        <f t="shared" si="3"/>
        <v/>
      </c>
      <c r="K8" s="1508" t="s">
        <v>485</v>
      </c>
      <c r="L8" s="1509"/>
      <c r="M8" s="1509"/>
      <c r="N8" s="1509"/>
      <c r="O8" s="1509"/>
      <c r="P8" s="1509"/>
    </row>
    <row r="9" spans="1:16" ht="12.75" customHeight="1">
      <c r="B9" s="278"/>
      <c r="C9" s="278"/>
      <c r="D9" s="279"/>
      <c r="E9" s="279"/>
      <c r="F9" s="284" t="str">
        <f t="shared" si="0"/>
        <v/>
      </c>
      <c r="G9" s="285" t="str">
        <f t="shared" si="1"/>
        <v/>
      </c>
      <c r="H9" s="285" t="str">
        <f t="shared" si="2"/>
        <v/>
      </c>
      <c r="I9" s="285" t="str">
        <f t="shared" si="3"/>
        <v/>
      </c>
      <c r="K9" s="1509"/>
      <c r="L9" s="1509"/>
      <c r="M9" s="1509"/>
      <c r="N9" s="1509"/>
      <c r="O9" s="1509"/>
      <c r="P9" s="1509"/>
    </row>
    <row r="10" spans="1:16">
      <c r="B10" s="278"/>
      <c r="C10" s="278"/>
      <c r="D10" s="279"/>
      <c r="E10" s="279"/>
      <c r="F10" s="284" t="str">
        <f t="shared" si="0"/>
        <v/>
      </c>
      <c r="G10" s="285" t="str">
        <f t="shared" si="1"/>
        <v/>
      </c>
      <c r="H10" s="285" t="str">
        <f t="shared" si="2"/>
        <v/>
      </c>
      <c r="I10" s="285" t="str">
        <f t="shared" si="3"/>
        <v/>
      </c>
      <c r="K10" s="1509"/>
      <c r="L10" s="1509"/>
      <c r="M10" s="1509"/>
      <c r="N10" s="1509"/>
      <c r="O10" s="1509"/>
      <c r="P10" s="1509"/>
    </row>
    <row r="11" spans="1:16">
      <c r="E11" s="293" t="s">
        <v>486</v>
      </c>
      <c r="F11" s="294" t="e">
        <f>AVERAGE(D4:D10)*(SUM(E4:E10)/SUM(D4:D10))</f>
        <v>#DIV/0!</v>
      </c>
      <c r="K11" s="1509"/>
      <c r="L11" s="1509"/>
      <c r="M11" s="1509"/>
      <c r="N11" s="1509"/>
      <c r="O11" s="1509"/>
      <c r="P11" s="1509"/>
    </row>
    <row r="12" spans="1:16">
      <c r="E12" s="293" t="s">
        <v>487</v>
      </c>
      <c r="F12" s="294" t="e">
        <f>AVERAGE(D4:D10)*(1-(SUM(E4:E10)/SUM(D4:D10)))</f>
        <v>#DIV/0!</v>
      </c>
      <c r="K12" s="295" t="s">
        <v>488</v>
      </c>
    </row>
    <row r="13" spans="1:16">
      <c r="C13" s="296" t="e">
        <f>IF(F11&lt;5," Defect rate or sample size is too low.  Use exact confidence intervals!","")</f>
        <v>#DIV/0!</v>
      </c>
    </row>
    <row r="18" spans="11:18">
      <c r="K18" s="1507" t="s">
        <v>489</v>
      </c>
      <c r="L18" s="1507"/>
      <c r="M18" s="1507"/>
      <c r="N18" s="1507"/>
      <c r="O18" s="1507"/>
      <c r="P18" s="298"/>
      <c r="Q18" s="298"/>
      <c r="R18" s="298"/>
    </row>
    <row r="19" spans="11:18">
      <c r="K19" s="1507"/>
      <c r="L19" s="1507"/>
      <c r="M19" s="1507"/>
      <c r="N19" s="1507"/>
      <c r="O19" s="1507"/>
    </row>
    <row r="28" spans="11:18">
      <c r="L28" s="297"/>
      <c r="M28" s="297"/>
      <c r="N28" s="297"/>
      <c r="O28" s="297"/>
      <c r="P28" s="297"/>
      <c r="Q28" s="297"/>
    </row>
    <row r="29" spans="11:18">
      <c r="L29" s="297"/>
      <c r="M29" s="297"/>
      <c r="N29" s="297"/>
      <c r="O29" s="297"/>
      <c r="P29" s="297"/>
      <c r="Q29" s="297"/>
    </row>
    <row r="30" spans="11:18">
      <c r="L30" s="297"/>
      <c r="M30" s="297"/>
      <c r="N30" s="297"/>
      <c r="O30" s="297"/>
      <c r="P30" s="297"/>
      <c r="Q30" s="297"/>
    </row>
  </sheetData>
  <sheetProtection password="CC08" sheet="1" scenarios="1"/>
  <protectedRanges>
    <protectedRange sqref="H2 B4:E10" name="Range1"/>
  </protectedRanges>
  <mergeCells count="8">
    <mergeCell ref="G2:G3"/>
    <mergeCell ref="K18:O19"/>
    <mergeCell ref="K8:P11"/>
    <mergeCell ref="B2:B3"/>
    <mergeCell ref="C2:C3"/>
    <mergeCell ref="D2:D3"/>
    <mergeCell ref="E2:E3"/>
    <mergeCell ref="F2:F3"/>
  </mergeCells>
  <phoneticPr fontId="5" type="noConversion"/>
  <hyperlinks>
    <hyperlink ref="K12" r:id="rId1"/>
  </hyperlinks>
  <pageMargins left="0.75" right="0.75" top="1" bottom="1" header="0.5" footer="0.5"/>
  <pageSetup orientation="portrait" horizontalDpi="4294967294" verticalDpi="0" r:id="rId2"/>
  <headerFooter alignWithMargins="0"/>
  <drawing r:id="rId3"/>
  <legacyDrawing r:id="rId4"/>
  <oleObjects>
    <oleObject progId="Equation.3" shapeId="26626" r:id="rId5"/>
    <oleObject progId="Equation.3" shapeId="26627" r:id="rId6"/>
  </oleObjects>
  <controls>
    <control shapeId="26628" r:id="rId7" name="MainMenu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L21"/>
  <sheetViews>
    <sheetView showGridLines="0" workbookViewId="0">
      <selection activeCell="P9" sqref="P9"/>
    </sheetView>
  </sheetViews>
  <sheetFormatPr defaultRowHeight="12.75"/>
  <cols>
    <col min="1" max="2" width="19.28515625" customWidth="1"/>
    <col min="3" max="4" width="10" customWidth="1"/>
    <col min="6" max="7" width="13.7109375" customWidth="1"/>
  </cols>
  <sheetData>
    <row r="1" spans="1:12">
      <c r="A1" s="299" t="s">
        <v>500</v>
      </c>
      <c r="B1" s="300" t="s">
        <v>501</v>
      </c>
    </row>
    <row r="2" spans="1:12" ht="15.75">
      <c r="A2" s="301" t="s">
        <v>394</v>
      </c>
      <c r="B2" s="300">
        <v>0.05</v>
      </c>
      <c r="C2" s="302"/>
      <c r="D2" s="264"/>
      <c r="E2" s="264"/>
      <c r="F2" s="1510" t="str">
        <f>100*(1-B2)&amp;"% Confidence Interval"</f>
        <v>95% Confidence Interval</v>
      </c>
      <c r="G2" s="1511"/>
      <c r="H2" s="1512" t="s">
        <v>499</v>
      </c>
      <c r="I2" s="1513"/>
      <c r="J2" s="1513"/>
      <c r="K2" s="1513"/>
      <c r="L2" s="1513"/>
    </row>
    <row r="3" spans="1:12" ht="39.75">
      <c r="A3" s="270" t="s">
        <v>471</v>
      </c>
      <c r="B3" s="270" t="s">
        <v>472</v>
      </c>
      <c r="C3" s="270" t="s">
        <v>497</v>
      </c>
      <c r="D3" s="303" t="s">
        <v>502</v>
      </c>
      <c r="E3" s="303" t="s">
        <v>503</v>
      </c>
      <c r="F3" s="303" t="s">
        <v>491</v>
      </c>
      <c r="G3" s="303" t="s">
        <v>492</v>
      </c>
      <c r="H3" s="303" t="s">
        <v>498</v>
      </c>
      <c r="I3" s="303" t="s">
        <v>494</v>
      </c>
      <c r="J3" s="303" t="s">
        <v>496</v>
      </c>
      <c r="K3" s="303" t="s">
        <v>482</v>
      </c>
      <c r="L3" s="303" t="s">
        <v>495</v>
      </c>
    </row>
    <row r="4" spans="1:12">
      <c r="A4" s="304"/>
      <c r="B4" s="273"/>
      <c r="C4" s="273"/>
      <c r="D4" s="274"/>
      <c r="E4" s="285" t="str">
        <f t="shared" ref="E4:E11" si="0">IF(D4="","",D4/C4)</f>
        <v/>
      </c>
      <c r="F4" s="285" t="str">
        <f t="shared" ref="F4:F11" si="1">IF(D4="","",CHIINV(I4,J4)/H4)</f>
        <v/>
      </c>
      <c r="G4" s="305" t="str">
        <f t="shared" ref="G4:G11" si="2">IF(D4="","",CHIINV(K4,L4)/H4)</f>
        <v/>
      </c>
      <c r="H4" s="109" t="str">
        <f t="shared" ref="H4:H11" si="3">IF(D4="","",2*C4)</f>
        <v/>
      </c>
      <c r="I4" s="109" t="str">
        <f t="shared" ref="I4:I11" si="4">IF(D4="","",1-($B$2/2))</f>
        <v/>
      </c>
      <c r="J4" s="109" t="str">
        <f t="shared" ref="J4:J11" si="5">IF(D4="","",2*D4)</f>
        <v/>
      </c>
      <c r="K4" s="109" t="str">
        <f t="shared" ref="K4:K11" si="6">IF(D4="","",$B$2/2)</f>
        <v/>
      </c>
      <c r="L4" s="109" t="str">
        <f t="shared" ref="L4:L11" si="7">IF(D4="","",2*(D4+1))</f>
        <v/>
      </c>
    </row>
    <row r="5" spans="1:12">
      <c r="A5" s="278"/>
      <c r="B5" s="278"/>
      <c r="C5" s="278"/>
      <c r="D5" s="279"/>
      <c r="E5" s="285" t="str">
        <f t="shared" si="0"/>
        <v/>
      </c>
      <c r="F5" s="285" t="str">
        <f t="shared" si="1"/>
        <v/>
      </c>
      <c r="G5" s="305" t="str">
        <f t="shared" si="2"/>
        <v/>
      </c>
      <c r="H5" s="109" t="str">
        <f t="shared" si="3"/>
        <v/>
      </c>
      <c r="I5" s="109" t="str">
        <f t="shared" si="4"/>
        <v/>
      </c>
      <c r="J5" s="109" t="str">
        <f t="shared" si="5"/>
        <v/>
      </c>
      <c r="K5" s="109" t="str">
        <f t="shared" si="6"/>
        <v/>
      </c>
      <c r="L5" s="109" t="str">
        <f t="shared" si="7"/>
        <v/>
      </c>
    </row>
    <row r="6" spans="1:12">
      <c r="A6" s="278"/>
      <c r="B6" s="278"/>
      <c r="C6" s="278"/>
      <c r="D6" s="279"/>
      <c r="E6" s="285" t="str">
        <f t="shared" si="0"/>
        <v/>
      </c>
      <c r="F6" s="285" t="str">
        <f t="shared" si="1"/>
        <v/>
      </c>
      <c r="G6" s="305" t="str">
        <f t="shared" si="2"/>
        <v/>
      </c>
      <c r="H6" s="109" t="str">
        <f t="shared" si="3"/>
        <v/>
      </c>
      <c r="I6" s="109" t="str">
        <f t="shared" si="4"/>
        <v/>
      </c>
      <c r="J6" s="109" t="str">
        <f t="shared" si="5"/>
        <v/>
      </c>
      <c r="K6" s="109" t="str">
        <f t="shared" si="6"/>
        <v/>
      </c>
      <c r="L6" s="109" t="str">
        <f t="shared" si="7"/>
        <v/>
      </c>
    </row>
    <row r="7" spans="1:12">
      <c r="A7" s="278"/>
      <c r="B7" s="278"/>
      <c r="C7" s="278"/>
      <c r="D7" s="279"/>
      <c r="E7" s="285" t="str">
        <f t="shared" si="0"/>
        <v/>
      </c>
      <c r="F7" s="285" t="str">
        <f t="shared" si="1"/>
        <v/>
      </c>
      <c r="G7" s="305" t="str">
        <f t="shared" si="2"/>
        <v/>
      </c>
      <c r="H7" s="109" t="str">
        <f t="shared" si="3"/>
        <v/>
      </c>
      <c r="I7" s="109" t="str">
        <f t="shared" si="4"/>
        <v/>
      </c>
      <c r="J7" s="109" t="str">
        <f t="shared" si="5"/>
        <v/>
      </c>
      <c r="K7" s="109" t="str">
        <f t="shared" si="6"/>
        <v/>
      </c>
      <c r="L7" s="109" t="str">
        <f t="shared" si="7"/>
        <v/>
      </c>
    </row>
    <row r="8" spans="1:12">
      <c r="A8" s="278"/>
      <c r="B8" s="278"/>
      <c r="C8" s="278"/>
      <c r="D8" s="279"/>
      <c r="E8" s="285" t="str">
        <f t="shared" si="0"/>
        <v/>
      </c>
      <c r="F8" s="285" t="str">
        <f t="shared" si="1"/>
        <v/>
      </c>
      <c r="G8" s="305" t="str">
        <f t="shared" si="2"/>
        <v/>
      </c>
      <c r="H8" s="109" t="str">
        <f t="shared" si="3"/>
        <v/>
      </c>
      <c r="I8" s="109" t="str">
        <f t="shared" si="4"/>
        <v/>
      </c>
      <c r="J8" s="109" t="str">
        <f t="shared" si="5"/>
        <v/>
      </c>
      <c r="K8" s="109" t="str">
        <f t="shared" si="6"/>
        <v/>
      </c>
      <c r="L8" s="109" t="str">
        <f t="shared" si="7"/>
        <v/>
      </c>
    </row>
    <row r="9" spans="1:12">
      <c r="A9" s="278"/>
      <c r="B9" s="278"/>
      <c r="C9" s="278"/>
      <c r="D9" s="279"/>
      <c r="E9" s="285" t="str">
        <f t="shared" si="0"/>
        <v/>
      </c>
      <c r="F9" s="285" t="str">
        <f t="shared" si="1"/>
        <v/>
      </c>
      <c r="G9" s="305" t="str">
        <f t="shared" si="2"/>
        <v/>
      </c>
      <c r="H9" s="109" t="str">
        <f t="shared" si="3"/>
        <v/>
      </c>
      <c r="I9" s="109" t="str">
        <f t="shared" si="4"/>
        <v/>
      </c>
      <c r="J9" s="109" t="str">
        <f t="shared" si="5"/>
        <v/>
      </c>
      <c r="K9" s="109" t="str">
        <f t="shared" si="6"/>
        <v/>
      </c>
      <c r="L9" s="109" t="str">
        <f t="shared" si="7"/>
        <v/>
      </c>
    </row>
    <row r="10" spans="1:12">
      <c r="A10" s="278"/>
      <c r="B10" s="278"/>
      <c r="C10" s="278"/>
      <c r="D10" s="279"/>
      <c r="E10" s="285" t="str">
        <f t="shared" si="0"/>
        <v/>
      </c>
      <c r="F10" s="285" t="str">
        <f t="shared" si="1"/>
        <v/>
      </c>
      <c r="G10" s="305" t="str">
        <f t="shared" si="2"/>
        <v/>
      </c>
      <c r="H10" s="109" t="str">
        <f t="shared" si="3"/>
        <v/>
      </c>
      <c r="I10" s="109" t="str">
        <f t="shared" si="4"/>
        <v/>
      </c>
      <c r="J10" s="109" t="str">
        <f t="shared" si="5"/>
        <v/>
      </c>
      <c r="K10" s="109" t="str">
        <f t="shared" si="6"/>
        <v/>
      </c>
      <c r="L10" s="109" t="str">
        <f t="shared" si="7"/>
        <v/>
      </c>
    </row>
    <row r="11" spans="1:12">
      <c r="A11" s="278"/>
      <c r="B11" s="278"/>
      <c r="C11" s="278"/>
      <c r="D11" s="279"/>
      <c r="E11" s="285" t="str">
        <f t="shared" si="0"/>
        <v/>
      </c>
      <c r="F11" s="285" t="str">
        <f t="shared" si="1"/>
        <v/>
      </c>
      <c r="G11" s="305" t="str">
        <f t="shared" si="2"/>
        <v/>
      </c>
      <c r="H11" s="109" t="str">
        <f t="shared" si="3"/>
        <v/>
      </c>
      <c r="I11" s="109" t="str">
        <f t="shared" si="4"/>
        <v/>
      </c>
      <c r="J11" s="109" t="str">
        <f t="shared" si="5"/>
        <v/>
      </c>
      <c r="K11" s="109" t="str">
        <f t="shared" si="6"/>
        <v/>
      </c>
      <c r="L11" s="109" t="str">
        <f t="shared" si="7"/>
        <v/>
      </c>
    </row>
    <row r="21" spans="2:2">
      <c r="B21" t="s">
        <v>493</v>
      </c>
    </row>
  </sheetData>
  <sheetProtection password="CC08" sheet="1" scenarios="1"/>
  <protectedRanges>
    <protectedRange sqref="B1:B2 A4:D11" name="Range1"/>
  </protectedRanges>
  <mergeCells count="2">
    <mergeCell ref="F2:G2"/>
    <mergeCell ref="H2:L2"/>
  </mergeCells>
  <phoneticPr fontId="5" type="noConversion"/>
  <pageMargins left="0.75" right="0.75" top="1" bottom="1" header="0.5" footer="0.5"/>
  <pageSetup orientation="portrait" horizontalDpi="4294967294" verticalDpi="0" r:id="rId1"/>
  <headerFooter alignWithMargins="0"/>
  <drawing r:id="rId2"/>
  <legacyDrawing r:id="rId3"/>
  <oleObjects>
    <oleObject progId="Equation.3" shapeId="27650" r:id="rId4"/>
    <oleObject progId="Equation.3" shapeId="27651" r:id="rId5"/>
  </oleObjects>
  <controls>
    <control shapeId="27652" r:id="rId6" name="MainMenu"/>
  </control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:Q21"/>
  <sheetViews>
    <sheetView showGridLines="0" workbookViewId="0">
      <pane xSplit="12" topLeftCell="M1" activePane="topRight" state="frozenSplit"/>
      <selection activeCell="C1" sqref="C1"/>
      <selection pane="topRight" activeCell="S12" sqref="S12"/>
    </sheetView>
  </sheetViews>
  <sheetFormatPr defaultRowHeight="12.75"/>
  <cols>
    <col min="1" max="1" width="9.140625" style="1367"/>
    <col min="2" max="2" width="9.85546875" style="1367" customWidth="1"/>
    <col min="3" max="3" width="7" style="1367" customWidth="1"/>
    <col min="4" max="15" width="9.140625" style="1367"/>
    <col min="16" max="16" width="0" style="1367" hidden="1" customWidth="1"/>
    <col min="17" max="17" width="6" style="1367" hidden="1" customWidth="1"/>
    <col min="18" max="18" width="0" style="1367" hidden="1" customWidth="1"/>
    <col min="19" max="16384" width="9.140625" style="1367"/>
  </cols>
  <sheetData>
    <row r="1" spans="1:17">
      <c r="A1" s="1383" t="s">
        <v>504</v>
      </c>
    </row>
    <row r="2" spans="1:17">
      <c r="A2" s="1383" t="s">
        <v>505</v>
      </c>
    </row>
    <row r="3" spans="1:17">
      <c r="A3" s="1383"/>
    </row>
    <row r="4" spans="1:17">
      <c r="A4" s="1383"/>
      <c r="B4" s="1436" t="s">
        <v>506</v>
      </c>
      <c r="C4" s="1436" t="s">
        <v>507</v>
      </c>
      <c r="Q4" s="541">
        <v>1</v>
      </c>
    </row>
    <row r="5" spans="1:17">
      <c r="B5" s="1436" t="s">
        <v>508</v>
      </c>
      <c r="C5" s="1436" t="s">
        <v>509</v>
      </c>
    </row>
    <row r="6" spans="1:17">
      <c r="A6" s="306">
        <v>5</v>
      </c>
      <c r="Q6" s="1437" t="str">
        <f>IF(Q4=2,"Sigma","ppm")</f>
        <v>ppm</v>
      </c>
    </row>
    <row r="7" spans="1:17">
      <c r="Q7" s="1360">
        <f>IF(Q4=2,(NORMSINV(1-(A6/10^6))+1.5),(1-NORMSDIST(A6-1.5))*10^6)</f>
        <v>232.62907903420782</v>
      </c>
    </row>
    <row r="8" spans="1:17">
      <c r="A8" s="1438" t="s">
        <v>510</v>
      </c>
      <c r="B8" s="1439"/>
      <c r="C8" s="1402"/>
      <c r="F8" s="1367">
        <f>IF(A6="","",IF(B17&gt;100,ROUND(B17,0),ROUND(B17,2)))</f>
        <v>233</v>
      </c>
    </row>
    <row r="9" spans="1:17" ht="13.5" thickBot="1">
      <c r="A9" s="1438"/>
      <c r="B9" s="1439"/>
      <c r="C9" s="1402"/>
      <c r="F9" s="1367" t="str">
        <f>IF(A6="","",IF(Q4=2,"A ppm of "&amp;F8&amp;" equals a "&amp;A17&amp;" Sigma level",""))</f>
        <v/>
      </c>
    </row>
    <row r="10" spans="1:17" ht="13.5" thickBot="1">
      <c r="A10" s="1440" t="s">
        <v>513</v>
      </c>
      <c r="B10" s="1441" t="s">
        <v>507</v>
      </c>
      <c r="F10" s="1367" t="str">
        <f>IF(Q4=2,"","A "&amp;A17&amp;" Sigma level equals a ppm of "&amp;F8)</f>
        <v>A 5 Sigma level equals a ppm of 233</v>
      </c>
    </row>
    <row r="11" spans="1:17" ht="13.5" thickTop="1">
      <c r="A11" s="1442">
        <v>1</v>
      </c>
      <c r="B11" s="1443">
        <f t="shared" ref="B11:B16" si="0">(1-NORMSDIST(A11-1.5))*10^6</f>
        <v>691462.46127401316</v>
      </c>
    </row>
    <row r="12" spans="1:17">
      <c r="A12" s="1444">
        <v>2</v>
      </c>
      <c r="B12" s="1445">
        <f t="shared" si="0"/>
        <v>308537.5387259869</v>
      </c>
    </row>
    <row r="13" spans="1:17">
      <c r="A13" s="1444">
        <v>3</v>
      </c>
      <c r="B13" s="1445">
        <f t="shared" si="0"/>
        <v>66807.201268858087</v>
      </c>
    </row>
    <row r="14" spans="1:17">
      <c r="A14" s="1444">
        <v>4</v>
      </c>
      <c r="B14" s="1445">
        <f t="shared" si="0"/>
        <v>6209.6653257759372</v>
      </c>
    </row>
    <row r="15" spans="1:17">
      <c r="A15" s="1444">
        <v>5</v>
      </c>
      <c r="B15" s="1445">
        <f t="shared" si="0"/>
        <v>232.62907903420782</v>
      </c>
    </row>
    <row r="16" spans="1:17">
      <c r="A16" s="1444">
        <v>6</v>
      </c>
      <c r="B16" s="1446">
        <f t="shared" si="0"/>
        <v>3.3976731337315158</v>
      </c>
    </row>
    <row r="17" spans="1:2" ht="13.5" thickBot="1">
      <c r="A17" s="1447">
        <f>ROUND(IF(Q4=2,Q7,A6),1)</f>
        <v>5</v>
      </c>
      <c r="B17" s="1448">
        <f>IF(Q4=2,A6,Q7)</f>
        <v>232.62907903420782</v>
      </c>
    </row>
    <row r="19" spans="1:2">
      <c r="A19" s="1383" t="s">
        <v>511</v>
      </c>
    </row>
    <row r="20" spans="1:2">
      <c r="A20" s="1383" t="s">
        <v>514</v>
      </c>
    </row>
    <row r="21" spans="1:2">
      <c r="A21" s="1383" t="s">
        <v>512</v>
      </c>
    </row>
  </sheetData>
  <sheetProtection password="CC08" sheet="1"/>
  <phoneticPr fontId="5" type="noConversion"/>
  <pageMargins left="0.75" right="0.75" top="1" bottom="1" header="0.5" footer="0.5"/>
  <pageSetup orientation="portrait" horizontalDpi="204" r:id="rId1"/>
  <headerFooter alignWithMargins="0">
    <oddHeader>&amp;A</oddHeader>
    <oddFooter>Page &amp;P</oddFooter>
  </headerFooter>
  <drawing r:id="rId2"/>
  <legacyDrawing r:id="rId3"/>
  <controls>
    <control shapeId="29704" r:id="rId4" name="MainMenu"/>
  </control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5"/>
  <dimension ref="A1:K21"/>
  <sheetViews>
    <sheetView workbookViewId="0">
      <selection activeCell="N8" sqref="N8"/>
    </sheetView>
  </sheetViews>
  <sheetFormatPr defaultRowHeight="12.75"/>
  <cols>
    <col min="1" max="16384" width="9.140625" style="43"/>
  </cols>
  <sheetData>
    <row r="1" spans="1:11">
      <c r="A1" s="308" t="s">
        <v>567</v>
      </c>
      <c r="B1" s="308" t="s">
        <v>449</v>
      </c>
      <c r="C1" s="308" t="s">
        <v>519</v>
      </c>
      <c r="D1" s="308" t="s">
        <v>507</v>
      </c>
      <c r="E1" s="309" t="s">
        <v>682</v>
      </c>
      <c r="G1" s="223" t="s">
        <v>683</v>
      </c>
    </row>
    <row r="2" spans="1:11">
      <c r="A2" s="310">
        <v>0.1</v>
      </c>
      <c r="B2" s="311">
        <f t="shared" ref="B2:B21" si="0">1-C2</f>
        <v>0.38208857781104733</v>
      </c>
      <c r="C2" s="312">
        <f t="shared" ref="C2:C21" si="1">NORMSDIST(E2)</f>
        <v>0.61791142218895267</v>
      </c>
      <c r="D2" s="313">
        <f t="shared" ref="D2:D21" si="2">B2*10^6</f>
        <v>382088.57781104732</v>
      </c>
      <c r="E2" s="314">
        <f t="shared" ref="E2:E21" si="3">3*A2</f>
        <v>0.30000000000000004</v>
      </c>
      <c r="G2" s="1514" t="s">
        <v>684</v>
      </c>
      <c r="H2" s="225" t="s">
        <v>685</v>
      </c>
      <c r="I2" s="315"/>
      <c r="J2" s="316" t="str">
        <f>IF(I2="","",(1-NORMSDIST(3*I2))*10^6)</f>
        <v/>
      </c>
      <c r="K2" s="310" t="s">
        <v>507</v>
      </c>
    </row>
    <row r="3" spans="1:11">
      <c r="A3" s="310">
        <v>0.2</v>
      </c>
      <c r="B3" s="311">
        <f t="shared" si="0"/>
        <v>0.27425311775007355</v>
      </c>
      <c r="C3" s="312">
        <f t="shared" si="1"/>
        <v>0.72574688224992645</v>
      </c>
      <c r="D3" s="313">
        <f t="shared" si="2"/>
        <v>274253.11775007355</v>
      </c>
      <c r="E3" s="314">
        <f t="shared" si="3"/>
        <v>0.60000000000000009</v>
      </c>
      <c r="G3" s="1515"/>
      <c r="H3" s="225" t="s">
        <v>686</v>
      </c>
      <c r="I3" s="315"/>
      <c r="J3" s="316" t="str">
        <f>IF(I3="","",NORMSINV(1-(I3/10^6))/3)</f>
        <v/>
      </c>
      <c r="K3" s="310" t="s">
        <v>567</v>
      </c>
    </row>
    <row r="4" spans="1:11">
      <c r="A4" s="310">
        <v>0.3</v>
      </c>
      <c r="B4" s="311">
        <f t="shared" si="0"/>
        <v>0.18406012534675953</v>
      </c>
      <c r="C4" s="312">
        <f t="shared" si="1"/>
        <v>0.81593987465324047</v>
      </c>
      <c r="D4" s="313">
        <f t="shared" si="2"/>
        <v>184060.12534675954</v>
      </c>
      <c r="E4" s="314">
        <f t="shared" si="3"/>
        <v>0.89999999999999991</v>
      </c>
    </row>
    <row r="5" spans="1:11">
      <c r="A5" s="310">
        <v>0.4</v>
      </c>
      <c r="B5" s="311">
        <f t="shared" si="0"/>
        <v>0.11506967022170822</v>
      </c>
      <c r="C5" s="312">
        <f t="shared" si="1"/>
        <v>0.88493032977829178</v>
      </c>
      <c r="D5" s="313">
        <f t="shared" si="2"/>
        <v>115069.67022170822</v>
      </c>
      <c r="E5" s="314">
        <f t="shared" si="3"/>
        <v>1.2000000000000002</v>
      </c>
    </row>
    <row r="6" spans="1:11">
      <c r="A6" s="310">
        <v>0.5</v>
      </c>
      <c r="B6" s="311">
        <f t="shared" si="0"/>
        <v>6.6807201268858085E-2</v>
      </c>
      <c r="C6" s="312">
        <f t="shared" si="1"/>
        <v>0.93319279873114191</v>
      </c>
      <c r="D6" s="313">
        <f t="shared" si="2"/>
        <v>66807.201268858087</v>
      </c>
      <c r="E6" s="314">
        <f t="shared" si="3"/>
        <v>1.5</v>
      </c>
    </row>
    <row r="7" spans="1:11">
      <c r="A7" s="310">
        <v>0.6</v>
      </c>
      <c r="B7" s="311">
        <f t="shared" si="0"/>
        <v>3.5930319112925879E-2</v>
      </c>
      <c r="C7" s="312">
        <f t="shared" si="1"/>
        <v>0.96406968088707412</v>
      </c>
      <c r="D7" s="313">
        <f t="shared" si="2"/>
        <v>35930.319112925878</v>
      </c>
      <c r="E7" s="314">
        <f t="shared" si="3"/>
        <v>1.7999999999999998</v>
      </c>
    </row>
    <row r="8" spans="1:11">
      <c r="A8" s="310">
        <v>0.7</v>
      </c>
      <c r="B8" s="311">
        <f t="shared" si="0"/>
        <v>1.7864420562816563E-2</v>
      </c>
      <c r="C8" s="312">
        <f t="shared" si="1"/>
        <v>0.98213557943718344</v>
      </c>
      <c r="D8" s="313">
        <f t="shared" si="2"/>
        <v>17864.420562816562</v>
      </c>
      <c r="E8" s="314">
        <f t="shared" si="3"/>
        <v>2.0999999999999996</v>
      </c>
    </row>
    <row r="9" spans="1:11">
      <c r="A9" s="310">
        <v>0.8</v>
      </c>
      <c r="B9" s="311">
        <f t="shared" si="0"/>
        <v>8.1975359245960444E-3</v>
      </c>
      <c r="C9" s="312">
        <f t="shared" si="1"/>
        <v>0.99180246407540396</v>
      </c>
      <c r="D9" s="313">
        <f t="shared" si="2"/>
        <v>8197.5359245960444</v>
      </c>
      <c r="E9" s="314">
        <f t="shared" si="3"/>
        <v>2.4000000000000004</v>
      </c>
    </row>
    <row r="10" spans="1:11">
      <c r="A10" s="310">
        <v>0.9</v>
      </c>
      <c r="B10" s="311">
        <f t="shared" si="0"/>
        <v>3.4669738030406183E-3</v>
      </c>
      <c r="C10" s="312">
        <f t="shared" si="1"/>
        <v>0.99653302619695938</v>
      </c>
      <c r="D10" s="313">
        <f t="shared" si="2"/>
        <v>3466.9738030406183</v>
      </c>
      <c r="E10" s="314">
        <f t="shared" si="3"/>
        <v>2.7</v>
      </c>
    </row>
    <row r="11" spans="1:11">
      <c r="A11" s="310">
        <v>1</v>
      </c>
      <c r="B11" s="311">
        <f t="shared" si="0"/>
        <v>1.3498980316301035E-3</v>
      </c>
      <c r="C11" s="312">
        <f t="shared" si="1"/>
        <v>0.9986501019683699</v>
      </c>
      <c r="D11" s="313">
        <f t="shared" si="2"/>
        <v>1349.8980316301036</v>
      </c>
      <c r="E11" s="314">
        <f t="shared" si="3"/>
        <v>3</v>
      </c>
    </row>
    <row r="12" spans="1:11">
      <c r="A12" s="310">
        <v>1.1000000000000001</v>
      </c>
      <c r="B12" s="311">
        <f t="shared" si="0"/>
        <v>4.8342414238400355E-4</v>
      </c>
      <c r="C12" s="312">
        <f t="shared" si="1"/>
        <v>0.999516575857616</v>
      </c>
      <c r="D12" s="313">
        <f t="shared" si="2"/>
        <v>483.42414238400357</v>
      </c>
      <c r="E12" s="314">
        <f t="shared" si="3"/>
        <v>3.3000000000000003</v>
      </c>
    </row>
    <row r="13" spans="1:11">
      <c r="A13" s="317">
        <v>1.2</v>
      </c>
      <c r="B13" s="311">
        <f t="shared" si="0"/>
        <v>1.5910859015888512E-4</v>
      </c>
      <c r="C13" s="312">
        <f t="shared" si="1"/>
        <v>0.99984089140984111</v>
      </c>
      <c r="D13" s="313">
        <f t="shared" si="2"/>
        <v>159.10859015888514</v>
      </c>
      <c r="E13" s="314">
        <f t="shared" si="3"/>
        <v>3.5999999999999996</v>
      </c>
    </row>
    <row r="14" spans="1:11">
      <c r="A14" s="310">
        <v>1.3</v>
      </c>
      <c r="B14" s="311">
        <f t="shared" si="0"/>
        <v>4.8096344017700687E-5</v>
      </c>
      <c r="C14" s="312">
        <f t="shared" si="1"/>
        <v>0.9999519036559823</v>
      </c>
      <c r="D14" s="313">
        <f t="shared" si="2"/>
        <v>48.096344017700687</v>
      </c>
      <c r="E14" s="314">
        <f t="shared" si="3"/>
        <v>3.9000000000000004</v>
      </c>
    </row>
    <row r="15" spans="1:11">
      <c r="A15" s="310">
        <v>1.4</v>
      </c>
      <c r="B15" s="311">
        <f t="shared" si="0"/>
        <v>1.3345749027338094E-5</v>
      </c>
      <c r="C15" s="312">
        <f t="shared" si="1"/>
        <v>0.99998665425097266</v>
      </c>
      <c r="D15" s="313">
        <f t="shared" si="2"/>
        <v>13.345749027338094</v>
      </c>
      <c r="E15" s="314">
        <f t="shared" si="3"/>
        <v>4.1999999999999993</v>
      </c>
    </row>
    <row r="16" spans="1:11">
      <c r="A16" s="310">
        <v>1.5</v>
      </c>
      <c r="B16" s="311">
        <f t="shared" si="0"/>
        <v>3.3976731337315158E-6</v>
      </c>
      <c r="C16" s="312">
        <f t="shared" si="1"/>
        <v>0.99999660232686627</v>
      </c>
      <c r="D16" s="318">
        <f t="shared" si="2"/>
        <v>3.3976731337315158</v>
      </c>
      <c r="E16" s="314">
        <f t="shared" si="3"/>
        <v>4.5</v>
      </c>
    </row>
    <row r="17" spans="1:5">
      <c r="A17" s="310">
        <v>1.6</v>
      </c>
      <c r="B17" s="311">
        <f t="shared" si="0"/>
        <v>7.9332804148180003E-7</v>
      </c>
      <c r="C17" s="312">
        <f t="shared" si="1"/>
        <v>0.99999920667195852</v>
      </c>
      <c r="D17" s="318">
        <f t="shared" si="2"/>
        <v>0.79332804148180003</v>
      </c>
      <c r="E17" s="314">
        <f t="shared" si="3"/>
        <v>4.8000000000000007</v>
      </c>
    </row>
    <row r="18" spans="1:5">
      <c r="A18" s="310">
        <v>1.7</v>
      </c>
      <c r="B18" s="311">
        <f t="shared" si="0"/>
        <v>1.698267406702314E-7</v>
      </c>
      <c r="C18" s="312">
        <f t="shared" si="1"/>
        <v>0.99999983017325933</v>
      </c>
      <c r="D18" s="319">
        <f t="shared" si="2"/>
        <v>0.1698267406702314</v>
      </c>
      <c r="E18" s="314">
        <f t="shared" si="3"/>
        <v>5.0999999999999996</v>
      </c>
    </row>
    <row r="19" spans="1:5">
      <c r="A19" s="310">
        <v>1.8</v>
      </c>
      <c r="B19" s="311">
        <f t="shared" si="0"/>
        <v>3.3320448511453549E-8</v>
      </c>
      <c r="C19" s="312">
        <f t="shared" si="1"/>
        <v>0.99999996667955149</v>
      </c>
      <c r="D19" s="320">
        <f t="shared" si="2"/>
        <v>3.3320448511453549E-2</v>
      </c>
      <c r="E19" s="314">
        <f t="shared" si="3"/>
        <v>5.4</v>
      </c>
    </row>
    <row r="20" spans="1:5">
      <c r="A20" s="317">
        <v>1.9</v>
      </c>
      <c r="B20" s="311">
        <f t="shared" si="0"/>
        <v>5.9903714211273495E-9</v>
      </c>
      <c r="C20" s="312">
        <f t="shared" si="1"/>
        <v>0.99999999400962858</v>
      </c>
      <c r="D20" s="320">
        <f t="shared" si="2"/>
        <v>5.9903714211273495E-3</v>
      </c>
      <c r="E20" s="314">
        <f t="shared" si="3"/>
        <v>5.6999999999999993</v>
      </c>
    </row>
    <row r="21" spans="1:5">
      <c r="A21" s="310">
        <v>2</v>
      </c>
      <c r="B21" s="311">
        <f t="shared" si="0"/>
        <v>9.8658770042447941E-10</v>
      </c>
      <c r="C21" s="312">
        <f t="shared" si="1"/>
        <v>0.9999999990134123</v>
      </c>
      <c r="D21" s="320">
        <f t="shared" si="2"/>
        <v>9.8658770042447941E-4</v>
      </c>
      <c r="E21" s="314">
        <f t="shared" si="3"/>
        <v>6</v>
      </c>
    </row>
  </sheetData>
  <sheetProtection password="CC08" sheet="1" scenarios="1"/>
  <protectedRanges>
    <protectedRange sqref="F4:L23 I2:I3" name="Range1"/>
  </protectedRanges>
  <mergeCells count="1">
    <mergeCell ref="G2:G3"/>
  </mergeCells>
  <phoneticPr fontId="5" type="noConversion"/>
  <pageMargins left="0.75" right="0.75" top="1" bottom="1" header="0.5" footer="0.5"/>
  <pageSetup orientation="portrait" horizontalDpi="0" r:id="rId1"/>
  <headerFooter alignWithMargins="0"/>
  <drawing r:id="rId2"/>
  <legacyDrawing r:id="rId3"/>
  <controls>
    <control shapeId="31746" r:id="rId4" name="MainMenu"/>
  </control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S96"/>
  <sheetViews>
    <sheetView workbookViewId="0">
      <selection activeCell="D6" sqref="D6"/>
    </sheetView>
  </sheetViews>
  <sheetFormatPr defaultRowHeight="12.75"/>
  <cols>
    <col min="1" max="1" width="13.140625" customWidth="1"/>
    <col min="3" max="4" width="13.7109375" customWidth="1"/>
    <col min="15" max="15" width="10" customWidth="1"/>
  </cols>
  <sheetData>
    <row r="1" spans="1:19" ht="15.75">
      <c r="A1" s="1516" t="s">
        <v>722</v>
      </c>
      <c r="B1" s="1516"/>
      <c r="C1" s="1516"/>
      <c r="D1" s="1516"/>
      <c r="E1" s="46"/>
      <c r="H1" s="97"/>
      <c r="I1" s="97"/>
      <c r="J1" s="97"/>
      <c r="K1" s="97"/>
      <c r="L1" s="97"/>
      <c r="M1" s="97"/>
      <c r="N1" s="97"/>
    </row>
    <row r="2" spans="1:19">
      <c r="A2" s="1516"/>
      <c r="B2" s="1516"/>
      <c r="C2" s="1516"/>
      <c r="D2" s="1516"/>
      <c r="E2" s="46"/>
    </row>
    <row r="3" spans="1:19">
      <c r="E3" s="43"/>
      <c r="F3" t="s">
        <v>656</v>
      </c>
      <c r="G3" s="294" t="e">
        <f>(-LN(1-B5))/B4</f>
        <v>#DIV/0!</v>
      </c>
    </row>
    <row r="4" spans="1:19">
      <c r="A4" s="286" t="s">
        <v>435</v>
      </c>
      <c r="B4" s="315"/>
      <c r="E4" s="43"/>
      <c r="O4" s="183"/>
    </row>
    <row r="5" spans="1:19">
      <c r="A5" s="286" t="s">
        <v>723</v>
      </c>
      <c r="B5" s="315"/>
      <c r="Q5" s="321"/>
      <c r="R5" s="322" t="e">
        <f>"n = "&amp;J27</f>
        <v>#DIV/0!</v>
      </c>
    </row>
    <row r="6" spans="1:19">
      <c r="Q6" s="323" t="s">
        <v>449</v>
      </c>
      <c r="R6" s="324" t="s">
        <v>708</v>
      </c>
      <c r="S6" s="324" t="s">
        <v>709</v>
      </c>
    </row>
    <row r="7" spans="1:19">
      <c r="A7" s="325" t="s">
        <v>656</v>
      </c>
      <c r="B7" s="326" t="e">
        <f>ROUNDUP((-LN(1-B5))/B4,0)</f>
        <v>#DIV/0!</v>
      </c>
      <c r="Q7" s="327">
        <v>0.1</v>
      </c>
      <c r="R7" s="328" t="e">
        <f t="shared" ref="R7:R38" si="0">((($J$27*Q7)^0)/FACT(0))*EXP(-$J$27*Q7)</f>
        <v>#DIV/0!</v>
      </c>
      <c r="S7" s="329" t="e">
        <f t="shared" ref="S7:S38" si="1">1-R7</f>
        <v>#DIV/0!</v>
      </c>
    </row>
    <row r="8" spans="1:19">
      <c r="Q8" s="327">
        <v>7.4999999999999997E-2</v>
      </c>
      <c r="R8" s="328" t="e">
        <f t="shared" si="0"/>
        <v>#DIV/0!</v>
      </c>
      <c r="S8" s="329" t="e">
        <f t="shared" si="1"/>
        <v>#DIV/0!</v>
      </c>
    </row>
    <row r="9" spans="1:19">
      <c r="Q9" s="330">
        <v>0.05</v>
      </c>
      <c r="R9" s="328" t="e">
        <f t="shared" si="0"/>
        <v>#DIV/0!</v>
      </c>
      <c r="S9" s="329" t="e">
        <f t="shared" si="1"/>
        <v>#DIV/0!</v>
      </c>
    </row>
    <row r="10" spans="1:19">
      <c r="Q10" s="327">
        <v>0.04</v>
      </c>
      <c r="R10" s="328" t="e">
        <f t="shared" si="0"/>
        <v>#DIV/0!</v>
      </c>
      <c r="S10" s="329" t="e">
        <f t="shared" si="1"/>
        <v>#DIV/0!</v>
      </c>
    </row>
    <row r="11" spans="1:19">
      <c r="Q11" s="327">
        <v>3.5000000000000003E-2</v>
      </c>
      <c r="R11" s="328" t="e">
        <f t="shared" si="0"/>
        <v>#DIV/0!</v>
      </c>
      <c r="S11" s="329" t="e">
        <f t="shared" si="1"/>
        <v>#DIV/0!</v>
      </c>
    </row>
    <row r="12" spans="1:19">
      <c r="Q12" s="327">
        <v>0.03</v>
      </c>
      <c r="R12" s="328" t="e">
        <f t="shared" si="0"/>
        <v>#DIV/0!</v>
      </c>
      <c r="S12" s="329" t="e">
        <f t="shared" si="1"/>
        <v>#DIV/0!</v>
      </c>
    </row>
    <row r="13" spans="1:19">
      <c r="Q13" s="327">
        <v>2.5000000000000001E-2</v>
      </c>
      <c r="R13" s="328" t="e">
        <f t="shared" si="0"/>
        <v>#DIV/0!</v>
      </c>
      <c r="S13" s="329" t="e">
        <f t="shared" si="1"/>
        <v>#DIV/0!</v>
      </c>
    </row>
    <row r="14" spans="1:19">
      <c r="Q14" s="330">
        <v>0.02</v>
      </c>
      <c r="R14" s="328" t="e">
        <f t="shared" si="0"/>
        <v>#DIV/0!</v>
      </c>
      <c r="S14" s="329" t="e">
        <f t="shared" si="1"/>
        <v>#DIV/0!</v>
      </c>
    </row>
    <row r="15" spans="1:19">
      <c r="Q15" s="327">
        <v>1.9E-2</v>
      </c>
      <c r="R15" s="328" t="e">
        <f t="shared" si="0"/>
        <v>#DIV/0!</v>
      </c>
      <c r="S15" s="329" t="e">
        <f t="shared" si="1"/>
        <v>#DIV/0!</v>
      </c>
    </row>
    <row r="16" spans="1:19">
      <c r="Q16" s="327">
        <v>1.7999999999999999E-2</v>
      </c>
      <c r="R16" s="328" t="e">
        <f t="shared" si="0"/>
        <v>#DIV/0!</v>
      </c>
      <c r="S16" s="329" t="e">
        <f t="shared" si="1"/>
        <v>#DIV/0!</v>
      </c>
    </row>
    <row r="17" spans="8:19">
      <c r="Q17" s="327">
        <v>1.7000000000000001E-2</v>
      </c>
      <c r="R17" s="328" t="e">
        <f t="shared" si="0"/>
        <v>#DIV/0!</v>
      </c>
      <c r="S17" s="329" t="e">
        <f t="shared" si="1"/>
        <v>#DIV/0!</v>
      </c>
    </row>
    <row r="18" spans="8:19">
      <c r="Q18" s="327">
        <v>1.6E-2</v>
      </c>
      <c r="R18" s="328" t="e">
        <f t="shared" si="0"/>
        <v>#DIV/0!</v>
      </c>
      <c r="S18" s="329" t="e">
        <f t="shared" si="1"/>
        <v>#DIV/0!</v>
      </c>
    </row>
    <row r="19" spans="8:19">
      <c r="Q19" s="327">
        <v>1.4999999999999999E-2</v>
      </c>
      <c r="R19" s="328" t="e">
        <f t="shared" si="0"/>
        <v>#DIV/0!</v>
      </c>
      <c r="S19" s="329" t="e">
        <f t="shared" si="1"/>
        <v>#DIV/0!</v>
      </c>
    </row>
    <row r="20" spans="8:19">
      <c r="Q20" s="327">
        <v>1.4E-2</v>
      </c>
      <c r="R20" s="328" t="e">
        <f t="shared" si="0"/>
        <v>#DIV/0!</v>
      </c>
      <c r="S20" s="329" t="e">
        <f t="shared" si="1"/>
        <v>#DIV/0!</v>
      </c>
    </row>
    <row r="21" spans="8:19">
      <c r="Q21" s="327">
        <v>1.2999999999999999E-2</v>
      </c>
      <c r="R21" s="328" t="e">
        <f t="shared" si="0"/>
        <v>#DIV/0!</v>
      </c>
      <c r="S21" s="329" t="e">
        <f t="shared" si="1"/>
        <v>#DIV/0!</v>
      </c>
    </row>
    <row r="22" spans="8:19">
      <c r="Q22" s="327">
        <v>1.2E-2</v>
      </c>
      <c r="R22" s="328" t="e">
        <f t="shared" si="0"/>
        <v>#DIV/0!</v>
      </c>
      <c r="S22" s="329" t="e">
        <f t="shared" si="1"/>
        <v>#DIV/0!</v>
      </c>
    </row>
    <row r="23" spans="8:19">
      <c r="Q23" s="327">
        <v>1.0999999999999999E-2</v>
      </c>
      <c r="R23" s="328" t="e">
        <f t="shared" si="0"/>
        <v>#DIV/0!</v>
      </c>
      <c r="S23" s="329" t="e">
        <f t="shared" si="1"/>
        <v>#DIV/0!</v>
      </c>
    </row>
    <row r="24" spans="8:19">
      <c r="Q24" s="330">
        <v>0.01</v>
      </c>
      <c r="R24" s="328" t="e">
        <f t="shared" si="0"/>
        <v>#DIV/0!</v>
      </c>
      <c r="S24" s="329" t="e">
        <f t="shared" si="1"/>
        <v>#DIV/0!</v>
      </c>
    </row>
    <row r="25" spans="8:19">
      <c r="Q25" s="327">
        <v>8.9999999999999993E-3</v>
      </c>
      <c r="R25" s="328" t="e">
        <f t="shared" si="0"/>
        <v>#DIV/0!</v>
      </c>
      <c r="S25" s="329" t="e">
        <f t="shared" si="1"/>
        <v>#DIV/0!</v>
      </c>
    </row>
    <row r="26" spans="8:19">
      <c r="Q26" s="327">
        <v>8.0000000000000002E-3</v>
      </c>
      <c r="R26" s="328" t="e">
        <f t="shared" si="0"/>
        <v>#DIV/0!</v>
      </c>
      <c r="S26" s="329" t="e">
        <f t="shared" si="1"/>
        <v>#DIV/0!</v>
      </c>
    </row>
    <row r="27" spans="8:19">
      <c r="I27" s="263" t="s">
        <v>703</v>
      </c>
      <c r="J27" s="331" t="e">
        <f>B7</f>
        <v>#DIV/0!</v>
      </c>
      <c r="Q27" s="327">
        <v>7.0000000000000001E-3</v>
      </c>
      <c r="R27" s="328" t="e">
        <f t="shared" si="0"/>
        <v>#DIV/0!</v>
      </c>
      <c r="S27" s="329" t="e">
        <f t="shared" si="1"/>
        <v>#DIV/0!</v>
      </c>
    </row>
    <row r="28" spans="8:19">
      <c r="I28" s="323" t="s">
        <v>449</v>
      </c>
      <c r="J28" s="290" t="s">
        <v>706</v>
      </c>
      <c r="K28" s="290" t="s">
        <v>707</v>
      </c>
      <c r="Q28" s="327">
        <v>6.0000000000000001E-3</v>
      </c>
      <c r="R28" s="328" t="e">
        <f t="shared" si="0"/>
        <v>#DIV/0!</v>
      </c>
      <c r="S28" s="329" t="e">
        <f t="shared" si="1"/>
        <v>#DIV/0!</v>
      </c>
    </row>
    <row r="29" spans="8:19">
      <c r="H29" s="95" t="s">
        <v>710</v>
      </c>
      <c r="I29" s="290">
        <v>0.05</v>
      </c>
      <c r="J29" s="332" t="e">
        <f t="shared" ref="J29:J40" si="2">((($J$27*I29)^0)/FACT(0))*EXP(-$J$27*I29)</f>
        <v>#DIV/0!</v>
      </c>
      <c r="K29" s="333" t="e">
        <f t="shared" ref="K29:K40" si="3">1-J29</f>
        <v>#DIV/0!</v>
      </c>
      <c r="Q29" s="330">
        <v>5.0000000000000001E-3</v>
      </c>
      <c r="R29" s="328" t="e">
        <f t="shared" si="0"/>
        <v>#DIV/0!</v>
      </c>
      <c r="S29" s="329" t="e">
        <f t="shared" si="1"/>
        <v>#DIV/0!</v>
      </c>
    </row>
    <row r="30" spans="8:19">
      <c r="H30" s="95" t="s">
        <v>711</v>
      </c>
      <c r="I30" s="290">
        <v>0.01</v>
      </c>
      <c r="J30" s="332" t="e">
        <f t="shared" si="2"/>
        <v>#DIV/0!</v>
      </c>
      <c r="K30" s="333" t="e">
        <f t="shared" si="3"/>
        <v>#DIV/0!</v>
      </c>
      <c r="Q30" s="290">
        <v>4.8999999999999998E-3</v>
      </c>
      <c r="R30" s="328" t="e">
        <f t="shared" si="0"/>
        <v>#DIV/0!</v>
      </c>
      <c r="S30" s="329" t="e">
        <f t="shared" si="1"/>
        <v>#DIV/0!</v>
      </c>
    </row>
    <row r="31" spans="8:19">
      <c r="H31" s="95" t="s">
        <v>712</v>
      </c>
      <c r="I31" s="290">
        <v>5.0000000000000001E-3</v>
      </c>
      <c r="J31" s="332" t="e">
        <f t="shared" si="2"/>
        <v>#DIV/0!</v>
      </c>
      <c r="K31" s="333" t="e">
        <f t="shared" si="3"/>
        <v>#DIV/0!</v>
      </c>
      <c r="Q31" s="290">
        <v>4.7999999999999996E-3</v>
      </c>
      <c r="R31" s="328" t="e">
        <f t="shared" si="0"/>
        <v>#DIV/0!</v>
      </c>
      <c r="S31" s="329" t="e">
        <f t="shared" si="1"/>
        <v>#DIV/0!</v>
      </c>
    </row>
    <row r="32" spans="8:19">
      <c r="H32" s="95" t="s">
        <v>713</v>
      </c>
      <c r="I32" s="290">
        <v>3.0000000000000001E-3</v>
      </c>
      <c r="J32" s="332" t="e">
        <f t="shared" si="2"/>
        <v>#DIV/0!</v>
      </c>
      <c r="K32" s="333" t="e">
        <f t="shared" si="3"/>
        <v>#DIV/0!</v>
      </c>
      <c r="Q32" s="290">
        <v>4.7000000000000002E-3</v>
      </c>
      <c r="R32" s="328" t="e">
        <f t="shared" si="0"/>
        <v>#DIV/0!</v>
      </c>
      <c r="S32" s="329" t="e">
        <f t="shared" si="1"/>
        <v>#DIV/0!</v>
      </c>
    </row>
    <row r="33" spans="8:19">
      <c r="H33" s="95" t="s">
        <v>714</v>
      </c>
      <c r="I33" s="290">
        <v>2E-3</v>
      </c>
      <c r="J33" s="332" t="e">
        <f t="shared" si="2"/>
        <v>#DIV/0!</v>
      </c>
      <c r="K33" s="333" t="e">
        <f t="shared" si="3"/>
        <v>#DIV/0!</v>
      </c>
      <c r="Q33" s="290">
        <v>4.5999999999999999E-3</v>
      </c>
      <c r="R33" s="328" t="e">
        <f t="shared" si="0"/>
        <v>#DIV/0!</v>
      </c>
      <c r="S33" s="329" t="e">
        <f t="shared" si="1"/>
        <v>#DIV/0!</v>
      </c>
    </row>
    <row r="34" spans="8:19">
      <c r="H34" s="95" t="s">
        <v>715</v>
      </c>
      <c r="I34" s="290">
        <v>1E-3</v>
      </c>
      <c r="J34" s="332" t="e">
        <f t="shared" si="2"/>
        <v>#DIV/0!</v>
      </c>
      <c r="K34" s="333" t="e">
        <f t="shared" si="3"/>
        <v>#DIV/0!</v>
      </c>
      <c r="Q34" s="290">
        <v>4.4999999999999997E-3</v>
      </c>
      <c r="R34" s="328" t="e">
        <f t="shared" si="0"/>
        <v>#DIV/0!</v>
      </c>
      <c r="S34" s="329" t="e">
        <f t="shared" si="1"/>
        <v>#DIV/0!</v>
      </c>
    </row>
    <row r="35" spans="8:19">
      <c r="H35" s="95" t="s">
        <v>716</v>
      </c>
      <c r="I35" s="290">
        <v>5.0000000000000001E-4</v>
      </c>
      <c r="J35" s="332" t="e">
        <f t="shared" si="2"/>
        <v>#DIV/0!</v>
      </c>
      <c r="K35" s="333" t="e">
        <f t="shared" si="3"/>
        <v>#DIV/0!</v>
      </c>
      <c r="Q35" s="290">
        <v>4.4000000000000003E-3</v>
      </c>
      <c r="R35" s="328" t="e">
        <f t="shared" si="0"/>
        <v>#DIV/0!</v>
      </c>
      <c r="S35" s="329" t="e">
        <f t="shared" si="1"/>
        <v>#DIV/0!</v>
      </c>
    </row>
    <row r="36" spans="8:19">
      <c r="H36" s="95" t="s">
        <v>717</v>
      </c>
      <c r="I36" s="290">
        <v>1E-4</v>
      </c>
      <c r="J36" s="332" t="e">
        <f t="shared" si="2"/>
        <v>#DIV/0!</v>
      </c>
      <c r="K36" s="333" t="e">
        <f t="shared" si="3"/>
        <v>#DIV/0!</v>
      </c>
      <c r="Q36" s="290">
        <v>4.3E-3</v>
      </c>
      <c r="R36" s="328" t="e">
        <f t="shared" si="0"/>
        <v>#DIV/0!</v>
      </c>
      <c r="S36" s="329" t="e">
        <f t="shared" si="1"/>
        <v>#DIV/0!</v>
      </c>
    </row>
    <row r="37" spans="8:19">
      <c r="H37" s="95" t="s">
        <v>718</v>
      </c>
      <c r="I37" s="290">
        <v>5.0000000000000002E-5</v>
      </c>
      <c r="J37" s="332" t="e">
        <f t="shared" si="2"/>
        <v>#DIV/0!</v>
      </c>
      <c r="K37" s="333" t="e">
        <f t="shared" si="3"/>
        <v>#DIV/0!</v>
      </c>
      <c r="Q37" s="290">
        <v>4.1999999999999997E-3</v>
      </c>
      <c r="R37" s="328" t="e">
        <f t="shared" si="0"/>
        <v>#DIV/0!</v>
      </c>
      <c r="S37" s="329" t="e">
        <f t="shared" si="1"/>
        <v>#DIV/0!</v>
      </c>
    </row>
    <row r="38" spans="8:19">
      <c r="H38" s="95" t="s">
        <v>719</v>
      </c>
      <c r="I38" s="290">
        <v>1.0000000000000001E-5</v>
      </c>
      <c r="J38" s="332" t="e">
        <f t="shared" si="2"/>
        <v>#DIV/0!</v>
      </c>
      <c r="K38" s="333" t="e">
        <f t="shared" si="3"/>
        <v>#DIV/0!</v>
      </c>
      <c r="Q38" s="290">
        <v>4.1000000000000003E-3</v>
      </c>
      <c r="R38" s="328" t="e">
        <f t="shared" si="0"/>
        <v>#DIV/0!</v>
      </c>
      <c r="S38" s="329" t="e">
        <f t="shared" si="1"/>
        <v>#DIV/0!</v>
      </c>
    </row>
    <row r="39" spans="8:19">
      <c r="H39" s="95" t="s">
        <v>720</v>
      </c>
      <c r="I39" s="290">
        <v>5.0000000000000004E-6</v>
      </c>
      <c r="J39" s="332" t="e">
        <f t="shared" si="2"/>
        <v>#DIV/0!</v>
      </c>
      <c r="K39" s="333" t="e">
        <f t="shared" si="3"/>
        <v>#DIV/0!</v>
      </c>
      <c r="Q39" s="290">
        <v>4.0000000000000001E-3</v>
      </c>
      <c r="R39" s="328" t="e">
        <f t="shared" ref="R39:R70" si="4">((($J$27*Q39)^0)/FACT(0))*EXP(-$J$27*Q39)</f>
        <v>#DIV/0!</v>
      </c>
      <c r="S39" s="329" t="e">
        <f t="shared" ref="S39:S70" si="5">1-R39</f>
        <v>#DIV/0!</v>
      </c>
    </row>
    <row r="40" spans="8:19">
      <c r="H40" s="95" t="s">
        <v>721</v>
      </c>
      <c r="I40" s="290">
        <v>9.9999999999999995E-7</v>
      </c>
      <c r="J40" s="332" t="e">
        <f t="shared" si="2"/>
        <v>#DIV/0!</v>
      </c>
      <c r="K40" s="333" t="e">
        <f t="shared" si="3"/>
        <v>#DIV/0!</v>
      </c>
      <c r="Q40" s="290">
        <v>3.8999999999999998E-3</v>
      </c>
      <c r="R40" s="328" t="e">
        <f t="shared" si="4"/>
        <v>#DIV/0!</v>
      </c>
      <c r="S40" s="329" t="e">
        <f t="shared" si="5"/>
        <v>#DIV/0!</v>
      </c>
    </row>
    <row r="41" spans="8:19">
      <c r="Q41" s="290">
        <v>3.8E-3</v>
      </c>
      <c r="R41" s="328" t="e">
        <f t="shared" si="4"/>
        <v>#DIV/0!</v>
      </c>
      <c r="S41" s="329" t="e">
        <f t="shared" si="5"/>
        <v>#DIV/0!</v>
      </c>
    </row>
    <row r="42" spans="8:19">
      <c r="Q42" s="290">
        <v>3.7000000000000002E-3</v>
      </c>
      <c r="R42" s="328" t="e">
        <f t="shared" si="4"/>
        <v>#DIV/0!</v>
      </c>
      <c r="S42" s="329" t="e">
        <f t="shared" si="5"/>
        <v>#DIV/0!</v>
      </c>
    </row>
    <row r="43" spans="8:19">
      <c r="Q43" s="290">
        <v>3.5999999999999999E-3</v>
      </c>
      <c r="R43" s="328" t="e">
        <f t="shared" si="4"/>
        <v>#DIV/0!</v>
      </c>
      <c r="S43" s="329" t="e">
        <f t="shared" si="5"/>
        <v>#DIV/0!</v>
      </c>
    </row>
    <row r="44" spans="8:19">
      <c r="Q44" s="290">
        <v>3.5000000000000001E-3</v>
      </c>
      <c r="R44" s="328" t="e">
        <f t="shared" si="4"/>
        <v>#DIV/0!</v>
      </c>
      <c r="S44" s="329" t="e">
        <f t="shared" si="5"/>
        <v>#DIV/0!</v>
      </c>
    </row>
    <row r="45" spans="8:19">
      <c r="Q45" s="290">
        <v>3.3999999999999998E-3</v>
      </c>
      <c r="R45" s="328" t="e">
        <f t="shared" si="4"/>
        <v>#DIV/0!</v>
      </c>
      <c r="S45" s="329" t="e">
        <f t="shared" si="5"/>
        <v>#DIV/0!</v>
      </c>
    </row>
    <row r="46" spans="8:19">
      <c r="Q46" s="290">
        <v>3.3E-3</v>
      </c>
      <c r="R46" s="328" t="e">
        <f t="shared" si="4"/>
        <v>#DIV/0!</v>
      </c>
      <c r="S46" s="329" t="e">
        <f t="shared" si="5"/>
        <v>#DIV/0!</v>
      </c>
    </row>
    <row r="47" spans="8:19">
      <c r="Q47" s="290">
        <v>3.2000000000000002E-3</v>
      </c>
      <c r="R47" s="328" t="e">
        <f t="shared" si="4"/>
        <v>#DIV/0!</v>
      </c>
      <c r="S47" s="329" t="e">
        <f t="shared" si="5"/>
        <v>#DIV/0!</v>
      </c>
    </row>
    <row r="48" spans="8:19">
      <c r="Q48" s="290">
        <v>3.0999999999999899E-3</v>
      </c>
      <c r="R48" s="328" t="e">
        <f t="shared" si="4"/>
        <v>#DIV/0!</v>
      </c>
      <c r="S48" s="329" t="e">
        <f t="shared" si="5"/>
        <v>#DIV/0!</v>
      </c>
    </row>
    <row r="49" spans="17:19">
      <c r="Q49" s="290">
        <v>2.9999999999999901E-3</v>
      </c>
      <c r="R49" s="328" t="e">
        <f t="shared" si="4"/>
        <v>#DIV/0!</v>
      </c>
      <c r="S49" s="329" t="e">
        <f t="shared" si="5"/>
        <v>#DIV/0!</v>
      </c>
    </row>
    <row r="50" spans="17:19">
      <c r="Q50" s="290">
        <v>2.8999999999999898E-3</v>
      </c>
      <c r="R50" s="328" t="e">
        <f t="shared" si="4"/>
        <v>#DIV/0!</v>
      </c>
      <c r="S50" s="329" t="e">
        <f t="shared" si="5"/>
        <v>#DIV/0!</v>
      </c>
    </row>
    <row r="51" spans="17:19">
      <c r="Q51" s="290">
        <v>2.79999999999999E-3</v>
      </c>
      <c r="R51" s="328" t="e">
        <f t="shared" si="4"/>
        <v>#DIV/0!</v>
      </c>
      <c r="S51" s="329" t="e">
        <f t="shared" si="5"/>
        <v>#DIV/0!</v>
      </c>
    </row>
    <row r="52" spans="17:19">
      <c r="Q52" s="290">
        <v>2.6999999999999902E-3</v>
      </c>
      <c r="R52" s="328" t="e">
        <f t="shared" si="4"/>
        <v>#DIV/0!</v>
      </c>
      <c r="S52" s="329" t="e">
        <f t="shared" si="5"/>
        <v>#DIV/0!</v>
      </c>
    </row>
    <row r="53" spans="17:19">
      <c r="Q53" s="290">
        <v>2.5999999999999899E-3</v>
      </c>
      <c r="R53" s="328" t="e">
        <f t="shared" si="4"/>
        <v>#DIV/0!</v>
      </c>
      <c r="S53" s="329" t="e">
        <f t="shared" si="5"/>
        <v>#DIV/0!</v>
      </c>
    </row>
    <row r="54" spans="17:19">
      <c r="Q54" s="290">
        <v>2.4999999999999901E-3</v>
      </c>
      <c r="R54" s="328" t="e">
        <f t="shared" si="4"/>
        <v>#DIV/0!</v>
      </c>
      <c r="S54" s="329" t="e">
        <f t="shared" si="5"/>
        <v>#DIV/0!</v>
      </c>
    </row>
    <row r="55" spans="17:19">
      <c r="Q55" s="290">
        <v>2.3999999999999898E-3</v>
      </c>
      <c r="R55" s="328" t="e">
        <f t="shared" si="4"/>
        <v>#DIV/0!</v>
      </c>
      <c r="S55" s="329" t="e">
        <f t="shared" si="5"/>
        <v>#DIV/0!</v>
      </c>
    </row>
    <row r="56" spans="17:19">
      <c r="Q56" s="290">
        <v>2.29999999999999E-3</v>
      </c>
      <c r="R56" s="328" t="e">
        <f t="shared" si="4"/>
        <v>#DIV/0!</v>
      </c>
      <c r="S56" s="329" t="e">
        <f t="shared" si="5"/>
        <v>#DIV/0!</v>
      </c>
    </row>
    <row r="57" spans="17:19">
      <c r="Q57" s="290">
        <v>2.1999999999999902E-3</v>
      </c>
      <c r="R57" s="328" t="e">
        <f t="shared" si="4"/>
        <v>#DIV/0!</v>
      </c>
      <c r="S57" s="329" t="e">
        <f t="shared" si="5"/>
        <v>#DIV/0!</v>
      </c>
    </row>
    <row r="58" spans="17:19" ht="13.5" thickBot="1">
      <c r="Q58" s="334">
        <v>2.0999999999999899E-3</v>
      </c>
      <c r="R58" s="328" t="e">
        <f t="shared" si="4"/>
        <v>#DIV/0!</v>
      </c>
      <c r="S58" s="329" t="e">
        <f t="shared" si="5"/>
        <v>#DIV/0!</v>
      </c>
    </row>
    <row r="59" spans="17:19" ht="13.5" thickBot="1">
      <c r="Q59" s="335">
        <v>1.9999999999999901E-3</v>
      </c>
      <c r="R59" s="328" t="e">
        <f t="shared" si="4"/>
        <v>#DIV/0!</v>
      </c>
      <c r="S59" s="329" t="e">
        <f t="shared" si="5"/>
        <v>#DIV/0!</v>
      </c>
    </row>
    <row r="60" spans="17:19">
      <c r="Q60" s="336">
        <v>1.89999999999999E-3</v>
      </c>
      <c r="R60" s="328" t="e">
        <f t="shared" si="4"/>
        <v>#DIV/0!</v>
      </c>
      <c r="S60" s="329" t="e">
        <f t="shared" si="5"/>
        <v>#DIV/0!</v>
      </c>
    </row>
    <row r="61" spans="17:19">
      <c r="Q61" s="290">
        <v>1.79999999999999E-3</v>
      </c>
      <c r="R61" s="328" t="e">
        <f t="shared" si="4"/>
        <v>#DIV/0!</v>
      </c>
      <c r="S61" s="329" t="e">
        <f t="shared" si="5"/>
        <v>#DIV/0!</v>
      </c>
    </row>
    <row r="62" spans="17:19">
      <c r="Q62" s="290">
        <v>1.6999999999999899E-3</v>
      </c>
      <c r="R62" s="328" t="e">
        <f t="shared" si="4"/>
        <v>#DIV/0!</v>
      </c>
      <c r="S62" s="329" t="e">
        <f t="shared" si="5"/>
        <v>#DIV/0!</v>
      </c>
    </row>
    <row r="63" spans="17:19">
      <c r="Q63" s="290">
        <v>1.5999999999999901E-3</v>
      </c>
      <c r="R63" s="328" t="e">
        <f t="shared" si="4"/>
        <v>#DIV/0!</v>
      </c>
      <c r="S63" s="329" t="e">
        <f t="shared" si="5"/>
        <v>#DIV/0!</v>
      </c>
    </row>
    <row r="64" spans="17:19">
      <c r="Q64" s="290">
        <v>1.4999999999999901E-3</v>
      </c>
      <c r="R64" s="328" t="e">
        <f t="shared" si="4"/>
        <v>#DIV/0!</v>
      </c>
      <c r="S64" s="329" t="e">
        <f t="shared" si="5"/>
        <v>#DIV/0!</v>
      </c>
    </row>
    <row r="65" spans="17:19">
      <c r="Q65" s="290">
        <v>1.39999999999999E-3</v>
      </c>
      <c r="R65" s="328" t="e">
        <f t="shared" si="4"/>
        <v>#DIV/0!</v>
      </c>
      <c r="S65" s="329" t="e">
        <f t="shared" si="5"/>
        <v>#DIV/0!</v>
      </c>
    </row>
    <row r="66" spans="17:19">
      <c r="Q66" s="290">
        <v>1.29999999999999E-3</v>
      </c>
      <c r="R66" s="328" t="e">
        <f t="shared" si="4"/>
        <v>#DIV/0!</v>
      </c>
      <c r="S66" s="329" t="e">
        <f t="shared" si="5"/>
        <v>#DIV/0!</v>
      </c>
    </row>
    <row r="67" spans="17:19">
      <c r="Q67" s="290">
        <v>1.1999999999999899E-3</v>
      </c>
      <c r="R67" s="328" t="e">
        <f t="shared" si="4"/>
        <v>#DIV/0!</v>
      </c>
      <c r="S67" s="329" t="e">
        <f t="shared" si="5"/>
        <v>#DIV/0!</v>
      </c>
    </row>
    <row r="68" spans="17:19">
      <c r="Q68" s="290">
        <v>1.0999999999999901E-3</v>
      </c>
      <c r="R68" s="328" t="e">
        <f t="shared" si="4"/>
        <v>#DIV/0!</v>
      </c>
      <c r="S68" s="329" t="e">
        <f t="shared" si="5"/>
        <v>#DIV/0!</v>
      </c>
    </row>
    <row r="69" spans="17:19">
      <c r="Q69" s="330">
        <v>9.9999999999999005E-4</v>
      </c>
      <c r="R69" s="328" t="e">
        <f t="shared" si="4"/>
        <v>#DIV/0!</v>
      </c>
      <c r="S69" s="329" t="e">
        <f t="shared" si="5"/>
        <v>#DIV/0!</v>
      </c>
    </row>
    <row r="70" spans="17:19">
      <c r="Q70" s="290">
        <v>8.9999999999999E-4</v>
      </c>
      <c r="R70" s="328" t="e">
        <f t="shared" si="4"/>
        <v>#DIV/0!</v>
      </c>
      <c r="S70" s="329" t="e">
        <f t="shared" si="5"/>
        <v>#DIV/0!</v>
      </c>
    </row>
    <row r="71" spans="17:19">
      <c r="Q71" s="290">
        <v>7.9999999999998996E-4</v>
      </c>
      <c r="R71" s="328" t="e">
        <f t="shared" ref="R71:R96" si="6">((($J$27*Q71)^0)/FACT(0))*EXP(-$J$27*Q71)</f>
        <v>#DIV/0!</v>
      </c>
      <c r="S71" s="329" t="e">
        <f t="shared" ref="S71:S96" si="7">1-R71</f>
        <v>#DIV/0!</v>
      </c>
    </row>
    <row r="72" spans="17:19">
      <c r="Q72" s="290">
        <v>6.9999999999999099E-4</v>
      </c>
      <c r="R72" s="328" t="e">
        <f t="shared" si="6"/>
        <v>#DIV/0!</v>
      </c>
      <c r="S72" s="329" t="e">
        <f t="shared" si="7"/>
        <v>#DIV/0!</v>
      </c>
    </row>
    <row r="73" spans="17:19">
      <c r="Q73" s="290">
        <v>5.9999999999998997E-4</v>
      </c>
      <c r="R73" s="328" t="e">
        <f t="shared" si="6"/>
        <v>#DIV/0!</v>
      </c>
      <c r="S73" s="329" t="e">
        <f t="shared" si="7"/>
        <v>#DIV/0!</v>
      </c>
    </row>
    <row r="74" spans="17:19">
      <c r="Q74" s="330">
        <v>4.9999999999999004E-4</v>
      </c>
      <c r="R74" s="328" t="e">
        <f t="shared" si="6"/>
        <v>#DIV/0!</v>
      </c>
      <c r="S74" s="329" t="e">
        <f t="shared" si="7"/>
        <v>#DIV/0!</v>
      </c>
    </row>
    <row r="75" spans="17:19">
      <c r="Q75" s="290">
        <v>3.9999999999999102E-4</v>
      </c>
      <c r="R75" s="328" t="e">
        <f t="shared" si="6"/>
        <v>#DIV/0!</v>
      </c>
      <c r="S75" s="329" t="e">
        <f t="shared" si="7"/>
        <v>#DIV/0!</v>
      </c>
    </row>
    <row r="76" spans="17:19">
      <c r="Q76" s="290">
        <v>2.9999999999999E-4</v>
      </c>
      <c r="R76" s="328" t="e">
        <f t="shared" si="6"/>
        <v>#DIV/0!</v>
      </c>
      <c r="S76" s="329" t="e">
        <f t="shared" si="7"/>
        <v>#DIV/0!</v>
      </c>
    </row>
    <row r="77" spans="17:19">
      <c r="Q77" s="290">
        <v>1.9999999999999001E-4</v>
      </c>
      <c r="R77" s="328" t="e">
        <f t="shared" si="6"/>
        <v>#DIV/0!</v>
      </c>
      <c r="S77" s="329" t="e">
        <f t="shared" si="7"/>
        <v>#DIV/0!</v>
      </c>
    </row>
    <row r="78" spans="17:19">
      <c r="Q78" s="330">
        <v>1E-4</v>
      </c>
      <c r="R78" s="328" t="e">
        <f t="shared" si="6"/>
        <v>#DIV/0!</v>
      </c>
      <c r="S78" s="329" t="e">
        <f t="shared" si="7"/>
        <v>#DIV/0!</v>
      </c>
    </row>
    <row r="79" spans="17:19">
      <c r="Q79" s="290">
        <v>9.0000000000000006E-5</v>
      </c>
      <c r="R79" s="328" t="e">
        <f t="shared" si="6"/>
        <v>#DIV/0!</v>
      </c>
      <c r="S79" s="329" t="e">
        <f t="shared" si="7"/>
        <v>#DIV/0!</v>
      </c>
    </row>
    <row r="80" spans="17:19">
      <c r="Q80" s="290">
        <v>8.0000000000000007E-5</v>
      </c>
      <c r="R80" s="328" t="e">
        <f t="shared" si="6"/>
        <v>#DIV/0!</v>
      </c>
      <c r="S80" s="329" t="e">
        <f t="shared" si="7"/>
        <v>#DIV/0!</v>
      </c>
    </row>
    <row r="81" spans="17:19">
      <c r="Q81" s="290">
        <v>6.9999999999999994E-5</v>
      </c>
      <c r="R81" s="328" t="e">
        <f t="shared" si="6"/>
        <v>#DIV/0!</v>
      </c>
      <c r="S81" s="329" t="e">
        <f t="shared" si="7"/>
        <v>#DIV/0!</v>
      </c>
    </row>
    <row r="82" spans="17:19">
      <c r="Q82" s="290">
        <v>6.0000000000000002E-5</v>
      </c>
      <c r="R82" s="328" t="e">
        <f t="shared" si="6"/>
        <v>#DIV/0!</v>
      </c>
      <c r="S82" s="329" t="e">
        <f t="shared" si="7"/>
        <v>#DIV/0!</v>
      </c>
    </row>
    <row r="83" spans="17:19">
      <c r="Q83" s="330">
        <v>5.0000000000000002E-5</v>
      </c>
      <c r="R83" s="328" t="e">
        <f t="shared" si="6"/>
        <v>#DIV/0!</v>
      </c>
      <c r="S83" s="329" t="e">
        <f t="shared" si="7"/>
        <v>#DIV/0!</v>
      </c>
    </row>
    <row r="84" spans="17:19">
      <c r="Q84" s="290">
        <v>4.0000000000000003E-5</v>
      </c>
      <c r="R84" s="328" t="e">
        <f t="shared" si="6"/>
        <v>#DIV/0!</v>
      </c>
      <c r="S84" s="329" t="e">
        <f t="shared" si="7"/>
        <v>#DIV/0!</v>
      </c>
    </row>
    <row r="85" spans="17:19">
      <c r="Q85" s="290">
        <v>3.0000000000000001E-5</v>
      </c>
      <c r="R85" s="328" t="e">
        <f t="shared" si="6"/>
        <v>#DIV/0!</v>
      </c>
      <c r="S85" s="329" t="e">
        <f t="shared" si="7"/>
        <v>#DIV/0!</v>
      </c>
    </row>
    <row r="86" spans="17:19">
      <c r="Q86" s="290">
        <v>2.0000000000000002E-5</v>
      </c>
      <c r="R86" s="328" t="e">
        <f t="shared" si="6"/>
        <v>#DIV/0!</v>
      </c>
      <c r="S86" s="329" t="e">
        <f t="shared" si="7"/>
        <v>#DIV/0!</v>
      </c>
    </row>
    <row r="87" spans="17:19">
      <c r="Q87" s="330">
        <v>1.0000000000000001E-5</v>
      </c>
      <c r="R87" s="328" t="e">
        <f t="shared" si="6"/>
        <v>#DIV/0!</v>
      </c>
      <c r="S87" s="329" t="e">
        <f t="shared" si="7"/>
        <v>#DIV/0!</v>
      </c>
    </row>
    <row r="88" spans="17:19">
      <c r="Q88" s="290">
        <v>9.0000000000000002E-6</v>
      </c>
      <c r="R88" s="328" t="e">
        <f t="shared" si="6"/>
        <v>#DIV/0!</v>
      </c>
      <c r="S88" s="329" t="e">
        <f t="shared" si="7"/>
        <v>#DIV/0!</v>
      </c>
    </row>
    <row r="89" spans="17:19">
      <c r="Q89" s="290">
        <v>7.9999999999999996E-6</v>
      </c>
      <c r="R89" s="328" t="e">
        <f t="shared" si="6"/>
        <v>#DIV/0!</v>
      </c>
      <c r="S89" s="329" t="e">
        <f t="shared" si="7"/>
        <v>#DIV/0!</v>
      </c>
    </row>
    <row r="90" spans="17:19">
      <c r="Q90" s="290">
        <v>6.9999999999999999E-6</v>
      </c>
      <c r="R90" s="328" t="e">
        <f t="shared" si="6"/>
        <v>#DIV/0!</v>
      </c>
      <c r="S90" s="329" t="e">
        <f t="shared" si="7"/>
        <v>#DIV/0!</v>
      </c>
    </row>
    <row r="91" spans="17:19">
      <c r="Q91" s="290">
        <v>6.0000000000000002E-6</v>
      </c>
      <c r="R91" s="328" t="e">
        <f t="shared" si="6"/>
        <v>#DIV/0!</v>
      </c>
      <c r="S91" s="329" t="e">
        <f t="shared" si="7"/>
        <v>#DIV/0!</v>
      </c>
    </row>
    <row r="92" spans="17:19">
      <c r="Q92" s="290">
        <v>5.0000000000000004E-6</v>
      </c>
      <c r="R92" s="328" t="e">
        <f t="shared" si="6"/>
        <v>#DIV/0!</v>
      </c>
      <c r="S92" s="329" t="e">
        <f t="shared" si="7"/>
        <v>#DIV/0!</v>
      </c>
    </row>
    <row r="93" spans="17:19">
      <c r="Q93" s="290">
        <v>3.9999999999999998E-6</v>
      </c>
      <c r="R93" s="328" t="e">
        <f t="shared" si="6"/>
        <v>#DIV/0!</v>
      </c>
      <c r="S93" s="329" t="e">
        <f t="shared" si="7"/>
        <v>#DIV/0!</v>
      </c>
    </row>
    <row r="94" spans="17:19">
      <c r="Q94" s="290">
        <v>3.0000000000000001E-6</v>
      </c>
      <c r="R94" s="328" t="e">
        <f t="shared" si="6"/>
        <v>#DIV/0!</v>
      </c>
      <c r="S94" s="329" t="e">
        <f t="shared" si="7"/>
        <v>#DIV/0!</v>
      </c>
    </row>
    <row r="95" spans="17:19">
      <c r="Q95" s="290">
        <v>1.9999999999999999E-6</v>
      </c>
      <c r="R95" s="328" t="e">
        <f t="shared" si="6"/>
        <v>#DIV/0!</v>
      </c>
      <c r="S95" s="329" t="e">
        <f t="shared" si="7"/>
        <v>#DIV/0!</v>
      </c>
    </row>
    <row r="96" spans="17:19">
      <c r="Q96" s="330">
        <v>9.9999999999999E-7</v>
      </c>
      <c r="R96" s="328" t="e">
        <f t="shared" si="6"/>
        <v>#DIV/0!</v>
      </c>
      <c r="S96" s="329" t="e">
        <f t="shared" si="7"/>
        <v>#DIV/0!</v>
      </c>
    </row>
  </sheetData>
  <sheetProtection password="CC08" sheet="1" scenarios="1"/>
  <protectedRanges>
    <protectedRange sqref="B4:B5" name="Range1"/>
  </protectedRanges>
  <mergeCells count="1">
    <mergeCell ref="A1:D2"/>
  </mergeCells>
  <phoneticPr fontId="5" type="noConversion"/>
  <pageMargins left="0.75" right="0.75" top="1" bottom="1" header="0.5" footer="0.5"/>
  <pageSetup scale="99" orientation="portrait" horizontalDpi="4294967294" verticalDpi="0" r:id="rId1"/>
  <headerFooter alignWithMargins="0"/>
  <drawing r:id="rId2"/>
  <legacyDrawing r:id="rId3"/>
  <oleObjects>
    <oleObject progId="Equation.3" shapeId="32770" r:id="rId4"/>
  </oleObjects>
  <controls>
    <control shapeId="32771" r:id="rId5" name="MainMenu"/>
  </control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E48"/>
  <sheetViews>
    <sheetView showGridLines="0" workbookViewId="0">
      <selection activeCell="L3" sqref="L3"/>
    </sheetView>
  </sheetViews>
  <sheetFormatPr defaultRowHeight="12.75"/>
  <cols>
    <col min="1" max="1" width="6.7109375" style="43" customWidth="1"/>
    <col min="2" max="2" width="9.28515625" style="43" customWidth="1"/>
    <col min="3" max="3" width="9.7109375" style="43" customWidth="1"/>
    <col min="4" max="4" width="9.85546875" style="43" customWidth="1"/>
  </cols>
  <sheetData>
    <row r="1" spans="1:5">
      <c r="A1" s="337" t="s">
        <v>681</v>
      </c>
    </row>
    <row r="2" spans="1:5">
      <c r="C2" s="44" t="s">
        <v>669</v>
      </c>
      <c r="D2" s="43" t="s">
        <v>670</v>
      </c>
    </row>
    <row r="3" spans="1:5">
      <c r="C3" s="44" t="s">
        <v>657</v>
      </c>
      <c r="D3" s="43" t="s">
        <v>671</v>
      </c>
    </row>
    <row r="4" spans="1:5">
      <c r="A4" s="338" t="s">
        <v>656</v>
      </c>
      <c r="B4" s="339"/>
    </row>
    <row r="5" spans="1:5">
      <c r="A5" s="338" t="s">
        <v>667</v>
      </c>
      <c r="B5" s="340"/>
      <c r="C5" s="341" t="s">
        <v>668</v>
      </c>
      <c r="D5" s="342">
        <f>B4*B5</f>
        <v>0</v>
      </c>
      <c r="E5" s="43"/>
    </row>
    <row r="6" spans="1:5">
      <c r="A6" s="221"/>
      <c r="B6" s="343" t="s">
        <v>649</v>
      </c>
      <c r="C6" s="344" t="s">
        <v>674</v>
      </c>
      <c r="D6" s="344" t="s">
        <v>673</v>
      </c>
    </row>
    <row r="7" spans="1:5">
      <c r="A7" s="221"/>
      <c r="B7" s="225">
        <v>0</v>
      </c>
      <c r="C7" s="345" t="e">
        <f t="shared" ref="C7:C22" si="0">(($D$5^B7)*(EXP(-$D$5)))/FACT(B7)</f>
        <v>#NUM!</v>
      </c>
      <c r="D7" s="310" t="e">
        <f t="shared" ref="D7:D22" si="1">(FACT($B$4)/(FACT(B7)*FACT($B$4-B7)))*(($B$5^B7)*((1-$B$5)^($B$4-B7)))</f>
        <v>#NUM!</v>
      </c>
    </row>
    <row r="8" spans="1:5">
      <c r="A8"/>
      <c r="B8" s="225">
        <v>1</v>
      </c>
      <c r="C8" s="345">
        <f t="shared" si="0"/>
        <v>0</v>
      </c>
      <c r="D8" s="310" t="e">
        <f t="shared" si="1"/>
        <v>#NUM!</v>
      </c>
    </row>
    <row r="9" spans="1:5">
      <c r="A9"/>
      <c r="B9" s="225">
        <v>2</v>
      </c>
      <c r="C9" s="345">
        <f t="shared" si="0"/>
        <v>0</v>
      </c>
      <c r="D9" s="310" t="e">
        <f t="shared" si="1"/>
        <v>#NUM!</v>
      </c>
    </row>
    <row r="10" spans="1:5">
      <c r="A10"/>
      <c r="B10" s="225">
        <v>3</v>
      </c>
      <c r="C10" s="345">
        <f t="shared" si="0"/>
        <v>0</v>
      </c>
      <c r="D10" s="310" t="e">
        <f t="shared" si="1"/>
        <v>#NUM!</v>
      </c>
    </row>
    <row r="11" spans="1:5">
      <c r="A11"/>
      <c r="B11" s="225">
        <v>4</v>
      </c>
      <c r="C11" s="345">
        <f t="shared" si="0"/>
        <v>0</v>
      </c>
      <c r="D11" s="310" t="e">
        <f t="shared" si="1"/>
        <v>#NUM!</v>
      </c>
    </row>
    <row r="12" spans="1:5">
      <c r="A12"/>
      <c r="B12" s="225">
        <v>5</v>
      </c>
      <c r="C12" s="345">
        <f t="shared" si="0"/>
        <v>0</v>
      </c>
      <c r="D12" s="310" t="e">
        <f t="shared" si="1"/>
        <v>#NUM!</v>
      </c>
    </row>
    <row r="13" spans="1:5">
      <c r="A13"/>
      <c r="B13" s="225">
        <v>6</v>
      </c>
      <c r="C13" s="345">
        <f t="shared" si="0"/>
        <v>0</v>
      </c>
      <c r="D13" s="310" t="e">
        <f t="shared" si="1"/>
        <v>#NUM!</v>
      </c>
    </row>
    <row r="14" spans="1:5">
      <c r="A14"/>
      <c r="B14" s="225">
        <v>7</v>
      </c>
      <c r="C14" s="345">
        <f t="shared" si="0"/>
        <v>0</v>
      </c>
      <c r="D14" s="310" t="e">
        <f t="shared" si="1"/>
        <v>#NUM!</v>
      </c>
    </row>
    <row r="15" spans="1:5">
      <c r="A15"/>
      <c r="B15" s="225">
        <v>8</v>
      </c>
      <c r="C15" s="345">
        <f t="shared" si="0"/>
        <v>0</v>
      </c>
      <c r="D15" s="310" t="e">
        <f t="shared" si="1"/>
        <v>#NUM!</v>
      </c>
    </row>
    <row r="16" spans="1:5">
      <c r="A16"/>
      <c r="B16" s="225">
        <v>9</v>
      </c>
      <c r="C16" s="345">
        <f t="shared" si="0"/>
        <v>0</v>
      </c>
      <c r="D16" s="310" t="e">
        <f t="shared" si="1"/>
        <v>#NUM!</v>
      </c>
    </row>
    <row r="17" spans="1:5">
      <c r="A17"/>
      <c r="B17" s="225">
        <v>10</v>
      </c>
      <c r="C17" s="345">
        <f t="shared" si="0"/>
        <v>0</v>
      </c>
      <c r="D17" s="310" t="e">
        <f t="shared" si="1"/>
        <v>#NUM!</v>
      </c>
    </row>
    <row r="18" spans="1:5">
      <c r="B18" s="225">
        <v>11</v>
      </c>
      <c r="C18" s="345">
        <f t="shared" si="0"/>
        <v>0</v>
      </c>
      <c r="D18" s="310" t="e">
        <f t="shared" si="1"/>
        <v>#NUM!</v>
      </c>
    </row>
    <row r="19" spans="1:5">
      <c r="B19" s="225">
        <v>12</v>
      </c>
      <c r="C19" s="345">
        <f t="shared" si="0"/>
        <v>0</v>
      </c>
      <c r="D19" s="310" t="e">
        <f t="shared" si="1"/>
        <v>#NUM!</v>
      </c>
    </row>
    <row r="20" spans="1:5">
      <c r="B20" s="225">
        <v>13</v>
      </c>
      <c r="C20" s="345">
        <f t="shared" si="0"/>
        <v>0</v>
      </c>
      <c r="D20" s="310" t="e">
        <f t="shared" si="1"/>
        <v>#NUM!</v>
      </c>
      <c r="E20" s="346"/>
    </row>
    <row r="21" spans="1:5">
      <c r="B21" s="225">
        <v>14</v>
      </c>
      <c r="C21" s="345">
        <f t="shared" si="0"/>
        <v>0</v>
      </c>
      <c r="D21" s="310" t="e">
        <f t="shared" si="1"/>
        <v>#NUM!</v>
      </c>
      <c r="E21" s="347"/>
    </row>
    <row r="22" spans="1:5">
      <c r="B22" s="225">
        <v>15</v>
      </c>
      <c r="C22" s="345">
        <f t="shared" si="0"/>
        <v>0</v>
      </c>
      <c r="D22" s="310" t="e">
        <f t="shared" si="1"/>
        <v>#NUM!</v>
      </c>
      <c r="E22" s="347"/>
    </row>
    <row r="23" spans="1:5">
      <c r="E23" s="348"/>
    </row>
    <row r="24" spans="1:5">
      <c r="D24" s="46"/>
    </row>
    <row r="25" spans="1:5">
      <c r="D25" s="46"/>
    </row>
    <row r="30" spans="1:5">
      <c r="A30"/>
      <c r="B30"/>
      <c r="C30"/>
      <c r="D30"/>
    </row>
    <row r="31" spans="1:5">
      <c r="A31"/>
      <c r="B31"/>
      <c r="C31"/>
      <c r="D31"/>
    </row>
    <row r="32" spans="1:5">
      <c r="A32"/>
      <c r="B32"/>
      <c r="C32"/>
      <c r="D32"/>
    </row>
    <row r="33" spans="1:4">
      <c r="A33"/>
      <c r="B33"/>
      <c r="C33"/>
      <c r="D33"/>
    </row>
    <row r="34" spans="1:4">
      <c r="A34"/>
      <c r="B34"/>
      <c r="C34"/>
      <c r="D34"/>
    </row>
    <row r="35" spans="1:4">
      <c r="A35"/>
      <c r="B35"/>
      <c r="C35"/>
      <c r="D35"/>
    </row>
    <row r="36" spans="1:4">
      <c r="A36"/>
      <c r="B36"/>
      <c r="C36"/>
      <c r="D36"/>
    </row>
    <row r="37" spans="1:4">
      <c r="A37"/>
      <c r="B37"/>
      <c r="C37"/>
      <c r="D37"/>
    </row>
    <row r="38" spans="1:4">
      <c r="A38"/>
      <c r="B38"/>
      <c r="C38"/>
      <c r="D38"/>
    </row>
    <row r="39" spans="1:4">
      <c r="A39"/>
      <c r="B39"/>
      <c r="C39"/>
      <c r="D39"/>
    </row>
    <row r="40" spans="1:4">
      <c r="A40"/>
      <c r="B40"/>
      <c r="C40"/>
      <c r="D40"/>
    </row>
    <row r="41" spans="1:4">
      <c r="A41"/>
      <c r="B41"/>
      <c r="C41"/>
      <c r="D41"/>
    </row>
    <row r="42" spans="1:4">
      <c r="A42"/>
      <c r="B42"/>
      <c r="C42"/>
      <c r="D42"/>
    </row>
    <row r="43" spans="1:4">
      <c r="A43"/>
      <c r="B43"/>
      <c r="C43"/>
      <c r="D43"/>
    </row>
    <row r="44" spans="1:4">
      <c r="A44"/>
      <c r="B44"/>
      <c r="C44"/>
      <c r="D44"/>
    </row>
    <row r="45" spans="1:4">
      <c r="B45"/>
      <c r="C45"/>
      <c r="D45"/>
    </row>
    <row r="46" spans="1:4">
      <c r="B46"/>
      <c r="C46"/>
      <c r="D46"/>
    </row>
    <row r="47" spans="1:4">
      <c r="B47"/>
      <c r="C47"/>
      <c r="D47"/>
    </row>
    <row r="48" spans="1:4">
      <c r="B48"/>
      <c r="C48"/>
      <c r="D48"/>
    </row>
  </sheetData>
  <sheetProtection password="CC08" sheet="1" scenarios="1"/>
  <protectedRanges>
    <protectedRange sqref="B4:B5" name="Range1"/>
  </protectedRanges>
  <phoneticPr fontId="5" type="noConversion"/>
  <printOptions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oleObjects>
    <oleObject progId="Equation.2" shapeId="34818" r:id="rId4"/>
    <oleObject progId="Equation.3" shapeId="34819" r:id="rId5"/>
  </oleObjects>
  <controls>
    <control shapeId="34821" r:id="rId6" name="MainMenu"/>
  </control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K43"/>
  <sheetViews>
    <sheetView showGridLines="0" workbookViewId="0">
      <selection activeCell="K8" sqref="K8"/>
    </sheetView>
  </sheetViews>
  <sheetFormatPr defaultRowHeight="12.75"/>
  <cols>
    <col min="1" max="1" width="6.7109375" style="43" customWidth="1"/>
    <col min="2" max="2" width="9.28515625" style="43" customWidth="1"/>
    <col min="3" max="4" width="9.140625" style="43"/>
  </cols>
  <sheetData>
    <row r="1" spans="1:10">
      <c r="A1" s="337" t="s">
        <v>652</v>
      </c>
      <c r="D1" s="44" t="s">
        <v>653</v>
      </c>
      <c r="E1" s="349" t="s">
        <v>654</v>
      </c>
    </row>
    <row r="2" spans="1:10">
      <c r="D2" s="44"/>
      <c r="E2" s="349" t="s">
        <v>655</v>
      </c>
    </row>
    <row r="3" spans="1:10">
      <c r="A3" s="350" t="s">
        <v>656</v>
      </c>
      <c r="B3" s="339"/>
      <c r="D3" s="44" t="s">
        <v>657</v>
      </c>
      <c r="E3" s="349" t="s">
        <v>658</v>
      </c>
    </row>
    <row r="4" spans="1:10">
      <c r="A4" s="350" t="s">
        <v>545</v>
      </c>
      <c r="B4" s="340"/>
    </row>
    <row r="5" spans="1:10">
      <c r="A5" s="221"/>
      <c r="B5" s="343" t="s">
        <v>659</v>
      </c>
      <c r="D5" s="343" t="s">
        <v>661</v>
      </c>
      <c r="E5" s="1517" t="s">
        <v>672</v>
      </c>
      <c r="F5" s="1518"/>
      <c r="G5" s="1518"/>
      <c r="H5" s="1518"/>
      <c r="I5" s="1518"/>
      <c r="J5" s="98"/>
    </row>
    <row r="6" spans="1:10">
      <c r="A6" s="221"/>
      <c r="B6" s="343" t="s">
        <v>662</v>
      </c>
      <c r="C6" s="351" t="s">
        <v>660</v>
      </c>
      <c r="D6" s="343" t="s">
        <v>663</v>
      </c>
    </row>
    <row r="7" spans="1:10">
      <c r="A7"/>
      <c r="B7" s="225">
        <v>0</v>
      </c>
      <c r="C7" s="345" t="e">
        <f t="shared" ref="C7:C16" si="0">(($B$4^B7)*(EXP(-$B$4)))/FACT(B7)</f>
        <v>#NUM!</v>
      </c>
      <c r="D7" s="310" t="e">
        <f t="shared" ref="D7:D16" si="1">C7*$B$3</f>
        <v>#NUM!</v>
      </c>
    </row>
    <row r="8" spans="1:10">
      <c r="A8"/>
      <c r="B8" s="225">
        <v>1</v>
      </c>
      <c r="C8" s="345">
        <f t="shared" si="0"/>
        <v>0</v>
      </c>
      <c r="D8" s="310">
        <f t="shared" si="1"/>
        <v>0</v>
      </c>
    </row>
    <row r="9" spans="1:10">
      <c r="A9"/>
      <c r="B9" s="225">
        <v>2</v>
      </c>
      <c r="C9" s="345">
        <f t="shared" si="0"/>
        <v>0</v>
      </c>
      <c r="D9" s="310">
        <f t="shared" si="1"/>
        <v>0</v>
      </c>
    </row>
    <row r="10" spans="1:10">
      <c r="A10"/>
      <c r="B10" s="225">
        <v>3</v>
      </c>
      <c r="C10" s="345">
        <f t="shared" si="0"/>
        <v>0</v>
      </c>
      <c r="D10" s="310">
        <f t="shared" si="1"/>
        <v>0</v>
      </c>
    </row>
    <row r="11" spans="1:10">
      <c r="A11"/>
      <c r="B11" s="225">
        <v>4</v>
      </c>
      <c r="C11" s="345">
        <f t="shared" si="0"/>
        <v>0</v>
      </c>
      <c r="D11" s="310">
        <f t="shared" si="1"/>
        <v>0</v>
      </c>
    </row>
    <row r="12" spans="1:10">
      <c r="A12"/>
      <c r="B12" s="225">
        <v>5</v>
      </c>
      <c r="C12" s="345">
        <f t="shared" si="0"/>
        <v>0</v>
      </c>
      <c r="D12" s="310">
        <f t="shared" si="1"/>
        <v>0</v>
      </c>
    </row>
    <row r="13" spans="1:10">
      <c r="A13"/>
      <c r="B13" s="225">
        <v>6</v>
      </c>
      <c r="C13" s="345">
        <f t="shared" si="0"/>
        <v>0</v>
      </c>
      <c r="D13" s="310">
        <f t="shared" si="1"/>
        <v>0</v>
      </c>
    </row>
    <row r="14" spans="1:10">
      <c r="A14"/>
      <c r="B14" s="225">
        <v>7</v>
      </c>
      <c r="C14" s="345">
        <f t="shared" si="0"/>
        <v>0</v>
      </c>
      <c r="D14" s="310">
        <f t="shared" si="1"/>
        <v>0</v>
      </c>
    </row>
    <row r="15" spans="1:10">
      <c r="A15"/>
      <c r="B15" s="225">
        <v>8</v>
      </c>
      <c r="C15" s="345">
        <f t="shared" si="0"/>
        <v>0</v>
      </c>
      <c r="D15" s="310">
        <f t="shared" si="1"/>
        <v>0</v>
      </c>
    </row>
    <row r="16" spans="1:10">
      <c r="A16"/>
      <c r="B16" s="225">
        <v>9</v>
      </c>
      <c r="C16" s="345">
        <f t="shared" si="0"/>
        <v>0</v>
      </c>
      <c r="D16" s="310">
        <f t="shared" si="1"/>
        <v>0</v>
      </c>
    </row>
    <row r="18" spans="1:11">
      <c r="D18" s="46" t="s">
        <v>664</v>
      </c>
      <c r="E18" s="346" t="e">
        <f>(1-C7)</f>
        <v>#NUM!</v>
      </c>
    </row>
    <row r="19" spans="1:11">
      <c r="D19" s="46" t="str">
        <f>"expected # defective units, np (n= "&amp;B3&amp;"):"</f>
        <v>expected # defective units, np (n= ):</v>
      </c>
      <c r="E19" s="347" t="e">
        <f>E18*B$3</f>
        <v>#NUM!</v>
      </c>
    </row>
    <row r="20" spans="1:11">
      <c r="D20" s="46" t="s">
        <v>665</v>
      </c>
      <c r="E20" s="347" t="e">
        <f>D7</f>
        <v>#NUM!</v>
      </c>
    </row>
    <row r="21" spans="1:11">
      <c r="D21" s="70" t="s">
        <v>675</v>
      </c>
      <c r="E21" s="352" t="e">
        <f>1-E18</f>
        <v>#NUM!</v>
      </c>
      <c r="F21" s="353" t="s">
        <v>724</v>
      </c>
      <c r="G21" s="43" t="s">
        <v>725</v>
      </c>
    </row>
    <row r="22" spans="1:11">
      <c r="B22" s="44"/>
      <c r="C22" s="44"/>
      <c r="D22" s="44"/>
      <c r="E22" s="44"/>
      <c r="F22" s="44"/>
      <c r="G22" s="354" t="s">
        <v>677</v>
      </c>
      <c r="H22" s="44"/>
      <c r="I22" s="44"/>
      <c r="J22" s="44"/>
      <c r="K22" s="44"/>
    </row>
    <row r="24" spans="1:11">
      <c r="B24"/>
      <c r="C24"/>
      <c r="D24"/>
    </row>
    <row r="25" spans="1:11">
      <c r="A25"/>
      <c r="B25"/>
      <c r="C25"/>
      <c r="D25"/>
    </row>
    <row r="26" spans="1:11">
      <c r="A26"/>
      <c r="B26"/>
      <c r="C26"/>
      <c r="D26"/>
    </row>
    <row r="27" spans="1:11">
      <c r="A27"/>
      <c r="B27"/>
      <c r="C27"/>
      <c r="D27"/>
    </row>
    <row r="28" spans="1:11">
      <c r="A28"/>
      <c r="B28"/>
      <c r="C28"/>
      <c r="D28"/>
    </row>
    <row r="29" spans="1:11">
      <c r="A29"/>
      <c r="B29"/>
      <c r="C29"/>
      <c r="D29"/>
    </row>
    <row r="30" spans="1:11">
      <c r="A30"/>
      <c r="B30"/>
      <c r="C30"/>
      <c r="D30"/>
    </row>
    <row r="31" spans="1:11">
      <c r="A31"/>
      <c r="B31"/>
      <c r="C31"/>
      <c r="D31"/>
    </row>
    <row r="32" spans="1:11">
      <c r="A32"/>
      <c r="B32"/>
      <c r="C32"/>
      <c r="D32"/>
    </row>
    <row r="33" spans="1:4">
      <c r="A33"/>
      <c r="B33"/>
      <c r="C33"/>
      <c r="D33"/>
    </row>
    <row r="34" spans="1:4">
      <c r="A34"/>
      <c r="B34"/>
      <c r="C34"/>
      <c r="D34"/>
    </row>
    <row r="35" spans="1:4">
      <c r="A35"/>
      <c r="B35"/>
      <c r="C35"/>
      <c r="D35"/>
    </row>
    <row r="36" spans="1:4">
      <c r="A36"/>
      <c r="B36"/>
      <c r="C36"/>
      <c r="D36"/>
    </row>
    <row r="37" spans="1:4">
      <c r="A37"/>
      <c r="B37"/>
      <c r="C37"/>
      <c r="D37"/>
    </row>
    <row r="38" spans="1:4">
      <c r="A38"/>
      <c r="B38"/>
      <c r="C38"/>
      <c r="D38"/>
    </row>
    <row r="39" spans="1:4">
      <c r="A39"/>
      <c r="B39"/>
      <c r="C39"/>
      <c r="D39"/>
    </row>
    <row r="40" spans="1:4">
      <c r="A40"/>
      <c r="B40"/>
      <c r="C40"/>
      <c r="D40"/>
    </row>
    <row r="41" spans="1:4">
      <c r="A41"/>
      <c r="B41"/>
      <c r="C41"/>
      <c r="D41"/>
    </row>
    <row r="42" spans="1:4">
      <c r="A42"/>
      <c r="B42"/>
      <c r="C42"/>
      <c r="D42"/>
    </row>
    <row r="43" spans="1:4">
      <c r="A43"/>
    </row>
  </sheetData>
  <sheetProtection password="CC08" sheet="1" scenarios="1"/>
  <protectedRanges>
    <protectedRange sqref="B3:B4" name="Range1"/>
  </protectedRanges>
  <mergeCells count="1">
    <mergeCell ref="E5:I5"/>
  </mergeCells>
  <phoneticPr fontId="5" type="noConversion"/>
  <printOptions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oleObjects>
    <oleObject progId="Equation.2" shapeId="35843" r:id="rId4"/>
  </oleObjects>
  <controls>
    <control shapeId="35844" r:id="rId5" name="MainMenu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AI96"/>
  <sheetViews>
    <sheetView showGridLines="0" workbookViewId="0">
      <selection activeCell="I26" sqref="I26"/>
    </sheetView>
  </sheetViews>
  <sheetFormatPr defaultRowHeight="12.75"/>
  <cols>
    <col min="1" max="1" width="3.5703125" style="43" customWidth="1"/>
    <col min="2" max="2" width="7.28515625" style="43" customWidth="1"/>
    <col min="3" max="3" width="10.42578125" style="44" customWidth="1"/>
    <col min="4" max="6" width="9.140625" style="43"/>
    <col min="7" max="7" width="9.140625" style="44"/>
    <col min="8" max="9" width="9.140625" style="43"/>
    <col min="10" max="13" width="7.7109375" style="43" customWidth="1"/>
    <col min="14" max="14" width="2.5703125" style="43" customWidth="1"/>
    <col min="15" max="16" width="9.140625" style="43"/>
    <col min="17" max="17" width="11.28515625" style="43" customWidth="1"/>
    <col min="18" max="26" width="9.140625" style="43"/>
    <col min="27" max="27" width="13.42578125" style="43" customWidth="1"/>
    <col min="28" max="16384" width="9.140625" style="43"/>
  </cols>
  <sheetData>
    <row r="1" spans="1:17" s="349" customFormat="1" ht="12">
      <c r="B1" s="355" t="s">
        <v>515</v>
      </c>
      <c r="C1" s="356"/>
      <c r="G1" s="356"/>
    </row>
    <row r="2" spans="1:17" s="349" customFormat="1" ht="12">
      <c r="B2" s="355" t="s">
        <v>726</v>
      </c>
      <c r="C2" s="356"/>
      <c r="G2" s="356"/>
    </row>
    <row r="3" spans="1:17" s="349" customFormat="1" ht="12">
      <c r="B3" s="357" t="s">
        <v>516</v>
      </c>
      <c r="C3" s="358" t="s">
        <v>517</v>
      </c>
      <c r="D3" s="359"/>
      <c r="E3" s="359"/>
      <c r="F3" s="359"/>
      <c r="G3" s="359"/>
      <c r="H3" s="359"/>
      <c r="I3" s="359"/>
      <c r="J3" s="359"/>
      <c r="K3" s="359"/>
      <c r="L3" s="360"/>
    </row>
    <row r="4" spans="1:17" s="349" customFormat="1" thickBot="1">
      <c r="B4" s="361"/>
      <c r="C4" s="362" t="s">
        <v>518</v>
      </c>
      <c r="D4" s="363" t="s">
        <v>432</v>
      </c>
      <c r="E4" s="363" t="s">
        <v>449</v>
      </c>
      <c r="F4" s="363" t="s">
        <v>519</v>
      </c>
      <c r="G4" s="363" t="s">
        <v>520</v>
      </c>
      <c r="H4" s="363" t="s">
        <v>521</v>
      </c>
      <c r="I4" s="363" t="s">
        <v>507</v>
      </c>
      <c r="J4" s="364" t="s">
        <v>522</v>
      </c>
      <c r="K4" s="364" t="s">
        <v>727</v>
      </c>
      <c r="L4" s="363" t="s">
        <v>567</v>
      </c>
      <c r="M4" s="365"/>
      <c r="N4" s="365"/>
    </row>
    <row r="5" spans="1:17" s="349" customFormat="1" thickTop="1">
      <c r="A5" s="366"/>
      <c r="B5" s="367" t="s">
        <v>518</v>
      </c>
      <c r="C5" s="368"/>
      <c r="D5" s="369" t="str">
        <f>IF(C5="","",C5*B$4)</f>
        <v/>
      </c>
      <c r="E5" s="370" t="str">
        <f>IF(C5="","",1-F5)</f>
        <v/>
      </c>
      <c r="F5" s="312" t="str">
        <f>IF(C5="","",IF($B$4=1,1-D5,IF(B$4&gt;29,EXP(-D5),(1-C5)^B$4)))</f>
        <v/>
      </c>
      <c r="G5" s="371" t="str">
        <f>IF(C5="","",C5*10^6)</f>
        <v/>
      </c>
      <c r="H5" s="371" t="str">
        <f>IF(C5="","",D5*10^6)</f>
        <v/>
      </c>
      <c r="I5" s="371" t="str">
        <f>IF(C5="","",E5*10^6)</f>
        <v/>
      </c>
      <c r="J5" s="314" t="str">
        <f>IF(C5="","",NORMSINV(F5))</f>
        <v/>
      </c>
      <c r="K5" s="314" t="str">
        <f>IF(C5="","",J5+1.5)</f>
        <v/>
      </c>
      <c r="L5" s="314" t="str">
        <f>IF(C5="","",J5/3)</f>
        <v/>
      </c>
      <c r="M5" s="372"/>
      <c r="N5" s="372"/>
    </row>
    <row r="6" spans="1:17" s="349" customFormat="1" ht="12">
      <c r="A6" s="373"/>
      <c r="B6" s="374" t="s">
        <v>432</v>
      </c>
      <c r="C6" s="311" t="str">
        <f>IF(D6="","",D6/B$4)</f>
        <v/>
      </c>
      <c r="D6" s="368"/>
      <c r="E6" s="369" t="str">
        <f>IF(D6="","",1-F6)</f>
        <v/>
      </c>
      <c r="F6" s="312" t="str">
        <f>IF(D6="","",IF($B$4=1,1-D6,IF(B$4&gt;29,EXP(-D6),(1-C6)^B$4)))</f>
        <v/>
      </c>
      <c r="G6" s="313" t="str">
        <f>IF(D6="","",C6*10^6)</f>
        <v/>
      </c>
      <c r="H6" s="313" t="str">
        <f>IF(D6="","",D6*10^6)</f>
        <v/>
      </c>
      <c r="I6" s="371" t="str">
        <f>IF(D6="","",E6*10^6)</f>
        <v/>
      </c>
      <c r="J6" s="314" t="str">
        <f>IF(D6="","",NORMSINV(F6))</f>
        <v/>
      </c>
      <c r="K6" s="314" t="str">
        <f>IF(D6="","",J6+1.5)</f>
        <v/>
      </c>
      <c r="L6" s="314" t="str">
        <f>IF(D6="","",J6/3)</f>
        <v/>
      </c>
      <c r="M6" s="349" t="s">
        <v>689</v>
      </c>
      <c r="N6" s="375" t="s">
        <v>728</v>
      </c>
      <c r="O6" s="376"/>
      <c r="P6" s="376"/>
      <c r="Q6" s="376"/>
    </row>
    <row r="7" spans="1:17" s="349" customFormat="1" ht="12">
      <c r="A7" s="373"/>
      <c r="B7" s="374" t="s">
        <v>449</v>
      </c>
      <c r="C7" s="311" t="str">
        <f>IF(E7="","",IF(B$4=1,D7,IF(B$4&gt;29,D7/B$4,1-(F7^(1/B4)))))</f>
        <v/>
      </c>
      <c r="D7" s="311" t="str">
        <f>IF(E7="","",IF(B$4=1,1-F7,IF(B$4&gt;29,-LN(F7),C7*B$4)))</f>
        <v/>
      </c>
      <c r="E7" s="368"/>
      <c r="F7" s="312" t="str">
        <f>IF(E7="","",1-E7)</f>
        <v/>
      </c>
      <c r="G7" s="313" t="str">
        <f>IF(E7="","",C7*10^6)</f>
        <v/>
      </c>
      <c r="H7" s="313" t="str">
        <f>IF(E7="","",D7*10^6)</f>
        <v/>
      </c>
      <c r="I7" s="371" t="str">
        <f>IF(E7="","",E7*10^6)</f>
        <v/>
      </c>
      <c r="J7" s="314" t="str">
        <f>IF(E7="","",NORMSINV(F7))</f>
        <v/>
      </c>
      <c r="K7" s="314" t="str">
        <f>IF(E7="","",J7+1.5)</f>
        <v/>
      </c>
      <c r="L7" s="314" t="str">
        <f>IF(E7="","",J7/3)</f>
        <v/>
      </c>
      <c r="N7" s="377" t="s">
        <v>690</v>
      </c>
    </row>
    <row r="8" spans="1:17" s="349" customFormat="1" ht="12">
      <c r="A8" s="378" t="s">
        <v>523</v>
      </c>
      <c r="B8" s="374" t="s">
        <v>519</v>
      </c>
      <c r="C8" s="311" t="str">
        <f>IF(F8="","",IF(B$4=1,D8,IF(B$4&gt;29,D8/B$4,1-(F8^(1/B$4)))))</f>
        <v/>
      </c>
      <c r="D8" s="311" t="str">
        <f>IF(F8="","",IF(B$4=1,1-F8,IF(B$4&gt;29,-LN(F8),C8*B$4)))</f>
        <v/>
      </c>
      <c r="E8" s="311" t="str">
        <f>IF(F8="","",1-F8)</f>
        <v/>
      </c>
      <c r="F8" s="379"/>
      <c r="G8" s="313" t="str">
        <f>IF(F8="","",C8*10^6)</f>
        <v/>
      </c>
      <c r="H8" s="313" t="str">
        <f>IF(F8="","",D8*10^6)</f>
        <v/>
      </c>
      <c r="I8" s="371" t="str">
        <f>IF(F8="","",E8*10^6)</f>
        <v/>
      </c>
      <c r="J8" s="314" t="str">
        <f>IF(F8="","",NORMSINV(F8))</f>
        <v/>
      </c>
      <c r="K8" s="314" t="str">
        <f>IF(F8="","",J8+1.5)</f>
        <v/>
      </c>
      <c r="L8" s="314" t="str">
        <f>IF(F8="","",J8/3)</f>
        <v/>
      </c>
      <c r="N8" s="377" t="s">
        <v>691</v>
      </c>
    </row>
    <row r="9" spans="1:17" s="349" customFormat="1" ht="12">
      <c r="A9" s="378" t="s">
        <v>524</v>
      </c>
      <c r="B9" s="374" t="s">
        <v>520</v>
      </c>
      <c r="C9" s="311" t="str">
        <f>IF(G9="","",G9/10^6)</f>
        <v/>
      </c>
      <c r="D9" s="369" t="str">
        <f>IF(G9="","",C9*B$4)</f>
        <v/>
      </c>
      <c r="E9" s="311" t="str">
        <f>IF(G9="","",1-F9)</f>
        <v/>
      </c>
      <c r="F9" s="312" t="str">
        <f>IF(G9="","",IF($B$4=1,1-D9,IF(B$4&gt;29,EXP(-D9),(1-C9)^B$4)))</f>
        <v/>
      </c>
      <c r="G9" s="380"/>
      <c r="H9" s="313" t="str">
        <f>IF(G9="","",D9*10^6)</f>
        <v/>
      </c>
      <c r="I9" s="371" t="str">
        <f>IF(G9="","",E9*10^6)</f>
        <v/>
      </c>
      <c r="J9" s="314" t="str">
        <f>IF(G9="","",NORMSINV(F9))</f>
        <v/>
      </c>
      <c r="K9" s="314" t="str">
        <f>IF(G9="","",J9+1.5)</f>
        <v/>
      </c>
      <c r="L9" s="314" t="str">
        <f>IF(G9="","",J9/3)</f>
        <v/>
      </c>
      <c r="N9" s="377" t="s">
        <v>692</v>
      </c>
    </row>
    <row r="10" spans="1:17" s="349" customFormat="1" ht="12">
      <c r="A10" s="378" t="s">
        <v>525</v>
      </c>
      <c r="B10" s="374" t="s">
        <v>521</v>
      </c>
      <c r="C10" s="311" t="str">
        <f>IF(H10="","",D10/B$4)</f>
        <v/>
      </c>
      <c r="D10" s="311" t="str">
        <f>IF(H10="","",H10/10^6)</f>
        <v/>
      </c>
      <c r="E10" s="311" t="str">
        <f>IF(H10="","",1-F10)</f>
        <v/>
      </c>
      <c r="F10" s="312" t="str">
        <f>IF(H10="","",IF($B$4=1,1-D10,IF(B$4&gt;29,EXP(-D10),(1-C10)^B$4)))</f>
        <v/>
      </c>
      <c r="G10" s="313" t="str">
        <f>IF(H10="","",C10*10^6)</f>
        <v/>
      </c>
      <c r="H10" s="380"/>
      <c r="I10" s="371" t="str">
        <f>IF(H10="","",E10*10^6)</f>
        <v/>
      </c>
      <c r="J10" s="314" t="str">
        <f>IF(H10="","",NORMSINV(F10))</f>
        <v/>
      </c>
      <c r="K10" s="314" t="str">
        <f>IF(H10="","",J10+1.5)</f>
        <v/>
      </c>
      <c r="L10" s="314" t="str">
        <f>IF(H10="","",J10/3)</f>
        <v/>
      </c>
      <c r="N10" s="377" t="s">
        <v>693</v>
      </c>
    </row>
    <row r="11" spans="1:17" s="349" customFormat="1" ht="12">
      <c r="A11" s="378" t="s">
        <v>526</v>
      </c>
      <c r="B11" s="374" t="s">
        <v>507</v>
      </c>
      <c r="C11" s="311" t="str">
        <f>IF(I11="","",IF(B$4=1,D11,IF(B$4&gt;29,D11/B$4,1-(F11^(1/B$4)))))</f>
        <v/>
      </c>
      <c r="D11" s="311" t="str">
        <f>IF(I11="","",IF(B$4=1,1-F11,IF(B$4&gt;29,-LN(F11),C11*B$4)))</f>
        <v/>
      </c>
      <c r="E11" s="311" t="str">
        <f>IF(I11="","",I11/10^6)</f>
        <v/>
      </c>
      <c r="F11" s="312" t="str">
        <f>IF(I11="","",1-E11)</f>
        <v/>
      </c>
      <c r="G11" s="313" t="str">
        <f>IF(I11="","",C11*10^6)</f>
        <v/>
      </c>
      <c r="H11" s="313" t="str">
        <f>IF(I11="","",D11*10^6)</f>
        <v/>
      </c>
      <c r="I11" s="380"/>
      <c r="J11" s="314" t="str">
        <f>IF(I11="","",NORMSINV(F11))</f>
        <v/>
      </c>
      <c r="K11" s="314" t="str">
        <f>IF(I11="","",J11+1.5)</f>
        <v/>
      </c>
      <c r="L11" s="314" t="str">
        <f>IF(I11="","",J11/3)</f>
        <v/>
      </c>
      <c r="N11" s="377" t="s">
        <v>694</v>
      </c>
    </row>
    <row r="12" spans="1:17" s="349" customFormat="1" ht="12">
      <c r="A12" s="378" t="s">
        <v>527</v>
      </c>
      <c r="B12" s="381" t="s">
        <v>522</v>
      </c>
      <c r="C12" s="311" t="str">
        <f>IF(J12="","",IF(B$4=1,D12,IF(B$4&gt;29,D12/B$4,1-(F12^(1/B$4)))))</f>
        <v/>
      </c>
      <c r="D12" s="311" t="str">
        <f>IF(J12="","",IF(B$4=1,1-F12,IF(B$4&gt;29,-LN(F12),C12*B$4)))</f>
        <v/>
      </c>
      <c r="E12" s="311" t="str">
        <f>IF(J12="","",1-F12)</f>
        <v/>
      </c>
      <c r="F12" s="312" t="str">
        <f>IF(J12="","",NORMSDIST(J12))</f>
        <v/>
      </c>
      <c r="G12" s="313" t="str">
        <f>IF(J12="","",C12*10^6)</f>
        <v/>
      </c>
      <c r="H12" s="313" t="str">
        <f>IF(J12="","",D12*10^6)</f>
        <v/>
      </c>
      <c r="I12" s="371" t="str">
        <f>IF(J12="","",E12*10^6)</f>
        <v/>
      </c>
      <c r="J12" s="382"/>
      <c r="K12" s="314" t="str">
        <f>IF(J12="","",J12+1.5)</f>
        <v/>
      </c>
      <c r="L12" s="314" t="str">
        <f>IF(J12="","",J12/3)</f>
        <v/>
      </c>
      <c r="N12" s="377" t="s">
        <v>696</v>
      </c>
    </row>
    <row r="13" spans="1:17" s="349" customFormat="1" ht="12">
      <c r="A13" s="378"/>
      <c r="B13" s="381" t="s">
        <v>729</v>
      </c>
      <c r="C13" s="311" t="str">
        <f>IF(K13="","",IF(B$4=1,D13,IF(B$4&gt;29,D13/B$4,1-(F13^(1/B$4)))))</f>
        <v/>
      </c>
      <c r="D13" s="311" t="str">
        <f>IF(K13="","",IF(B$4=1,1-F13,IF(B$4&gt;29,-LN(F13),C13*B$4)))</f>
        <v/>
      </c>
      <c r="E13" s="311" t="str">
        <f>IF(K13="","",1-F13)</f>
        <v/>
      </c>
      <c r="F13" s="312" t="str">
        <f>IF(K13="","",NORMSDIST(J13))</f>
        <v/>
      </c>
      <c r="G13" s="313" t="str">
        <f>IF(K13="","",C13*10^6)</f>
        <v/>
      </c>
      <c r="H13" s="313" t="str">
        <f>IF(K13="","",D13*10^6)</f>
        <v/>
      </c>
      <c r="I13" s="371" t="str">
        <f>IF(K13="","",E13*10^6)</f>
        <v/>
      </c>
      <c r="J13" s="314" t="str">
        <f>IF(K13="","",K13-1.5)</f>
        <v/>
      </c>
      <c r="K13" s="382"/>
      <c r="L13" s="314" t="str">
        <f>IF(K13="","",J13/3)</f>
        <v/>
      </c>
      <c r="N13" s="377" t="s">
        <v>695</v>
      </c>
    </row>
    <row r="14" spans="1:17" s="349" customFormat="1" ht="12">
      <c r="A14" s="383"/>
      <c r="B14" s="374" t="s">
        <v>567</v>
      </c>
      <c r="C14" s="311" t="str">
        <f>IF(L14="","",IF(B$4=1,D14,IF(B$4&gt;29,D14/B$4,1-(F14^(1/B$4)))))</f>
        <v/>
      </c>
      <c r="D14" s="311" t="str">
        <f>IF(L14="","",IF(B$4=1,1-F14,IF(B$4&gt;29,-LN(F14),C14*B$4)))</f>
        <v/>
      </c>
      <c r="E14" s="311" t="str">
        <f>IF(L14="","",1-F14)</f>
        <v/>
      </c>
      <c r="F14" s="312" t="str">
        <f>IF(L14="","",NORMSDIST(J14))</f>
        <v/>
      </c>
      <c r="G14" s="313" t="str">
        <f>IF(L14="","",C14*10^6)</f>
        <v/>
      </c>
      <c r="H14" s="313" t="str">
        <f>IF(L14="","",D14*10^6)</f>
        <v/>
      </c>
      <c r="I14" s="313" t="str">
        <f>IF(L14="","",E14*10^6)</f>
        <v/>
      </c>
      <c r="J14" s="314" t="str">
        <f>IF(L14="","",3*L14)</f>
        <v/>
      </c>
      <c r="K14" s="314" t="str">
        <f>IF(L14="","",J14+1.5)</f>
        <v/>
      </c>
      <c r="L14" s="382"/>
    </row>
    <row r="15" spans="1:17" s="349" customFormat="1" ht="11.25" customHeight="1">
      <c r="A15" s="384" t="s">
        <v>730</v>
      </c>
      <c r="C15" s="385"/>
      <c r="D15" s="356"/>
      <c r="E15" s="356"/>
      <c r="F15" s="356"/>
      <c r="G15" s="356"/>
      <c r="H15" s="386"/>
      <c r="I15" s="386"/>
      <c r="J15" s="356"/>
      <c r="K15" s="356"/>
      <c r="L15" s="356"/>
      <c r="M15" s="356"/>
      <c r="N15" s="356"/>
    </row>
    <row r="16" spans="1:17" s="349" customFormat="1" ht="12">
      <c r="B16" s="387" t="s">
        <v>528</v>
      </c>
      <c r="C16" s="385"/>
      <c r="D16" s="388"/>
      <c r="E16" s="388"/>
      <c r="G16" s="356"/>
      <c r="J16" s="389"/>
    </row>
    <row r="17" spans="2:16" s="349" customFormat="1" thickBot="1">
      <c r="B17" s="390" t="s">
        <v>518</v>
      </c>
      <c r="C17" s="391" t="s">
        <v>731</v>
      </c>
      <c r="D17" s="388"/>
      <c r="E17" s="388"/>
      <c r="F17" s="385"/>
      <c r="G17" s="392" t="s">
        <v>154</v>
      </c>
      <c r="H17" s="392" t="s">
        <v>155</v>
      </c>
      <c r="I17" s="393" t="s">
        <v>201</v>
      </c>
      <c r="J17" s="393" t="s">
        <v>506</v>
      </c>
      <c r="K17" s="392" t="s">
        <v>678</v>
      </c>
      <c r="L17" s="393" t="s">
        <v>569</v>
      </c>
      <c r="M17" s="393" t="s">
        <v>568</v>
      </c>
      <c r="N17" s="372"/>
    </row>
    <row r="18" spans="2:16" s="349" customFormat="1" thickTop="1">
      <c r="B18" s="394" t="s">
        <v>432</v>
      </c>
      <c r="C18" s="391" t="s">
        <v>732</v>
      </c>
      <c r="D18" s="388"/>
      <c r="E18" s="388"/>
      <c r="F18" s="385"/>
      <c r="G18" s="395"/>
      <c r="H18" s="395"/>
      <c r="I18" s="395"/>
      <c r="J18" s="395"/>
      <c r="K18" s="396" t="e">
        <f>(H18-G18)/(6*J18)</f>
        <v>#DIV/0!</v>
      </c>
      <c r="L18" s="396" t="e">
        <f>(I18-G18)/(3*J18)</f>
        <v>#DIV/0!</v>
      </c>
      <c r="M18" s="396" t="e">
        <f>(H18-I18)/(3*J18)</f>
        <v>#DIV/0!</v>
      </c>
      <c r="N18" s="397"/>
    </row>
    <row r="19" spans="2:16" s="349" customFormat="1" ht="12">
      <c r="B19" s="394" t="s">
        <v>449</v>
      </c>
      <c r="C19" s="349" t="s">
        <v>733</v>
      </c>
      <c r="D19" s="388"/>
      <c r="E19" s="388"/>
      <c r="F19" s="385"/>
      <c r="G19" s="385"/>
      <c r="H19" s="385"/>
      <c r="I19" s="385"/>
      <c r="J19" s="385"/>
    </row>
    <row r="20" spans="2:16" s="349" customFormat="1" ht="12">
      <c r="B20" s="394" t="s">
        <v>519</v>
      </c>
      <c r="C20" s="349" t="s">
        <v>734</v>
      </c>
      <c r="D20" s="388"/>
      <c r="E20" s="388"/>
      <c r="F20" s="385"/>
      <c r="G20" s="385"/>
      <c r="H20" s="385"/>
      <c r="I20" s="385"/>
      <c r="J20" s="385"/>
      <c r="L20" s="398" t="s">
        <v>679</v>
      </c>
      <c r="M20" s="399" t="e">
        <f>(NORMSINV(1-(((1-NORMSDIST(3*L18))*10^6+(1-NORMSDIST(3*M18))*10^6)/10^6)))/3</f>
        <v>#DIV/0!</v>
      </c>
      <c r="N20" s="400"/>
      <c r="O20" s="349" t="s">
        <v>697</v>
      </c>
    </row>
    <row r="21" spans="2:16" s="349" customFormat="1" ht="12">
      <c r="B21" s="394" t="s">
        <v>520</v>
      </c>
      <c r="C21" s="349" t="s">
        <v>735</v>
      </c>
      <c r="D21" s="385"/>
      <c r="E21" s="385"/>
      <c r="F21" s="385"/>
      <c r="G21" s="385"/>
      <c r="H21" s="401" t="s">
        <v>529</v>
      </c>
      <c r="I21" s="385"/>
      <c r="J21" s="385"/>
      <c r="L21" s="1519" t="s">
        <v>687</v>
      </c>
      <c r="M21" s="1519"/>
      <c r="N21" s="402"/>
      <c r="O21" s="349" t="s">
        <v>736</v>
      </c>
    </row>
    <row r="22" spans="2:16" s="349" customFormat="1" ht="12">
      <c r="B22" s="394" t="s">
        <v>521</v>
      </c>
      <c r="C22" s="349" t="s">
        <v>737</v>
      </c>
      <c r="D22" s="385"/>
      <c r="E22" s="385"/>
      <c r="F22" s="385"/>
      <c r="G22" s="385"/>
      <c r="H22" s="401" t="s">
        <v>530</v>
      </c>
      <c r="I22" s="385"/>
      <c r="J22" s="385"/>
      <c r="L22" s="398" t="s">
        <v>680</v>
      </c>
      <c r="M22" s="399" t="e">
        <f>(NORMSINV(1-(((1-NORMSDIST((3*((((H18+G18)/2)-G18)/(3*J18)))))*10^6+(1-NORMSDIST((3*((H18-((H18+G18)/2))/(3*J18)))))*10^6)/10^6)))/3</f>
        <v>#DIV/0!</v>
      </c>
      <c r="N22" s="400"/>
    </row>
    <row r="23" spans="2:16" s="349" customFormat="1" ht="12">
      <c r="B23" s="394" t="s">
        <v>507</v>
      </c>
      <c r="C23" s="349" t="s">
        <v>531</v>
      </c>
      <c r="D23" s="385"/>
      <c r="E23" s="385"/>
      <c r="F23" s="385"/>
      <c r="G23" s="385"/>
      <c r="H23" s="401" t="s">
        <v>532</v>
      </c>
      <c r="I23" s="385"/>
      <c r="J23" s="385"/>
      <c r="L23" s="1520" t="s">
        <v>688</v>
      </c>
      <c r="M23" s="1520"/>
      <c r="N23" s="402"/>
    </row>
    <row r="24" spans="2:16">
      <c r="B24" s="403"/>
      <c r="C24" s="404"/>
      <c r="D24" s="404"/>
      <c r="E24" s="404"/>
      <c r="F24" s="404"/>
      <c r="G24" s="404"/>
      <c r="H24" s="404"/>
      <c r="I24" s="404"/>
      <c r="J24" s="404"/>
    </row>
    <row r="28" spans="2:16">
      <c r="D28" s="347"/>
      <c r="E28" s="347"/>
      <c r="F28" s="347"/>
      <c r="G28" s="405"/>
      <c r="H28" s="347"/>
      <c r="I28" s="347"/>
      <c r="J28" s="347"/>
    </row>
    <row r="29" spans="2:16">
      <c r="D29" s="347"/>
      <c r="E29" s="347"/>
      <c r="F29" s="347"/>
      <c r="G29" s="405"/>
      <c r="H29" s="347"/>
      <c r="I29" s="347"/>
      <c r="J29" s="347"/>
    </row>
    <row r="30" spans="2:16">
      <c r="B30" s="46"/>
      <c r="D30" s="188"/>
      <c r="E30" s="188"/>
      <c r="F30" s="188"/>
      <c r="G30" s="406"/>
      <c r="H30" s="188"/>
      <c r="I30" s="188"/>
      <c r="J30" s="407"/>
      <c r="K30" s="188"/>
      <c r="P30" s="46"/>
    </row>
    <row r="31" spans="2:16">
      <c r="B31" s="46"/>
      <c r="D31" s="188"/>
      <c r="E31" s="188"/>
      <c r="F31" s="188"/>
      <c r="G31" s="406"/>
      <c r="H31" s="188"/>
      <c r="I31" s="188"/>
      <c r="J31" s="407"/>
      <c r="K31" s="188"/>
      <c r="P31" s="46"/>
    </row>
    <row r="32" spans="2:16">
      <c r="J32" s="46"/>
    </row>
    <row r="33" spans="10:10">
      <c r="J33" s="348"/>
    </row>
    <row r="34" spans="10:10">
      <c r="J34" s="348"/>
    </row>
    <row r="49" spans="2:35">
      <c r="B49" s="223"/>
      <c r="C49" s="98"/>
      <c r="F49" s="223"/>
      <c r="G49" s="98"/>
      <c r="J49" s="408"/>
      <c r="K49" s="408"/>
      <c r="L49" s="408"/>
      <c r="M49" s="408"/>
      <c r="N49" s="408"/>
      <c r="S49" s="223"/>
      <c r="U49" s="408"/>
      <c r="V49" s="408"/>
      <c r="W49" s="408"/>
      <c r="X49" s="408"/>
      <c r="AC49" s="223"/>
      <c r="AE49" s="408"/>
      <c r="AF49" s="408"/>
      <c r="AG49" s="408"/>
      <c r="AH49" s="408"/>
    </row>
    <row r="50" spans="2:35">
      <c r="M50" s="223"/>
      <c r="N50" s="223"/>
      <c r="O50" s="347"/>
      <c r="Q50" s="43" t="s">
        <v>533</v>
      </c>
      <c r="R50" s="43">
        <f>-LN(S50)</f>
        <v>9.6886537384229792E-3</v>
      </c>
      <c r="S50" s="43">
        <f>1-(T50/1000000)</f>
        <v>0.99035813005464146</v>
      </c>
      <c r="T50" s="43">
        <f>(1-(NORMSDIST(U50)))*1000000</f>
        <v>9641.8699453585396</v>
      </c>
      <c r="U50" s="43">
        <f>3*X50</f>
        <v>2.34</v>
      </c>
      <c r="V50" s="43">
        <f>U50+1.5</f>
        <v>3.84</v>
      </c>
      <c r="W50" s="43">
        <f>V50/3</f>
        <v>1.28</v>
      </c>
      <c r="X50" s="223">
        <v>0.78</v>
      </c>
      <c r="Y50" s="347">
        <f>R50*1000000</f>
        <v>9688.6537384229796</v>
      </c>
      <c r="AA50" s="43" t="s">
        <v>533</v>
      </c>
      <c r="AB50" s="43">
        <f>-LN(AC50)</f>
        <v>2.5921127916076113E-2</v>
      </c>
      <c r="AC50" s="43">
        <f>1-(AD50/1000000)</f>
        <v>0.97441194047836122</v>
      </c>
      <c r="AD50" s="43">
        <f>(1-(NORMSDIST(AE50)))*1000000</f>
        <v>25588.059521638785</v>
      </c>
      <c r="AE50" s="43">
        <f>3*AH50</f>
        <v>1.9500000000000002</v>
      </c>
      <c r="AF50" s="43">
        <f>AE50+1.5</f>
        <v>3.45</v>
      </c>
      <c r="AG50" s="43">
        <f>AF50/3</f>
        <v>1.1500000000000001</v>
      </c>
      <c r="AH50" s="223">
        <v>0.65</v>
      </c>
      <c r="AI50" s="347">
        <f>AB50*1000000</f>
        <v>25921.127916076111</v>
      </c>
    </row>
    <row r="52" spans="2:35">
      <c r="D52" s="409"/>
      <c r="E52" s="409"/>
      <c r="H52" s="408"/>
      <c r="I52" s="408"/>
      <c r="J52" s="410"/>
      <c r="L52" s="347"/>
      <c r="M52" s="410"/>
      <c r="N52" s="410"/>
    </row>
    <row r="53" spans="2:35">
      <c r="D53" s="409"/>
      <c r="E53" s="409"/>
      <c r="H53" s="408"/>
      <c r="I53" s="408"/>
      <c r="J53" s="410"/>
      <c r="L53" s="347"/>
      <c r="M53" s="410"/>
      <c r="N53" s="410"/>
    </row>
    <row r="54" spans="2:35">
      <c r="B54" s="223"/>
      <c r="C54" s="98"/>
    </row>
    <row r="55" spans="2:35">
      <c r="M55" s="223"/>
      <c r="N55" s="223"/>
      <c r="O55" s="347"/>
      <c r="Q55" s="43" t="s">
        <v>533</v>
      </c>
      <c r="R55" s="43">
        <f>-LN(S55)</f>
        <v>3.7997723476220296E-3</v>
      </c>
      <c r="S55" s="43">
        <f>1-(T55/1000000)</f>
        <v>0.99620743765231445</v>
      </c>
      <c r="T55" s="43">
        <f>(1-(NORMSDIST(U55)))*1000000</f>
        <v>3792.5623476855462</v>
      </c>
      <c r="U55" s="43">
        <f>3*X55</f>
        <v>2.67</v>
      </c>
      <c r="V55" s="43">
        <f>U55+1.5</f>
        <v>4.17</v>
      </c>
      <c r="W55" s="43">
        <f>V55/3</f>
        <v>1.39</v>
      </c>
      <c r="X55" s="223">
        <v>0.89</v>
      </c>
      <c r="Y55" s="347">
        <f>R55*1000000</f>
        <v>3799.7723476220294</v>
      </c>
      <c r="AA55" s="43" t="s">
        <v>533</v>
      </c>
      <c r="AB55" s="43">
        <f>-LN(AC55)</f>
        <v>4.4613482012751352E-2</v>
      </c>
      <c r="AC55" s="43">
        <f>1-(AD55/1000000)</f>
        <v>0.956367063475968</v>
      </c>
      <c r="AD55" s="43">
        <f>(1-(NORMSDIST(AE55)))*1000000</f>
        <v>43632.936524031997</v>
      </c>
      <c r="AE55" s="43">
        <f>3*AH55</f>
        <v>1.71</v>
      </c>
      <c r="AF55" s="43">
        <f>AE55+1.5</f>
        <v>3.21</v>
      </c>
      <c r="AG55" s="43">
        <f>AF55/3</f>
        <v>1.07</v>
      </c>
      <c r="AH55" s="223">
        <v>0.56999999999999995</v>
      </c>
      <c r="AI55" s="347">
        <f>AB55*1000000</f>
        <v>44613.482012751352</v>
      </c>
    </row>
    <row r="57" spans="2:35">
      <c r="D57" s="409"/>
      <c r="E57" s="409"/>
      <c r="H57" s="408"/>
      <c r="I57" s="408"/>
      <c r="J57" s="410"/>
      <c r="L57" s="347"/>
      <c r="M57" s="410"/>
      <c r="N57" s="410"/>
      <c r="R57" s="43" t="s">
        <v>534</v>
      </c>
    </row>
    <row r="58" spans="2:35">
      <c r="Q58" s="43" t="s">
        <v>533</v>
      </c>
      <c r="R58" s="43">
        <f>-LN(S58)</f>
        <v>7.3664651899027803E-4</v>
      </c>
      <c r="S58" s="43">
        <f>1-(T58/1000000)</f>
        <v>0.99926362473844565</v>
      </c>
      <c r="T58" s="43">
        <f>(1-(NORMSDIST(U58)))*1000000</f>
        <v>736.37526155434512</v>
      </c>
      <c r="U58" s="43">
        <f>3*X58</f>
        <v>3.18</v>
      </c>
      <c r="V58" s="43">
        <f>U58+1.5</f>
        <v>4.68</v>
      </c>
      <c r="W58" s="43">
        <f>V58/3</f>
        <v>1.5599999999999998</v>
      </c>
      <c r="X58" s="223">
        <v>1.06</v>
      </c>
      <c r="Y58" s="347">
        <f>R58*1000000</f>
        <v>736.64651899027808</v>
      </c>
    </row>
    <row r="63" spans="2:35">
      <c r="F63" s="46"/>
      <c r="H63" s="46"/>
      <c r="I63" s="46"/>
      <c r="J63" s="46"/>
      <c r="L63" s="46"/>
      <c r="M63" s="46"/>
      <c r="N63" s="46"/>
    </row>
    <row r="64" spans="2:35">
      <c r="J64" s="409"/>
      <c r="K64" s="409"/>
      <c r="M64" s="347"/>
      <c r="N64" s="347"/>
    </row>
    <row r="65" spans="10:14">
      <c r="J65" s="409"/>
    </row>
    <row r="66" spans="10:14">
      <c r="J66" s="409"/>
    </row>
    <row r="67" spans="10:14">
      <c r="J67" s="409"/>
    </row>
    <row r="68" spans="10:14">
      <c r="J68" s="409"/>
    </row>
    <row r="69" spans="10:14">
      <c r="J69" s="409"/>
    </row>
    <row r="71" spans="10:14">
      <c r="J71" s="409"/>
      <c r="K71" s="409"/>
      <c r="M71" s="347"/>
      <c r="N71" s="347"/>
    </row>
    <row r="72" spans="10:14">
      <c r="J72" s="409"/>
    </row>
    <row r="73" spans="10:14">
      <c r="J73" s="409"/>
    </row>
    <row r="74" spans="10:14">
      <c r="J74" s="409"/>
    </row>
    <row r="75" spans="10:14">
      <c r="J75" s="409"/>
    </row>
    <row r="76" spans="10:14">
      <c r="J76" s="409"/>
    </row>
    <row r="78" spans="10:14">
      <c r="J78" s="409"/>
      <c r="K78" s="409"/>
      <c r="M78" s="347"/>
      <c r="N78" s="347"/>
    </row>
    <row r="79" spans="10:14">
      <c r="J79" s="409"/>
    </row>
    <row r="80" spans="10:14">
      <c r="J80" s="409"/>
    </row>
    <row r="83" spans="10:18">
      <c r="J83" s="409"/>
      <c r="K83" s="411"/>
      <c r="L83" s="347"/>
    </row>
    <row r="84" spans="10:18">
      <c r="J84" s="409"/>
      <c r="K84" s="411"/>
      <c r="L84" s="347"/>
    </row>
    <row r="85" spans="10:18">
      <c r="J85" s="409"/>
      <c r="K85" s="411"/>
      <c r="L85" s="347"/>
    </row>
    <row r="87" spans="10:18">
      <c r="J87" s="409"/>
      <c r="K87" s="411"/>
      <c r="L87" s="347"/>
      <c r="M87" s="188"/>
      <c r="N87" s="188"/>
      <c r="O87" s="188"/>
    </row>
    <row r="88" spans="10:18">
      <c r="J88" s="409"/>
      <c r="K88" s="411"/>
      <c r="L88" s="347"/>
    </row>
    <row r="89" spans="10:18">
      <c r="K89" s="46"/>
    </row>
    <row r="90" spans="10:18">
      <c r="O90" s="412"/>
      <c r="P90" s="412"/>
      <c r="Q90" s="412"/>
      <c r="R90" s="412"/>
    </row>
    <row r="96" spans="10:18">
      <c r="O96" s="43">
        <v>1</v>
      </c>
    </row>
  </sheetData>
  <sheetProtection password="CC08" sheet="1" objects="1" scenarios="1"/>
  <protectedRanges>
    <protectedRange sqref="B4 C5 D6 E7 F8 G9 H10 I11 J12 K13 L14 G18:J18" name="Range1"/>
  </protectedRanges>
  <mergeCells count="2">
    <mergeCell ref="L21:M21"/>
    <mergeCell ref="L23:M23"/>
  </mergeCells>
  <phoneticPr fontId="5" type="noConversion"/>
  <conditionalFormatting sqref="C12 I12">
    <cfRule type="expression" priority="1" stopIfTrue="1">
      <formula>$J$12=""</formula>
    </cfRule>
  </conditionalFormatting>
  <pageMargins left="0.75" right="0.75" top="1" bottom="1" header="0.5" footer="0.5"/>
  <pageSetup pageOrder="overThenDown" orientation="landscape" r:id="rId1"/>
  <headerFooter alignWithMargins="0"/>
  <rowBreaks count="1" manualBreakCount="1">
    <brk id="24" max="65535" man="1"/>
  </rowBreaks>
  <colBreaks count="2" manualBreakCount="2">
    <brk id="15" max="1048575" man="1"/>
    <brk id="25" max="1048575" man="1"/>
  </colBreaks>
  <drawing r:id="rId2"/>
  <legacyDrawing r:id="rId3"/>
  <controls>
    <control shapeId="36866" r:id="rId4" name="MainMenu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1:S26"/>
  <sheetViews>
    <sheetView showGridLines="0" workbookViewId="0"/>
  </sheetViews>
  <sheetFormatPr defaultRowHeight="12.75"/>
  <cols>
    <col min="1" max="1" width="14.5703125" customWidth="1"/>
    <col min="4" max="4" width="10.85546875" bestFit="1" customWidth="1"/>
  </cols>
  <sheetData>
    <row r="1" spans="1:9">
      <c r="A1" s="337" t="s">
        <v>636</v>
      </c>
      <c r="D1" s="43"/>
    </row>
    <row r="2" spans="1:9" s="413" customFormat="1" ht="11.25">
      <c r="D2" s="377"/>
    </row>
    <row r="3" spans="1:9">
      <c r="C3" s="46" t="s">
        <v>637</v>
      </c>
      <c r="D3" s="339"/>
    </row>
    <row r="4" spans="1:9" s="414" customFormat="1" ht="8.25">
      <c r="C4" s="415"/>
      <c r="D4" s="416"/>
    </row>
    <row r="5" spans="1:9">
      <c r="C5" s="43"/>
      <c r="D5" s="417" t="s">
        <v>638</v>
      </c>
      <c r="H5" s="417" t="s">
        <v>639</v>
      </c>
    </row>
    <row r="6" spans="1:9">
      <c r="C6" s="418" t="s">
        <v>640</v>
      </c>
      <c r="D6" s="419">
        <f>1/(D3+2)</f>
        <v>0.5</v>
      </c>
      <c r="E6" s="420" t="s">
        <v>641</v>
      </c>
      <c r="H6" s="337" t="e">
        <f>0.7/D3</f>
        <v>#DIV/0!</v>
      </c>
      <c r="I6" s="420" t="s">
        <v>641</v>
      </c>
    </row>
    <row r="7" spans="1:9">
      <c r="C7" s="418"/>
      <c r="D7" s="421">
        <f>(NORMSINV(1-D6))/3</f>
        <v>-4.64045878430611E-17</v>
      </c>
      <c r="E7" s="422" t="s">
        <v>699</v>
      </c>
      <c r="F7" s="404"/>
      <c r="G7" s="404"/>
      <c r="H7" s="423" t="e">
        <f>NORMSINV(1-H6)/3</f>
        <v>#DIV/0!</v>
      </c>
      <c r="I7" s="422" t="s">
        <v>699</v>
      </c>
    </row>
    <row r="8" spans="1:9">
      <c r="C8" s="418"/>
      <c r="D8" s="419"/>
      <c r="E8" s="420"/>
      <c r="H8" s="337"/>
      <c r="I8" s="420"/>
    </row>
    <row r="11" spans="1:9">
      <c r="F11" s="43" t="s">
        <v>738</v>
      </c>
    </row>
    <row r="12" spans="1:9">
      <c r="F12" s="43" t="s">
        <v>642</v>
      </c>
    </row>
    <row r="13" spans="1:9">
      <c r="F13" s="43" t="s">
        <v>739</v>
      </c>
    </row>
    <row r="14" spans="1:9">
      <c r="F14" s="43" t="s">
        <v>643</v>
      </c>
    </row>
    <row r="15" spans="1:9">
      <c r="F15" s="43" t="s">
        <v>698</v>
      </c>
    </row>
    <row r="16" spans="1:9">
      <c r="F16" s="43" t="s">
        <v>644</v>
      </c>
    </row>
    <row r="19" spans="1:19">
      <c r="A19" s="337" t="s">
        <v>645</v>
      </c>
      <c r="G19" s="43"/>
    </row>
    <row r="20" spans="1:19" s="414" customFormat="1" ht="8.25">
      <c r="A20" s="424"/>
      <c r="G20" s="424"/>
    </row>
    <row r="21" spans="1:19" s="414" customFormat="1" ht="8.25">
      <c r="A21" s="424"/>
      <c r="G21" s="424"/>
    </row>
    <row r="22" spans="1:19">
      <c r="B22" s="46" t="s">
        <v>646</v>
      </c>
      <c r="C22" s="46" t="s">
        <v>453</v>
      </c>
      <c r="D22" s="339"/>
    </row>
    <row r="23" spans="1:19">
      <c r="B23" s="46" t="s">
        <v>647</v>
      </c>
      <c r="C23" s="46" t="s">
        <v>449</v>
      </c>
      <c r="D23" s="340"/>
    </row>
    <row r="24" spans="1:19">
      <c r="B24" s="46" t="s">
        <v>648</v>
      </c>
      <c r="C24" s="46" t="s">
        <v>649</v>
      </c>
      <c r="D24" s="339"/>
      <c r="E24" s="418" t="s">
        <v>651</v>
      </c>
      <c r="F24" s="425" t="e">
        <f>(((D22*D23)^(-D24))/(FACT(D24)))*(EXP(-(D22*D23)))</f>
        <v>#NUM!</v>
      </c>
      <c r="R24" s="282"/>
      <c r="S24" s="426"/>
    </row>
    <row r="25" spans="1:19">
      <c r="B25" s="46" t="s">
        <v>676</v>
      </c>
      <c r="C25" s="46" t="s">
        <v>650</v>
      </c>
      <c r="D25" s="43">
        <f>D22*D23</f>
        <v>0</v>
      </c>
    </row>
    <row r="26" spans="1:19">
      <c r="D26" s="43"/>
    </row>
  </sheetData>
  <sheetProtection password="CC08" sheet="1" objects="1" scenarios="1"/>
  <protectedRanges>
    <protectedRange sqref="D3 D22:D24" name="Range1"/>
  </protectedRanges>
  <phoneticPr fontId="5" type="noConversion"/>
  <pageMargins left="0.75" right="0.75" top="1" bottom="1" header="0.5" footer="0.5"/>
  <pageSetup orientation="landscape" r:id="rId1"/>
  <headerFooter alignWithMargins="0">
    <oddHeader>&amp;A</oddHeader>
    <oddFooter>Page &amp;P</oddFooter>
  </headerFooter>
  <drawing r:id="rId2"/>
  <legacyDrawing r:id="rId3"/>
  <oleObjects>
    <oleObject progId="Equation.2" shapeId="37889" r:id="rId4"/>
    <oleObject progId="Equation.2" shapeId="37890" r:id="rId5"/>
    <oleObject progId="Equation.2" shapeId="37891" r:id="rId6"/>
  </oleObjects>
  <controls>
    <control shapeId="37893" r:id="rId7" name="MainMenu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2:I29"/>
  <sheetViews>
    <sheetView showGridLines="0" workbookViewId="0">
      <selection activeCell="D3" sqref="D3"/>
    </sheetView>
  </sheetViews>
  <sheetFormatPr defaultRowHeight="12.75"/>
  <cols>
    <col min="2" max="2" width="11.7109375" customWidth="1"/>
  </cols>
  <sheetData>
    <row r="2" spans="1:3" s="413" customFormat="1" ht="11.25"/>
    <row r="3" spans="1:3">
      <c r="B3" s="99" t="s">
        <v>700</v>
      </c>
      <c r="C3" s="278"/>
    </row>
    <row r="4" spans="1:3" s="414" customFormat="1" ht="8.25"/>
    <row r="5" spans="1:3" ht="13.5" thickBot="1">
      <c r="A5" s="427" t="s">
        <v>453</v>
      </c>
      <c r="B5" s="427" t="s">
        <v>449</v>
      </c>
      <c r="C5" s="427" t="s">
        <v>567</v>
      </c>
    </row>
    <row r="6" spans="1:3" ht="13.5" thickTop="1">
      <c r="A6" s="428">
        <v>500</v>
      </c>
      <c r="B6" s="429">
        <f t="shared" ref="B6:B29" si="0">1/(A6+2)</f>
        <v>1.9920318725099601E-3</v>
      </c>
      <c r="C6" s="430">
        <f t="shared" ref="C6:C28" si="1">NORMSINV(1-B6)/3</f>
        <v>0.95980692734235828</v>
      </c>
    </row>
    <row r="7" spans="1:3">
      <c r="A7" s="431">
        <v>750</v>
      </c>
      <c r="B7" s="429">
        <f t="shared" si="0"/>
        <v>1.3297872340425532E-3</v>
      </c>
      <c r="C7" s="432">
        <f t="shared" si="1"/>
        <v>1.0015229921712983</v>
      </c>
    </row>
    <row r="8" spans="1:3">
      <c r="A8" s="433">
        <v>1000</v>
      </c>
      <c r="B8" s="429">
        <f t="shared" si="0"/>
        <v>9.9800399201596798E-4</v>
      </c>
      <c r="C8" s="430">
        <f t="shared" si="1"/>
        <v>1.0302752163140028</v>
      </c>
    </row>
    <row r="9" spans="1:3">
      <c r="A9" s="433">
        <v>2500</v>
      </c>
      <c r="B9" s="429">
        <f t="shared" si="0"/>
        <v>3.996802557953637E-4</v>
      </c>
      <c r="C9" s="430">
        <f t="shared" si="1"/>
        <v>1.1176720395812854</v>
      </c>
    </row>
    <row r="10" spans="1:3">
      <c r="A10" s="95">
        <v>5000</v>
      </c>
      <c r="B10" s="434">
        <f t="shared" si="0"/>
        <v>1.9992003198720512E-4</v>
      </c>
      <c r="C10" s="435">
        <f t="shared" si="1"/>
        <v>1.1800631131884234</v>
      </c>
    </row>
    <row r="11" spans="1:3">
      <c r="A11" s="95">
        <f t="shared" ref="A11:A27" si="2">A10+2500</f>
        <v>7500</v>
      </c>
      <c r="B11" s="434">
        <f t="shared" si="0"/>
        <v>1.3329778725673153E-4</v>
      </c>
      <c r="C11" s="435">
        <f t="shared" si="1"/>
        <v>1.2152556266901025</v>
      </c>
    </row>
    <row r="12" spans="1:3">
      <c r="A12" s="95">
        <f t="shared" si="2"/>
        <v>10000</v>
      </c>
      <c r="B12" s="434">
        <f t="shared" si="0"/>
        <v>9.9980003999200156E-5</v>
      </c>
      <c r="C12" s="435">
        <f t="shared" si="1"/>
        <v>1.2396890015147763</v>
      </c>
    </row>
    <row r="13" spans="1:3">
      <c r="A13" s="95">
        <f t="shared" si="2"/>
        <v>12500</v>
      </c>
      <c r="B13" s="434">
        <f t="shared" si="0"/>
        <v>7.9987202047672367E-5</v>
      </c>
      <c r="C13" s="435">
        <f t="shared" si="1"/>
        <v>1.2583506068012396</v>
      </c>
    </row>
    <row r="14" spans="1:3">
      <c r="A14" s="95">
        <f t="shared" si="2"/>
        <v>15000</v>
      </c>
      <c r="B14" s="434">
        <f t="shared" si="0"/>
        <v>6.6657778962804954E-5</v>
      </c>
      <c r="C14" s="435">
        <f t="shared" si="1"/>
        <v>1.2734172322708339</v>
      </c>
    </row>
    <row r="15" spans="1:3">
      <c r="A15" s="95">
        <f t="shared" si="2"/>
        <v>17500</v>
      </c>
      <c r="B15" s="434">
        <f t="shared" si="0"/>
        <v>5.713632727688264E-5</v>
      </c>
      <c r="C15" s="435">
        <f t="shared" si="1"/>
        <v>1.2860327923579298</v>
      </c>
    </row>
    <row r="16" spans="1:3">
      <c r="A16" s="95">
        <f t="shared" si="2"/>
        <v>20000</v>
      </c>
      <c r="B16" s="434">
        <f t="shared" si="0"/>
        <v>4.9995000499950008E-5</v>
      </c>
      <c r="C16" s="435">
        <f t="shared" si="1"/>
        <v>1.2968720495473367</v>
      </c>
    </row>
    <row r="17" spans="1:9">
      <c r="A17" s="95">
        <f t="shared" si="2"/>
        <v>22500</v>
      </c>
      <c r="B17" s="434">
        <f t="shared" si="0"/>
        <v>4.4440494178295264E-5</v>
      </c>
      <c r="C17" s="435">
        <f t="shared" si="1"/>
        <v>1.3063659856970797</v>
      </c>
    </row>
    <row r="18" spans="1:9">
      <c r="A18" s="95">
        <f t="shared" si="2"/>
        <v>25000</v>
      </c>
      <c r="B18" s="434">
        <f t="shared" si="0"/>
        <v>3.9996800255979519E-5</v>
      </c>
      <c r="C18" s="435">
        <f t="shared" si="1"/>
        <v>1.3148064186352526</v>
      </c>
    </row>
    <row r="19" spans="1:9">
      <c r="A19" s="95">
        <f t="shared" si="2"/>
        <v>27500</v>
      </c>
      <c r="B19" s="434">
        <f t="shared" si="0"/>
        <v>3.6360991927859794E-5</v>
      </c>
      <c r="C19" s="435">
        <f t="shared" si="1"/>
        <v>1.3223999783750369</v>
      </c>
    </row>
    <row r="20" spans="1:9" s="414" customFormat="1">
      <c r="A20" s="95">
        <f t="shared" si="2"/>
        <v>30000</v>
      </c>
      <c r="B20" s="434">
        <f t="shared" si="0"/>
        <v>3.3331111259249382E-5</v>
      </c>
      <c r="C20" s="435">
        <f t="shared" si="1"/>
        <v>1.3292982520518992</v>
      </c>
    </row>
    <row r="21" spans="1:9" s="414" customFormat="1">
      <c r="A21" s="197">
        <f t="shared" si="2"/>
        <v>32500</v>
      </c>
      <c r="B21" s="434">
        <f t="shared" si="0"/>
        <v>3.076733739462187E-5</v>
      </c>
      <c r="C21" s="436">
        <f t="shared" si="1"/>
        <v>1.3356156933383012</v>
      </c>
      <c r="H21" s="282" t="s">
        <v>740</v>
      </c>
      <c r="I21" s="426">
        <f>ROUNDUP((1/(1-NORMSDIST(3*C3)))-2,0)</f>
        <v>0</v>
      </c>
    </row>
    <row r="22" spans="1:9">
      <c r="A22" s="95">
        <f t="shared" si="2"/>
        <v>35000</v>
      </c>
      <c r="B22" s="434">
        <f t="shared" si="0"/>
        <v>2.8569796011656476E-5</v>
      </c>
      <c r="C22" s="435">
        <f t="shared" si="1"/>
        <v>1.3414408047857045</v>
      </c>
    </row>
    <row r="23" spans="1:9">
      <c r="A23" s="95">
        <f t="shared" si="2"/>
        <v>37500</v>
      </c>
      <c r="B23" s="434">
        <f t="shared" si="0"/>
        <v>2.6665244520292252E-5</v>
      </c>
      <c r="C23" s="435">
        <f t="shared" si="1"/>
        <v>1.3468434112290406</v>
      </c>
    </row>
    <row r="24" spans="1:9">
      <c r="A24" s="95">
        <f t="shared" si="2"/>
        <v>40000</v>
      </c>
      <c r="B24" s="434">
        <f t="shared" si="0"/>
        <v>2.4998750062496874E-5</v>
      </c>
      <c r="C24" s="435">
        <f t="shared" si="1"/>
        <v>1.3518795555723362</v>
      </c>
    </row>
    <row r="25" spans="1:9">
      <c r="A25" s="95">
        <f t="shared" si="2"/>
        <v>42500</v>
      </c>
      <c r="B25" s="434">
        <f t="shared" si="0"/>
        <v>2.3528304550374102E-5</v>
      </c>
      <c r="C25" s="435">
        <f t="shared" si="1"/>
        <v>1.3565948915394965</v>
      </c>
    </row>
    <row r="26" spans="1:9">
      <c r="A26" s="95">
        <f t="shared" si="2"/>
        <v>45000</v>
      </c>
      <c r="B26" s="434">
        <f t="shared" si="0"/>
        <v>2.2221234611795031E-5</v>
      </c>
      <c r="C26" s="435">
        <f t="shared" si="1"/>
        <v>1.3610270946762963</v>
      </c>
    </row>
    <row r="27" spans="1:9">
      <c r="A27" s="95">
        <f t="shared" si="2"/>
        <v>47500</v>
      </c>
      <c r="B27" s="434">
        <f t="shared" si="0"/>
        <v>2.1051745189676224E-5</v>
      </c>
      <c r="C27" s="435">
        <f t="shared" si="1"/>
        <v>1.3652076134121678</v>
      </c>
    </row>
    <row r="28" spans="1:9">
      <c r="A28" s="95">
        <f>A26+2500</f>
        <v>47500</v>
      </c>
      <c r="B28" s="434">
        <f t="shared" si="0"/>
        <v>2.1051745189676224E-5</v>
      </c>
      <c r="C28" s="435">
        <f t="shared" si="1"/>
        <v>1.3652076134121678</v>
      </c>
    </row>
    <row r="29" spans="1:9">
      <c r="A29" s="437">
        <f>IF(I21&lt;0,"",I21)</f>
        <v>0</v>
      </c>
      <c r="B29" s="438">
        <f t="shared" si="0"/>
        <v>0.5</v>
      </c>
      <c r="C29" s="439">
        <f>C3</f>
        <v>0</v>
      </c>
    </row>
  </sheetData>
  <sheetProtection password="CC08" sheet="1" scenarios="1"/>
  <protectedRanges>
    <protectedRange sqref="C3" name="Range1"/>
  </protectedRanges>
  <phoneticPr fontId="5" type="noConversion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controls>
    <control shapeId="38914" r:id="rId4" name="MainMenu"/>
  </control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H21"/>
  <sheetViews>
    <sheetView workbookViewId="0">
      <selection activeCell="F2" sqref="F2"/>
    </sheetView>
  </sheetViews>
  <sheetFormatPr defaultColWidth="8" defaultRowHeight="12.75"/>
  <cols>
    <col min="1" max="16384" width="8" style="441"/>
  </cols>
  <sheetData>
    <row r="1" spans="1:8">
      <c r="A1" s="440" t="s">
        <v>620</v>
      </c>
      <c r="F1" s="442"/>
      <c r="G1" s="442"/>
      <c r="H1" s="443" t="s">
        <v>621</v>
      </c>
    </row>
    <row r="2" spans="1:8">
      <c r="A2" s="440"/>
    </row>
    <row r="3" spans="1:8">
      <c r="A3" s="440"/>
      <c r="B3" s="444" t="s">
        <v>201</v>
      </c>
      <c r="C3" s="951"/>
    </row>
    <row r="4" spans="1:8">
      <c r="A4" s="440"/>
      <c r="B4" s="444" t="s">
        <v>622</v>
      </c>
      <c r="C4" s="951"/>
    </row>
    <row r="5" spans="1:8">
      <c r="B5" s="445" t="s">
        <v>623</v>
      </c>
      <c r="C5" s="444" t="e">
        <f>AVERAGE(C3:C4)</f>
        <v>#DIV/0!</v>
      </c>
      <c r="E5" s="441" t="s">
        <v>741</v>
      </c>
    </row>
    <row r="6" spans="1:8">
      <c r="B6" s="445" t="s">
        <v>624</v>
      </c>
      <c r="C6" s="444" t="e">
        <f>1/C5</f>
        <v>#DIV/0!</v>
      </c>
    </row>
    <row r="7" spans="1:8">
      <c r="B7" s="444" t="s">
        <v>625</v>
      </c>
      <c r="C7" s="951"/>
      <c r="E7" s="446"/>
      <c r="G7" s="443"/>
    </row>
    <row r="8" spans="1:8">
      <c r="B8" s="444" t="s">
        <v>626</v>
      </c>
      <c r="C8" s="447" t="e">
        <f>1-EXP(-C7/C5)</f>
        <v>#DIV/0!</v>
      </c>
      <c r="F8" s="448"/>
      <c r="G8" s="443"/>
      <c r="H8" s="442"/>
    </row>
    <row r="9" spans="1:8">
      <c r="F9" s="448"/>
      <c r="H9" s="442"/>
    </row>
    <row r="10" spans="1:8">
      <c r="B10" s="444" t="s">
        <v>435</v>
      </c>
      <c r="C10" s="449" t="e">
        <f>1-C8</f>
        <v>#DIV/0!</v>
      </c>
      <c r="E10" s="441" t="s">
        <v>627</v>
      </c>
    </row>
    <row r="11" spans="1:8" ht="15.75">
      <c r="B11" s="444" t="s">
        <v>628</v>
      </c>
      <c r="C11" s="450" t="e">
        <f>C10*10^6</f>
        <v>#DIV/0!</v>
      </c>
      <c r="E11" s="441" t="s">
        <v>742</v>
      </c>
      <c r="G11" s="451"/>
      <c r="H11" s="442"/>
    </row>
    <row r="12" spans="1:8" ht="14.25">
      <c r="B12" s="444" t="s">
        <v>629</v>
      </c>
      <c r="C12" s="452" t="e">
        <f>C13/3</f>
        <v>#DIV/0!</v>
      </c>
      <c r="E12" s="441" t="s">
        <v>743</v>
      </c>
      <c r="G12" s="453"/>
    </row>
    <row r="13" spans="1:8" ht="14.25">
      <c r="A13" s="441" t="s">
        <v>630</v>
      </c>
      <c r="B13" s="444" t="s">
        <v>744</v>
      </c>
      <c r="C13" s="452" t="e">
        <f>NORMSINV(C8)</f>
        <v>#DIV/0!</v>
      </c>
      <c r="E13" s="441" t="s">
        <v>745</v>
      </c>
      <c r="G13" s="454"/>
    </row>
    <row r="14" spans="1:8">
      <c r="B14" s="444" t="s">
        <v>631</v>
      </c>
      <c r="C14" s="444" t="e">
        <f>C5+3.6*C5</f>
        <v>#DIV/0!</v>
      </c>
      <c r="E14" s="441" t="s">
        <v>746</v>
      </c>
      <c r="G14" s="443" t="s">
        <v>632</v>
      </c>
    </row>
    <row r="17" spans="2:7">
      <c r="B17" s="440" t="s">
        <v>633</v>
      </c>
      <c r="G17" s="442"/>
    </row>
    <row r="20" spans="2:7">
      <c r="B20" s="440" t="s">
        <v>634</v>
      </c>
    </row>
    <row r="21" spans="2:7">
      <c r="B21" s="441" t="s">
        <v>635</v>
      </c>
    </row>
  </sheetData>
  <sheetProtection password="CC08" sheet="1" objects="1" scenarios="1"/>
  <protectedRanges>
    <protectedRange sqref="C3:C4 C7" name="Range1"/>
  </protectedRanges>
  <phoneticPr fontId="5" type="noConversion"/>
  <pageMargins left="0.75" right="0.75" top="1" bottom="1" header="0.5" footer="0.5"/>
  <pageSetup orientation="landscape" r:id="rId1"/>
  <headerFooter alignWithMargins="0">
    <oddHeader>&amp;A</oddHeader>
    <oddFooter>Page &amp;P</oddFooter>
  </headerFooter>
  <drawing r:id="rId2"/>
  <legacyDrawing r:id="rId3"/>
  <oleObjects>
    <oleObject progId="Equation.2" shapeId="39937" r:id="rId4"/>
    <oleObject progId="Equation.2" shapeId="39939" r:id="rId5"/>
    <oleObject progId="Equation.2" shapeId="39940" r:id="rId6"/>
  </oleObjects>
  <controls>
    <control shapeId="39941" r:id="rId7" name="MainMenu"/>
  </control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B1:H21"/>
  <sheetViews>
    <sheetView showGridLines="0" workbookViewId="0"/>
  </sheetViews>
  <sheetFormatPr defaultRowHeight="12.75"/>
  <cols>
    <col min="1" max="16384" width="9.140625" style="43"/>
  </cols>
  <sheetData>
    <row r="1" spans="2:8">
      <c r="B1" s="43" t="s">
        <v>535</v>
      </c>
      <c r="G1" s="952"/>
      <c r="H1" s="410" t="s">
        <v>536</v>
      </c>
    </row>
    <row r="2" spans="2:8">
      <c r="G2" s="455"/>
    </row>
    <row r="3" spans="2:8">
      <c r="B3" s="43" t="s">
        <v>537</v>
      </c>
      <c r="G3" s="952"/>
      <c r="H3" s="410" t="s">
        <v>538</v>
      </c>
    </row>
    <row r="4" spans="2:8">
      <c r="C4" s="43" t="s">
        <v>539</v>
      </c>
      <c r="G4" s="455"/>
    </row>
    <row r="5" spans="2:8">
      <c r="C5" s="43" t="s">
        <v>540</v>
      </c>
      <c r="G5" s="455"/>
    </row>
    <row r="6" spans="2:8">
      <c r="G6" s="455"/>
    </row>
    <row r="7" spans="2:8">
      <c r="B7" s="43" t="s">
        <v>747</v>
      </c>
      <c r="G7" s="952"/>
      <c r="H7" s="410" t="s">
        <v>541</v>
      </c>
    </row>
    <row r="8" spans="2:8">
      <c r="G8" s="455"/>
    </row>
    <row r="9" spans="2:8">
      <c r="B9" s="43" t="s">
        <v>748</v>
      </c>
      <c r="G9" s="952"/>
      <c r="H9" s="410" t="s">
        <v>542</v>
      </c>
    </row>
    <row r="11" spans="2:8">
      <c r="B11" s="337" t="s">
        <v>543</v>
      </c>
      <c r="C11" s="456" t="e">
        <f>C13/G3</f>
        <v>#DIV/0!</v>
      </c>
      <c r="G11" s="43" t="s">
        <v>544</v>
      </c>
    </row>
    <row r="12" spans="2:8">
      <c r="B12" s="337"/>
      <c r="C12" s="337"/>
    </row>
    <row r="13" spans="2:8">
      <c r="B13" s="337" t="s">
        <v>545</v>
      </c>
      <c r="C13" s="456" t="e">
        <f>G7/G1</f>
        <v>#DIV/0!</v>
      </c>
    </row>
    <row r="14" spans="2:8">
      <c r="B14" s="337"/>
      <c r="C14" s="337"/>
    </row>
    <row r="15" spans="2:8">
      <c r="B15" s="337" t="s">
        <v>435</v>
      </c>
      <c r="C15" s="456" t="e">
        <f>IF(AND(G9="",G3&gt;29),1-EXP(-C13),IF(AND(G9="",G3&lt;29),1-((1-C11)^G3),IF(G9=0,0.7/G1,G9/G1)))</f>
        <v>#DIV/0!</v>
      </c>
    </row>
    <row r="17" spans="2:2">
      <c r="B17" s="43" t="s">
        <v>546</v>
      </c>
    </row>
    <row r="19" spans="2:2">
      <c r="B19" s="43" t="s">
        <v>547</v>
      </c>
    </row>
    <row r="21" spans="2:2">
      <c r="B21" s="43" t="s">
        <v>548</v>
      </c>
    </row>
  </sheetData>
  <sheetProtection password="CC08" sheet="1" objects="1" scenarios="1"/>
  <protectedRanges>
    <protectedRange sqref="G1 G3 G7 G9" name="Range1"/>
  </protectedRanges>
  <phoneticPr fontId="5" type="noConversion"/>
  <printOptions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legacyDrawing r:id="rId2"/>
  <oleObjects>
    <oleObject progId="Equation.2" shapeId="40961" r:id="rId3"/>
    <oleObject progId="Equation.2" shapeId="40962" r:id="rId4"/>
    <oleObject progId="Equation.2" shapeId="40963" r:id="rId5"/>
    <oleObject progId="Equation.2" shapeId="40964" r:id="rId6"/>
    <oleObject progId="Equation.2" shapeId="40965" r:id="rId7"/>
  </oleObjects>
  <controls>
    <control shapeId="40966" r:id="rId8" name="MainMenu"/>
  </control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K42"/>
  <sheetViews>
    <sheetView showGridLines="0" workbookViewId="0"/>
  </sheetViews>
  <sheetFormatPr defaultRowHeight="12.75"/>
  <cols>
    <col min="1" max="8" width="9.140625" style="43"/>
    <col min="9" max="9" width="10.42578125" style="43" customWidth="1"/>
    <col min="10" max="10" width="7.42578125" style="43" customWidth="1"/>
    <col min="11" max="16384" width="9.140625" style="43"/>
  </cols>
  <sheetData>
    <row r="1" spans="1:11">
      <c r="B1" s="337" t="s">
        <v>549</v>
      </c>
    </row>
    <row r="2" spans="1:11">
      <c r="B2" s="43" t="s">
        <v>749</v>
      </c>
    </row>
    <row r="3" spans="1:11">
      <c r="A3" s="457"/>
      <c r="B3" s="458" t="s">
        <v>550</v>
      </c>
      <c r="C3" s="458" t="s">
        <v>551</v>
      </c>
      <c r="D3" s="459" t="s">
        <v>552</v>
      </c>
      <c r="E3" s="307"/>
      <c r="F3" s="460"/>
      <c r="G3" s="460"/>
      <c r="H3" s="460"/>
      <c r="I3" s="460"/>
      <c r="J3" s="460"/>
      <c r="K3" s="460"/>
    </row>
    <row r="4" spans="1:11" ht="13.5">
      <c r="A4" s="461" t="s">
        <v>553</v>
      </c>
      <c r="B4" s="462" t="s">
        <v>750</v>
      </c>
      <c r="C4" s="463" t="s">
        <v>554</v>
      </c>
      <c r="D4" s="464" t="s">
        <v>555</v>
      </c>
      <c r="E4" s="493"/>
      <c r="F4" s="460"/>
      <c r="G4" s="460"/>
      <c r="H4" s="460"/>
      <c r="I4" s="460"/>
      <c r="J4" s="460"/>
      <c r="K4" s="460"/>
    </row>
    <row r="5" spans="1:11">
      <c r="A5" s="310">
        <v>1</v>
      </c>
      <c r="B5" s="493"/>
      <c r="C5" s="310"/>
      <c r="D5" s="70" t="s">
        <v>201</v>
      </c>
      <c r="E5" s="493"/>
      <c r="F5" s="460"/>
      <c r="G5" s="460"/>
      <c r="H5" s="460"/>
      <c r="I5" s="460"/>
      <c r="J5" s="460"/>
      <c r="K5" s="460"/>
    </row>
    <row r="6" spans="1:11">
      <c r="A6" s="310">
        <v>2</v>
      </c>
      <c r="B6" s="493"/>
      <c r="C6" s="310"/>
      <c r="D6" s="70" t="s">
        <v>154</v>
      </c>
      <c r="E6" s="493"/>
      <c r="F6" s="460"/>
      <c r="G6" s="460"/>
      <c r="H6" s="460"/>
      <c r="I6" s="460"/>
      <c r="J6" s="465"/>
      <c r="K6" s="460"/>
    </row>
    <row r="7" spans="1:11">
      <c r="A7" s="310">
        <v>3</v>
      </c>
      <c r="B7" s="493"/>
      <c r="C7" s="310"/>
      <c r="D7" s="70" t="s">
        <v>155</v>
      </c>
      <c r="E7" s="493"/>
      <c r="F7" s="460"/>
      <c r="G7" s="460"/>
      <c r="H7" s="460"/>
      <c r="I7" s="460"/>
      <c r="J7" s="460"/>
      <c r="K7" s="460"/>
    </row>
    <row r="8" spans="1:11">
      <c r="A8" s="310">
        <v>4</v>
      </c>
      <c r="B8" s="493"/>
      <c r="C8" s="310"/>
      <c r="D8" s="354"/>
      <c r="E8" s="44"/>
      <c r="F8" s="460"/>
      <c r="G8" s="460"/>
      <c r="H8" s="460"/>
      <c r="I8" s="460"/>
      <c r="J8" s="460"/>
      <c r="K8" s="460"/>
    </row>
    <row r="9" spans="1:11">
      <c r="A9" s="310">
        <v>5</v>
      </c>
      <c r="B9" s="493"/>
      <c r="C9" s="310"/>
      <c r="F9" s="460"/>
      <c r="G9" s="460"/>
      <c r="H9" s="460"/>
      <c r="I9" s="460"/>
      <c r="J9" s="460"/>
      <c r="K9" s="460"/>
    </row>
    <row r="10" spans="1:11">
      <c r="A10" s="310">
        <v>6</v>
      </c>
      <c r="B10" s="493"/>
      <c r="C10" s="310"/>
      <c r="F10" s="460"/>
      <c r="G10" s="460"/>
      <c r="H10" s="460"/>
      <c r="I10" s="460"/>
      <c r="J10" s="460"/>
      <c r="K10" s="460"/>
    </row>
    <row r="11" spans="1:11">
      <c r="A11" s="310">
        <v>7</v>
      </c>
      <c r="B11" s="493"/>
      <c r="C11" s="310"/>
      <c r="F11" s="460"/>
      <c r="G11" s="460"/>
      <c r="H11" s="460"/>
      <c r="I11" s="460"/>
      <c r="J11" s="460"/>
      <c r="K11" s="460"/>
    </row>
    <row r="12" spans="1:11">
      <c r="A12" s="310">
        <v>8</v>
      </c>
      <c r="B12" s="493"/>
      <c r="C12" s="310"/>
      <c r="E12" s="337" t="str">
        <f>IF(K12&lt;3,"dpo_i are roughly equal","dpo_i are roughly unequal")</f>
        <v>dpo_i are roughly equal</v>
      </c>
      <c r="H12" s="43" t="s">
        <v>556</v>
      </c>
      <c r="I12"/>
      <c r="J12"/>
      <c r="K12" s="466">
        <f>(MAX(B5:B34)-MIN(B5:B34))/0.1</f>
        <v>0</v>
      </c>
    </row>
    <row r="13" spans="1:11">
      <c r="A13" s="310">
        <v>9</v>
      </c>
      <c r="B13" s="493"/>
      <c r="C13" s="310"/>
      <c r="E13"/>
      <c r="F13"/>
      <c r="G13"/>
      <c r="H13"/>
      <c r="I13"/>
      <c r="J13"/>
      <c r="K13"/>
    </row>
    <row r="14" spans="1:11" ht="13.5">
      <c r="A14" s="310">
        <v>10</v>
      </c>
      <c r="B14" s="493"/>
      <c r="C14" s="310"/>
      <c r="E14" s="467" t="s">
        <v>557</v>
      </c>
      <c r="F14" s="468" t="s">
        <v>751</v>
      </c>
      <c r="I14" s="468"/>
    </row>
    <row r="15" spans="1:11">
      <c r="A15" s="310">
        <v>11</v>
      </c>
      <c r="B15" s="493"/>
      <c r="C15" s="310" t="str">
        <f t="shared" ref="C15:C34" si="0">IF(B15="","",(1-B15))</f>
        <v/>
      </c>
      <c r="E15" s="469" t="s">
        <v>558</v>
      </c>
      <c r="F15" s="470">
        <f>PRODUCT(C5:C34)</f>
        <v>0</v>
      </c>
    </row>
    <row r="16" spans="1:11">
      <c r="A16" s="310">
        <v>12</v>
      </c>
      <c r="B16" s="493"/>
      <c r="C16" s="310" t="str">
        <f t="shared" si="0"/>
        <v/>
      </c>
      <c r="E16" s="469" t="s">
        <v>559</v>
      </c>
      <c r="F16" s="471">
        <f>1-F15</f>
        <v>1</v>
      </c>
      <c r="H16" s="43" t="s">
        <v>560</v>
      </c>
      <c r="J16"/>
    </row>
    <row r="17" spans="1:11">
      <c r="A17" s="310">
        <v>13</v>
      </c>
      <c r="B17" s="493"/>
      <c r="C17" s="310" t="str">
        <f t="shared" si="0"/>
        <v/>
      </c>
      <c r="E17" s="469" t="s">
        <v>507</v>
      </c>
      <c r="F17" s="472">
        <f>F16*10^6</f>
        <v>1000000</v>
      </c>
    </row>
    <row r="18" spans="1:11">
      <c r="A18" s="310">
        <v>14</v>
      </c>
      <c r="B18" s="493"/>
      <c r="C18" s="310" t="str">
        <f t="shared" si="0"/>
        <v/>
      </c>
      <c r="E18" s="469" t="s">
        <v>522</v>
      </c>
      <c r="F18" s="473" t="e">
        <f>NORMSINV(1-F16)</f>
        <v>#NUM!</v>
      </c>
      <c r="H18"/>
    </row>
    <row r="19" spans="1:11">
      <c r="A19" s="310">
        <v>15</v>
      </c>
      <c r="B19" s="493"/>
      <c r="C19" s="310" t="str">
        <f t="shared" si="0"/>
        <v/>
      </c>
      <c r="H19"/>
    </row>
    <row r="20" spans="1:11">
      <c r="A20" s="310">
        <v>16</v>
      </c>
      <c r="B20" s="493"/>
      <c r="C20" s="310"/>
    </row>
    <row r="21" spans="1:11" ht="13.5">
      <c r="A21" s="310">
        <v>17</v>
      </c>
      <c r="B21" s="493"/>
      <c r="C21" s="310" t="str">
        <f t="shared" si="0"/>
        <v/>
      </c>
      <c r="E21" s="467" t="s">
        <v>557</v>
      </c>
      <c r="F21" s="468" t="s">
        <v>752</v>
      </c>
      <c r="G21"/>
      <c r="H21"/>
      <c r="I21"/>
    </row>
    <row r="22" spans="1:11">
      <c r="A22" s="310">
        <v>18</v>
      </c>
      <c r="B22" s="493"/>
      <c r="C22" s="310" t="str">
        <f t="shared" si="0"/>
        <v/>
      </c>
      <c r="E22" s="469" t="s">
        <v>518</v>
      </c>
      <c r="F22" s="471" t="e">
        <f>AVERAGE(B5:B34)</f>
        <v>#DIV/0!</v>
      </c>
      <c r="H22" s="43" t="s">
        <v>561</v>
      </c>
    </row>
    <row r="23" spans="1:11">
      <c r="A23" s="310">
        <v>19</v>
      </c>
      <c r="B23" s="493"/>
      <c r="C23" s="310" t="str">
        <f t="shared" si="0"/>
        <v/>
      </c>
      <c r="E23" s="469" t="s">
        <v>558</v>
      </c>
      <c r="F23" s="470" t="e">
        <f>(1-F22)^(COUNT(B5:B34))</f>
        <v>#DIV/0!</v>
      </c>
      <c r="G23"/>
      <c r="H23"/>
      <c r="I23"/>
    </row>
    <row r="24" spans="1:11">
      <c r="A24" s="310">
        <v>20</v>
      </c>
      <c r="B24" s="493"/>
      <c r="C24" s="310" t="str">
        <f t="shared" si="0"/>
        <v/>
      </c>
      <c r="E24" s="469" t="s">
        <v>559</v>
      </c>
      <c r="F24" s="471" t="e">
        <f>1-F23</f>
        <v>#DIV/0!</v>
      </c>
      <c r="G24"/>
      <c r="H24"/>
      <c r="I24"/>
    </row>
    <row r="25" spans="1:11">
      <c r="A25" s="310">
        <v>21</v>
      </c>
      <c r="B25" s="493"/>
      <c r="C25" s="310" t="str">
        <f t="shared" si="0"/>
        <v/>
      </c>
      <c r="E25" s="469" t="s">
        <v>507</v>
      </c>
      <c r="F25" s="472" t="e">
        <f>F24*10^6</f>
        <v>#DIV/0!</v>
      </c>
      <c r="G25"/>
      <c r="H25"/>
      <c r="I25"/>
    </row>
    <row r="26" spans="1:11">
      <c r="A26" s="310">
        <v>22</v>
      </c>
      <c r="B26" s="493"/>
      <c r="C26" s="310" t="str">
        <f t="shared" si="0"/>
        <v/>
      </c>
      <c r="E26" s="469" t="s">
        <v>522</v>
      </c>
      <c r="F26" s="473" t="e">
        <f>NORMSINV(1-F24)</f>
        <v>#DIV/0!</v>
      </c>
    </row>
    <row r="27" spans="1:11">
      <c r="A27" s="310">
        <v>23</v>
      </c>
      <c r="B27" s="493"/>
      <c r="C27" s="310" t="str">
        <f t="shared" si="0"/>
        <v/>
      </c>
    </row>
    <row r="28" spans="1:11" ht="13.5">
      <c r="A28" s="310">
        <v>24</v>
      </c>
      <c r="B28" s="493"/>
      <c r="C28" s="310" t="str">
        <f t="shared" si="0"/>
        <v/>
      </c>
      <c r="E28" s="467" t="s">
        <v>562</v>
      </c>
      <c r="F28" s="468" t="s">
        <v>563</v>
      </c>
      <c r="I28"/>
      <c r="J28" s="468"/>
      <c r="K28" s="474" t="s">
        <v>564</v>
      </c>
    </row>
    <row r="29" spans="1:11" ht="14.25">
      <c r="A29" s="310">
        <v>25</v>
      </c>
      <c r="B29" s="493"/>
      <c r="C29" s="310" t="str">
        <f t="shared" si="0"/>
        <v/>
      </c>
      <c r="E29" s="469" t="s">
        <v>565</v>
      </c>
      <c r="F29" s="471" t="e">
        <f>F30*(COUNT(B5:B34))</f>
        <v>#DIV/0!</v>
      </c>
      <c r="H29" s="43" t="s">
        <v>566</v>
      </c>
      <c r="J29" s="475" t="e">
        <f>(NORMSINV(1-(((1-NORMSDIST(3*J32))*10^6+(1-NORMSDIST(3*J31))*10^6)/10^6)))/3</f>
        <v>#DIV/0!</v>
      </c>
      <c r="K29" s="476" t="s">
        <v>753</v>
      </c>
    </row>
    <row r="30" spans="1:11">
      <c r="A30" s="310">
        <v>26</v>
      </c>
      <c r="B30" s="493"/>
      <c r="C30" s="310" t="str">
        <f t="shared" si="0"/>
        <v/>
      </c>
      <c r="E30" s="469" t="s">
        <v>518</v>
      </c>
      <c r="F30" s="477" t="e">
        <f>1-(NORMSDIST((3*J29)))</f>
        <v>#DIV/0!</v>
      </c>
      <c r="H30" s="377" t="s">
        <v>754</v>
      </c>
      <c r="J30" s="408" t="e">
        <f>MIN(J31:J32)</f>
        <v>#DIV/0!</v>
      </c>
      <c r="K30" s="43" t="s">
        <v>567</v>
      </c>
    </row>
    <row r="31" spans="1:11">
      <c r="A31" s="310">
        <v>27</v>
      </c>
      <c r="B31" s="493"/>
      <c r="C31" s="310" t="str">
        <f t="shared" si="0"/>
        <v/>
      </c>
      <c r="E31" s="469" t="s">
        <v>558</v>
      </c>
      <c r="F31" s="478" t="e">
        <f>1-F32</f>
        <v>#DIV/0!</v>
      </c>
      <c r="J31" s="408" t="e">
        <f>(E7-E5)/(3*E4)</f>
        <v>#DIV/0!</v>
      </c>
      <c r="K31" s="43" t="s">
        <v>568</v>
      </c>
    </row>
    <row r="32" spans="1:11">
      <c r="A32" s="310">
        <v>28</v>
      </c>
      <c r="B32" s="493"/>
      <c r="C32" s="310" t="str">
        <f t="shared" si="0"/>
        <v/>
      </c>
      <c r="E32" s="469" t="s">
        <v>559</v>
      </c>
      <c r="F32" s="471" t="e">
        <f>1-(EXP(-F29))</f>
        <v>#DIV/0!</v>
      </c>
      <c r="J32" s="408" t="e">
        <f>(E5-E6)/(3*E4)</f>
        <v>#DIV/0!</v>
      </c>
      <c r="K32" s="43" t="s">
        <v>569</v>
      </c>
    </row>
    <row r="33" spans="1:9">
      <c r="A33" s="310">
        <v>29</v>
      </c>
      <c r="B33" s="493"/>
      <c r="C33" s="310" t="str">
        <f t="shared" si="0"/>
        <v/>
      </c>
      <c r="E33" s="469" t="s">
        <v>507</v>
      </c>
      <c r="F33" s="472" t="e">
        <f>F32*10^6</f>
        <v>#DIV/0!</v>
      </c>
      <c r="H33"/>
      <c r="I33"/>
    </row>
    <row r="34" spans="1:9">
      <c r="A34" s="310">
        <v>30</v>
      </c>
      <c r="B34" s="493"/>
      <c r="C34" s="310" t="str">
        <f t="shared" si="0"/>
        <v/>
      </c>
      <c r="E34" s="469" t="s">
        <v>522</v>
      </c>
      <c r="F34" s="473" t="e">
        <f>NORMSINV(1-F32)</f>
        <v>#DIV/0!</v>
      </c>
      <c r="H34" s="377" t="s">
        <v>570</v>
      </c>
    </row>
    <row r="39" spans="1:9">
      <c r="F39" s="410"/>
    </row>
    <row r="40" spans="1:9">
      <c r="E40" s="412"/>
    </row>
    <row r="41" spans="1:9">
      <c r="E41" s="479"/>
    </row>
    <row r="42" spans="1:9">
      <c r="E42" s="408"/>
    </row>
  </sheetData>
  <sheetProtection password="CC08" sheet="1" objects="1" scenarios="1"/>
  <protectedRanges>
    <protectedRange sqref="B5:C34 E4:E7" name="Range1"/>
  </protectedRanges>
  <phoneticPr fontId="5" type="noConversion"/>
  <printOptions gridLinesSet="0"/>
  <pageMargins left="0.75" right="0.75" top="1" bottom="1" header="0.5" footer="0.5"/>
  <pageSetup orientation="landscape" r:id="rId1"/>
  <headerFooter alignWithMargins="0">
    <oddHeader>&amp;A</oddHeader>
    <oddFooter>Page &amp;P</oddFooter>
  </headerFooter>
  <drawing r:id="rId2"/>
  <legacyDrawing r:id="rId3"/>
  <oleObjects>
    <oleObject progId="Equation.2" shapeId="41985" r:id="rId4"/>
    <oleObject progId="Equation.2" shapeId="41986" r:id="rId5"/>
    <oleObject progId="Equation.2" shapeId="41987" r:id="rId6"/>
    <oleObject progId="Equation.2" shapeId="41988" r:id="rId7"/>
    <oleObject progId="Equation.2" shapeId="41989" r:id="rId8"/>
    <oleObject progId="Equation.2" shapeId="41991" r:id="rId9"/>
    <oleObject progId="Equation.2" shapeId="41992" r:id="rId10"/>
  </oleObjects>
  <controls>
    <control shapeId="41993" r:id="rId11" name="MainMenu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5">
    <pageSetUpPr fitToPage="1"/>
  </sheetPr>
  <dimension ref="A1:J69"/>
  <sheetViews>
    <sheetView showGridLines="0" workbookViewId="0"/>
  </sheetViews>
  <sheetFormatPr defaultRowHeight="12.75"/>
  <cols>
    <col min="1" max="1" width="10" style="43" customWidth="1"/>
    <col min="2" max="16384" width="9.140625" style="43"/>
  </cols>
  <sheetData>
    <row r="1" spans="1:8">
      <c r="A1" s="337" t="s">
        <v>571</v>
      </c>
      <c r="B1" s="43" t="s">
        <v>572</v>
      </c>
      <c r="G1" s="418" t="s">
        <v>573</v>
      </c>
      <c r="H1" s="337" t="s">
        <v>574</v>
      </c>
    </row>
    <row r="2" spans="1:8">
      <c r="A2" s="337" t="s">
        <v>575</v>
      </c>
      <c r="B2" s="43" t="s">
        <v>576</v>
      </c>
      <c r="G2" s="418" t="s">
        <v>577</v>
      </c>
      <c r="H2" s="337" t="s">
        <v>578</v>
      </c>
    </row>
    <row r="3" spans="1:8" ht="14.25">
      <c r="G3" s="418" t="s">
        <v>755</v>
      </c>
      <c r="H3" s="337" t="s">
        <v>579</v>
      </c>
    </row>
    <row r="4" spans="1:8">
      <c r="G4" s="418" t="s">
        <v>580</v>
      </c>
      <c r="H4" s="337" t="s">
        <v>581</v>
      </c>
    </row>
    <row r="5" spans="1:8" ht="13.5">
      <c r="A5" s="337" t="s">
        <v>756</v>
      </c>
    </row>
    <row r="6" spans="1:8" ht="14.25">
      <c r="A6" s="43" t="s">
        <v>757</v>
      </c>
    </row>
    <row r="8" spans="1:8">
      <c r="A8" s="418" t="s">
        <v>582</v>
      </c>
      <c r="B8" s="337" t="s">
        <v>583</v>
      </c>
    </row>
    <row r="9" spans="1:8">
      <c r="A9" s="457"/>
      <c r="B9" s="476" t="s">
        <v>584</v>
      </c>
    </row>
    <row r="10" spans="1:8">
      <c r="A10" s="418"/>
      <c r="B10" s="337"/>
    </row>
    <row r="11" spans="1:8">
      <c r="A11" s="418"/>
      <c r="B11" s="43" t="s">
        <v>758</v>
      </c>
    </row>
    <row r="12" spans="1:8">
      <c r="A12" s="418"/>
      <c r="B12" s="43" t="s">
        <v>585</v>
      </c>
    </row>
    <row r="13" spans="1:8" ht="13.5">
      <c r="A13" s="418"/>
      <c r="B13" s="337" t="s">
        <v>759</v>
      </c>
    </row>
    <row r="14" spans="1:8">
      <c r="A14" s="46"/>
    </row>
    <row r="15" spans="1:8">
      <c r="A15" s="418" t="s">
        <v>586</v>
      </c>
      <c r="B15" s="337" t="s">
        <v>587</v>
      </c>
    </row>
    <row r="16" spans="1:8">
      <c r="A16" s="457"/>
      <c r="B16" s="43" t="s">
        <v>588</v>
      </c>
    </row>
    <row r="17" spans="1:4">
      <c r="A17" s="46"/>
      <c r="B17" s="43" t="s">
        <v>589</v>
      </c>
    </row>
    <row r="18" spans="1:4">
      <c r="A18" s="46"/>
    </row>
    <row r="19" spans="1:4">
      <c r="A19" s="46"/>
    </row>
    <row r="20" spans="1:4">
      <c r="A20" s="46"/>
    </row>
    <row r="21" spans="1:4">
      <c r="A21" s="418" t="s">
        <v>590</v>
      </c>
      <c r="B21" s="337" t="s">
        <v>591</v>
      </c>
    </row>
    <row r="22" spans="1:4">
      <c r="A22" s="457"/>
      <c r="B22" s="43" t="s">
        <v>592</v>
      </c>
    </row>
    <row r="23" spans="1:4">
      <c r="B23" s="43" t="s">
        <v>593</v>
      </c>
    </row>
    <row r="24" spans="1:4">
      <c r="C24" s="43" t="s">
        <v>594</v>
      </c>
    </row>
    <row r="25" spans="1:4">
      <c r="C25" s="43" t="s">
        <v>595</v>
      </c>
    </row>
    <row r="26" spans="1:4">
      <c r="C26" s="43" t="s">
        <v>666</v>
      </c>
    </row>
    <row r="27" spans="1:4">
      <c r="B27" s="43" t="s">
        <v>584</v>
      </c>
    </row>
    <row r="28" spans="1:4">
      <c r="B28"/>
    </row>
    <row r="29" spans="1:4">
      <c r="B29" s="46" t="s">
        <v>596</v>
      </c>
      <c r="C29" s="43" t="s">
        <v>597</v>
      </c>
    </row>
    <row r="30" spans="1:4">
      <c r="C30" s="43" t="s">
        <v>598</v>
      </c>
    </row>
    <row r="32" spans="1:4">
      <c r="D32" s="43" t="s">
        <v>599</v>
      </c>
    </row>
    <row r="34" spans="2:8">
      <c r="E34" s="43" t="s">
        <v>600</v>
      </c>
      <c r="F34" s="43" t="s">
        <v>606</v>
      </c>
    </row>
    <row r="35" spans="2:8">
      <c r="E35"/>
      <c r="F35" s="43" t="s">
        <v>601</v>
      </c>
    </row>
    <row r="37" spans="2:8">
      <c r="D37" s="43" t="s">
        <v>602</v>
      </c>
    </row>
    <row r="39" spans="2:8">
      <c r="D39" s="43" t="s">
        <v>603</v>
      </c>
      <c r="G39"/>
      <c r="H39" s="43" t="s">
        <v>560</v>
      </c>
    </row>
    <row r="41" spans="2:8">
      <c r="B41" s="46" t="s">
        <v>604</v>
      </c>
      <c r="C41" s="43" t="s">
        <v>760</v>
      </c>
    </row>
    <row r="42" spans="2:8">
      <c r="C42" s="43" t="s">
        <v>598</v>
      </c>
    </row>
    <row r="44" spans="2:8">
      <c r="D44" s="43" t="s">
        <v>605</v>
      </c>
    </row>
    <row r="46" spans="2:8">
      <c r="E46" s="43" t="s">
        <v>600</v>
      </c>
      <c r="F46" s="43" t="s">
        <v>606</v>
      </c>
    </row>
    <row r="47" spans="2:8">
      <c r="E47"/>
      <c r="F47" s="43" t="s">
        <v>607</v>
      </c>
    </row>
    <row r="49" spans="1:10">
      <c r="D49" s="43" t="s">
        <v>608</v>
      </c>
    </row>
    <row r="51" spans="1:10">
      <c r="D51" s="43" t="s">
        <v>609</v>
      </c>
    </row>
    <row r="53" spans="1:10">
      <c r="D53" s="43" t="s">
        <v>603</v>
      </c>
      <c r="G53"/>
      <c r="H53" s="43" t="s">
        <v>560</v>
      </c>
    </row>
    <row r="55" spans="1:10">
      <c r="B55" s="43" t="s">
        <v>610</v>
      </c>
    </row>
    <row r="56" spans="1:10">
      <c r="B56" s="46" t="s">
        <v>596</v>
      </c>
      <c r="C56" s="43" t="s">
        <v>611</v>
      </c>
    </row>
    <row r="57" spans="1:10">
      <c r="C57" s="43" t="s">
        <v>598</v>
      </c>
    </row>
    <row r="58" spans="1:10">
      <c r="J58"/>
    </row>
    <row r="59" spans="1:10">
      <c r="D59"/>
      <c r="J59"/>
    </row>
    <row r="60" spans="1:10">
      <c r="F60" s="377"/>
    </row>
    <row r="62" spans="1:10">
      <c r="A62" s="337" t="s">
        <v>612</v>
      </c>
      <c r="B62" s="337" t="s">
        <v>613</v>
      </c>
    </row>
    <row r="63" spans="1:10">
      <c r="B63" s="337" t="s">
        <v>614</v>
      </c>
    </row>
    <row r="64" spans="1:10">
      <c r="B64" s="337" t="s">
        <v>615</v>
      </c>
    </row>
    <row r="65" spans="2:2" ht="13.5">
      <c r="B65" s="337" t="s">
        <v>761</v>
      </c>
    </row>
    <row r="66" spans="2:2">
      <c r="B66" s="337" t="s">
        <v>616</v>
      </c>
    </row>
    <row r="67" spans="2:2">
      <c r="B67" s="337" t="s">
        <v>617</v>
      </c>
    </row>
    <row r="68" spans="2:2">
      <c r="B68" s="337" t="s">
        <v>618</v>
      </c>
    </row>
    <row r="69" spans="2:2">
      <c r="B69" s="337" t="s">
        <v>619</v>
      </c>
    </row>
  </sheetData>
  <sheetProtection password="CC08" sheet="1" objects="1" scenarios="1"/>
  <phoneticPr fontId="5" type="noConversion"/>
  <pageMargins left="0.75" right="0.75" top="1" bottom="1" header="0.5" footer="0.5"/>
  <pageSetup scale="71" orientation="portrait" r:id="rId1"/>
  <headerFooter alignWithMargins="0">
    <oddHeader>&amp;A</oddHeader>
    <oddFooter>Page &amp;P</oddFooter>
  </headerFooter>
  <drawing r:id="rId2"/>
  <legacyDrawing r:id="rId3"/>
  <oleObjects>
    <oleObject progId="Equation.2" shapeId="43009" r:id="rId4"/>
    <oleObject progId="Equation.2" shapeId="43010" r:id="rId5"/>
    <oleObject progId="Equation.2" shapeId="43011" r:id="rId6"/>
    <oleObject progId="Equation.2" shapeId="43012" r:id="rId7"/>
    <oleObject progId="Equation.2" shapeId="43013" r:id="rId8"/>
    <oleObject progId="Equation.2" shapeId="43014" r:id="rId9"/>
    <oleObject progId="Equation.2" shapeId="43015" r:id="rId10"/>
    <oleObject progId="Equation.2" shapeId="43016" r:id="rId11"/>
    <oleObject progId="Equation.2" shapeId="43017" r:id="rId12"/>
    <oleObject progId="Equation.2" shapeId="43018" r:id="rId13"/>
    <oleObject progId="Equation.2" shapeId="43019" r:id="rId14"/>
    <oleObject progId="Equation.2" shapeId="43020" r:id="rId15"/>
    <oleObject progId="Equation.2" shapeId="43021" r:id="rId16"/>
    <oleObject progId="Equation.2" shapeId="43022" r:id="rId17"/>
    <oleObject progId="Equation.2" shapeId="43023" r:id="rId18"/>
  </oleObjects>
  <controls>
    <control shapeId="43025" r:id="rId19" name="MianMenu"/>
  </controls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6"/>
  <dimension ref="A1:E4"/>
  <sheetViews>
    <sheetView workbookViewId="0"/>
  </sheetViews>
  <sheetFormatPr defaultRowHeight="12.75"/>
  <cols>
    <col min="4" max="4" width="12.42578125" bestFit="1" customWidth="1"/>
  </cols>
  <sheetData>
    <row r="1" spans="1:5">
      <c r="D1" s="269" t="s">
        <v>701</v>
      </c>
      <c r="E1" s="269" t="s">
        <v>702</v>
      </c>
    </row>
    <row r="2" spans="1:5">
      <c r="A2" s="480" t="s">
        <v>703</v>
      </c>
      <c r="B2" s="278"/>
      <c r="D2" s="109" t="e">
        <f>IF(B4-(1.96*SQRT((B4*(1-B4))/B2))&lt;0,0,B4-(1.96*SQRT((B4*(1-B4))/B2)))</f>
        <v>#DIV/0!</v>
      </c>
      <c r="E2" s="109" t="e">
        <f>B4+(1.96*SQRT((B4*(1-B4))/B2))</f>
        <v>#DIV/0!</v>
      </c>
    </row>
    <row r="3" spans="1:5">
      <c r="A3" s="480" t="s">
        <v>704</v>
      </c>
      <c r="B3" s="278"/>
    </row>
    <row r="4" spans="1:5">
      <c r="A4" s="480" t="s">
        <v>705</v>
      </c>
      <c r="B4" s="95" t="e">
        <f>B3/B2</f>
        <v>#DIV/0!</v>
      </c>
    </row>
  </sheetData>
  <sheetProtection password="CC08" sheet="1" objects="1" scenarios="1"/>
  <protectedRanges>
    <protectedRange sqref="B2:B3" name="Range1"/>
  </protectedRanges>
  <phoneticPr fontId="5" type="noConversion"/>
  <pageMargins left="0.75" right="0.75" top="1" bottom="1" header="0.5" footer="0.5"/>
  <pageSetup orientation="portrait" horizontalDpi="4294967294" verticalDpi="0" r:id="rId1"/>
  <headerFooter alignWithMargins="0"/>
  <legacyDrawing r:id="rId2"/>
  <controls>
    <control shapeId="88065" r:id="rId3" name="MainMenu"/>
  </controls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7"/>
  <dimension ref="A1:AB868"/>
  <sheetViews>
    <sheetView showGridLines="0" workbookViewId="0">
      <selection activeCell="H2" sqref="H2"/>
    </sheetView>
  </sheetViews>
  <sheetFormatPr defaultRowHeight="12.75"/>
  <cols>
    <col min="1" max="1" width="19.42578125" style="455" customWidth="1"/>
    <col min="2" max="7" width="9" style="455" customWidth="1"/>
    <col min="8" max="8" width="9" style="484" customWidth="1"/>
    <col min="9" max="16" width="9.140625" style="455"/>
    <col min="17" max="17" width="9" style="455" customWidth="1"/>
    <col min="18" max="16384" width="9.140625" style="455"/>
  </cols>
  <sheetData>
    <row r="1" spans="1:28" ht="15.75">
      <c r="A1" s="481" t="str">
        <f>"Assembly - Disassembly Trend Analysis "&amp;"For "&amp;B3</f>
        <v xml:space="preserve">Assembly - Disassembly Trend Analysis For </v>
      </c>
      <c r="B1" s="482"/>
      <c r="C1" s="482"/>
      <c r="D1" s="482"/>
      <c r="E1" s="482"/>
      <c r="F1" s="482"/>
      <c r="G1" s="482"/>
      <c r="H1" s="483"/>
      <c r="V1" s="1523" t="str">
        <f>IF(B3="","",A1)</f>
        <v/>
      </c>
      <c r="W1" s="1523"/>
      <c r="X1" s="1523"/>
      <c r="Y1" s="1523"/>
      <c r="Z1" s="1523"/>
      <c r="AA1" s="1523"/>
      <c r="AB1" s="1523"/>
    </row>
    <row r="2" spans="1:28">
      <c r="V2" s="1524" t="str">
        <f>IF(B4="","","The Y = "&amp;B4)</f>
        <v/>
      </c>
      <c r="W2" s="1524"/>
      <c r="X2" s="1524"/>
      <c r="Y2" s="1524"/>
      <c r="Z2" s="1524"/>
      <c r="AA2" s="1524"/>
      <c r="AB2" s="1524"/>
    </row>
    <row r="3" spans="1:28">
      <c r="A3" s="486" t="s">
        <v>762</v>
      </c>
      <c r="B3" s="487"/>
      <c r="C3" s="488"/>
      <c r="D3" s="488"/>
      <c r="E3" s="489"/>
      <c r="F3" s="486" t="s">
        <v>763</v>
      </c>
      <c r="G3" s="487"/>
      <c r="H3" s="489"/>
    </row>
    <row r="4" spans="1:28">
      <c r="A4" s="486" t="s">
        <v>445</v>
      </c>
      <c r="B4" s="490"/>
      <c r="C4" s="491"/>
      <c r="D4" s="491"/>
      <c r="E4" s="492"/>
      <c r="F4" s="486" t="s">
        <v>764</v>
      </c>
      <c r="G4" s="493"/>
      <c r="Y4" s="485" t="str">
        <f>IF(G3="","",G3)</f>
        <v/>
      </c>
    </row>
    <row r="5" spans="1:28">
      <c r="E5" s="43"/>
      <c r="F5" s="43"/>
      <c r="G5" s="43"/>
      <c r="Y5" s="485" t="str">
        <f>IF(G4="","",G4)</f>
        <v/>
      </c>
    </row>
    <row r="6" spans="1:28">
      <c r="B6" s="1521" t="s">
        <v>765</v>
      </c>
      <c r="C6" s="1522"/>
      <c r="E6" s="43"/>
      <c r="F6" s="43"/>
      <c r="G6" s="43"/>
    </row>
    <row r="7" spans="1:28" ht="13.5" thickBot="1">
      <c r="B7" s="494" t="s">
        <v>766</v>
      </c>
      <c r="C7" s="494" t="s">
        <v>767</v>
      </c>
      <c r="E7" s="486" t="s">
        <v>703</v>
      </c>
      <c r="F7" s="495" t="str">
        <f>IF(B8="","",COUNT(B8:B13))</f>
        <v/>
      </c>
      <c r="G7" s="43"/>
    </row>
    <row r="8" spans="1:28" ht="13.5" thickTop="1">
      <c r="A8" s="496">
        <v>1</v>
      </c>
      <c r="B8" s="497"/>
      <c r="C8" s="497"/>
      <c r="E8" s="46" t="s">
        <v>768</v>
      </c>
      <c r="F8" s="495" t="e">
        <f>AVERAGE(B14:C14)</f>
        <v>#DIV/0!</v>
      </c>
      <c r="G8" s="43"/>
      <c r="H8" s="455"/>
    </row>
    <row r="9" spans="1:28" ht="14.25">
      <c r="A9" s="496">
        <v>2</v>
      </c>
      <c r="B9" s="498"/>
      <c r="C9" s="498"/>
      <c r="E9" s="486" t="s">
        <v>784</v>
      </c>
      <c r="F9" s="499" t="e">
        <f>VLOOKUP(F7,'Factor Tables'!A57:C61,2,FALSE)</f>
        <v>#N/A</v>
      </c>
      <c r="G9" s="43"/>
      <c r="H9" s="455"/>
    </row>
    <row r="10" spans="1:28" ht="15.75">
      <c r="A10" s="496">
        <v>3</v>
      </c>
      <c r="B10" s="498"/>
      <c r="C10" s="498"/>
      <c r="D10" s="500"/>
      <c r="E10" s="501" t="s">
        <v>785</v>
      </c>
      <c r="F10" s="499" t="e">
        <f>VLOOKUP(F7,'Factor Tables'!A57:C61,3,FALSE)</f>
        <v>#N/A</v>
      </c>
    </row>
    <row r="11" spans="1:28">
      <c r="A11" s="496">
        <v>4</v>
      </c>
      <c r="B11" s="498"/>
      <c r="C11" s="498"/>
      <c r="D11" s="500"/>
      <c r="E11" s="486" t="s">
        <v>769</v>
      </c>
      <c r="F11" s="499" t="str">
        <f>IF(B8="","",F8/F10)</f>
        <v/>
      </c>
    </row>
    <row r="12" spans="1:28" ht="15.75">
      <c r="A12" s="496">
        <v>5</v>
      </c>
      <c r="B12" s="498"/>
      <c r="C12" s="498"/>
      <c r="D12" s="500"/>
      <c r="E12" s="502" t="s">
        <v>786</v>
      </c>
      <c r="F12" s="499" t="str">
        <f>IF(B8="","",F11/SQRT(F7))</f>
        <v/>
      </c>
    </row>
    <row r="13" spans="1:28" ht="13.5" thickBot="1">
      <c r="A13" s="496">
        <v>6</v>
      </c>
      <c r="B13" s="503"/>
      <c r="C13" s="503"/>
      <c r="D13" s="500"/>
      <c r="E13" s="486" t="s">
        <v>770</v>
      </c>
      <c r="F13" s="499" t="str">
        <f>IF(B8="","",ROUNDUP((1.8*(F7-1)),0))</f>
        <v/>
      </c>
      <c r="G13"/>
      <c r="H13"/>
      <c r="I13"/>
    </row>
    <row r="14" spans="1:28" ht="13.5" thickTop="1">
      <c r="A14" s="504" t="s">
        <v>117</v>
      </c>
      <c r="B14" s="505" t="str">
        <f>IF(B8="","",MAX(B8:B13)-MIN(B8:B13))</f>
        <v/>
      </c>
      <c r="C14" s="505" t="str">
        <f>IF(B8="","",MAX(C8:C13)-MIN(C8:C13))</f>
        <v/>
      </c>
      <c r="E14" s="486" t="s">
        <v>787</v>
      </c>
      <c r="F14" s="499" t="e">
        <f>VLOOKUP(F7,'Factor Tables'!A15:D19,3,FALSE)</f>
        <v>#N/A</v>
      </c>
      <c r="G14"/>
      <c r="H14"/>
      <c r="I14"/>
    </row>
    <row r="15" spans="1:28">
      <c r="F15"/>
      <c r="G15"/>
      <c r="H15"/>
      <c r="I15"/>
    </row>
    <row r="16" spans="1:28">
      <c r="A16" s="496"/>
      <c r="B16" s="506"/>
    </row>
    <row r="17" spans="1:19">
      <c r="A17" s="507" t="s">
        <v>771</v>
      </c>
      <c r="B17" s="508" t="str">
        <f>IF(B8="","",IF(OR(MIN($C$8:$C$13)&gt;MAX($B$8:$B$13),MAX($C$8:$C$13)&lt;MIN($B$8:$B$13)),"GO","NO GO"))</f>
        <v/>
      </c>
      <c r="G17" s="486"/>
    </row>
    <row r="18" spans="1:19" ht="16.5">
      <c r="A18" s="507" t="s">
        <v>788</v>
      </c>
      <c r="B18" s="509" t="str">
        <f>IF(B8="","",IF(MAX(B14:C14)&lt;(F8*F9),"GO","NO GO"))</f>
        <v/>
      </c>
      <c r="C18" s="510"/>
      <c r="D18" s="510"/>
      <c r="G18" s="486"/>
    </row>
    <row r="19" spans="1:19">
      <c r="A19" s="507" t="s">
        <v>772</v>
      </c>
      <c r="B19" s="509" t="str">
        <f>IF(B8="","",IF(AND(AVERAGE(B8:B13)&lt;(AVERAGE(B8:C13)-(F14*F12)),(AVERAGE(C8:C13)&gt;(AVERAGE(B8:C13)+(F14*F12)))),"GO","NO GO"))</f>
        <v/>
      </c>
      <c r="C19" s="510"/>
      <c r="D19" s="510"/>
      <c r="J19"/>
      <c r="K19"/>
    </row>
    <row r="20" spans="1:19" ht="15.75">
      <c r="A20" s="507" t="s">
        <v>789</v>
      </c>
      <c r="B20" s="509" t="str">
        <f>IF(B9="","",IF(R24&gt;Q24,"GO","NO GO"))</f>
        <v/>
      </c>
      <c r="C20" s="510"/>
      <c r="D20" s="510"/>
    </row>
    <row r="21" spans="1:19">
      <c r="H21" s="455"/>
      <c r="P21" s="511" t="s">
        <v>773</v>
      </c>
      <c r="Q21" s="511"/>
      <c r="R21" s="511" t="s">
        <v>774</v>
      </c>
      <c r="S21" s="511"/>
    </row>
    <row r="22" spans="1:19" ht="14.25">
      <c r="A22" s="512" t="s">
        <v>775</v>
      </c>
      <c r="B22" s="513" t="s">
        <v>790</v>
      </c>
      <c r="C22" s="513" t="s">
        <v>791</v>
      </c>
      <c r="D22" s="513" t="s">
        <v>792</v>
      </c>
      <c r="E22" s="513" t="s">
        <v>793</v>
      </c>
      <c r="F22" s="513" t="s">
        <v>794</v>
      </c>
      <c r="G22" s="514" t="s">
        <v>795</v>
      </c>
      <c r="H22" s="515" t="s">
        <v>796</v>
      </c>
      <c r="I22" s="513" t="s">
        <v>797</v>
      </c>
      <c r="J22" s="513" t="s">
        <v>798</v>
      </c>
      <c r="K22" s="513" t="s">
        <v>799</v>
      </c>
      <c r="L22" s="513" t="s">
        <v>800</v>
      </c>
      <c r="M22" s="513" t="s">
        <v>801</v>
      </c>
      <c r="N22" s="513" t="s">
        <v>776</v>
      </c>
      <c r="O22" s="513" t="s">
        <v>777</v>
      </c>
      <c r="P22" s="516" t="s">
        <v>351</v>
      </c>
      <c r="Q22" s="516" t="s">
        <v>350</v>
      </c>
      <c r="R22" s="516" t="s">
        <v>351</v>
      </c>
      <c r="S22" s="516" t="s">
        <v>350</v>
      </c>
    </row>
    <row r="23" spans="1:19">
      <c r="A23" s="517"/>
      <c r="B23" s="518"/>
      <c r="C23" s="519"/>
      <c r="D23" s="519"/>
      <c r="E23" s="519"/>
      <c r="F23" s="519"/>
      <c r="G23" s="520"/>
      <c r="H23" s="521"/>
      <c r="I23" s="519"/>
      <c r="J23" s="519"/>
      <c r="K23" s="519"/>
      <c r="L23" s="519"/>
      <c r="M23" s="519"/>
      <c r="N23" s="519"/>
      <c r="O23" s="519"/>
      <c r="P23" s="522" t="e">
        <f>AVERAGE(B24:G24)-2*F11</f>
        <v>#VALUE!</v>
      </c>
      <c r="Q23" s="523" t="e">
        <f>AVERAGE(B24:G24)+2*F11</f>
        <v>#VALUE!</v>
      </c>
      <c r="R23" s="523" t="e">
        <f>AVERAGE(H24:M24)-2*F11</f>
        <v>#VALUE!</v>
      </c>
      <c r="S23" s="523" t="e">
        <f>AVERAGE(H24:M24)+2*F11</f>
        <v>#VALUE!</v>
      </c>
    </row>
    <row r="24" spans="1:19">
      <c r="A24" s="524" t="s">
        <v>778</v>
      </c>
      <c r="B24" s="525">
        <f>B8</f>
        <v>0</v>
      </c>
      <c r="C24" s="526">
        <f>B9</f>
        <v>0</v>
      </c>
      <c r="D24" s="526">
        <f>B10</f>
        <v>0</v>
      </c>
      <c r="E24" s="526">
        <f>B11</f>
        <v>0</v>
      </c>
      <c r="F24" s="526">
        <f>B12</f>
        <v>0</v>
      </c>
      <c r="G24" s="527">
        <f>B13</f>
        <v>0</v>
      </c>
      <c r="H24" s="528">
        <f>C8</f>
        <v>0</v>
      </c>
      <c r="I24" s="526">
        <f>C9</f>
        <v>0</v>
      </c>
      <c r="J24" s="526">
        <f>C10</f>
        <v>0</v>
      </c>
      <c r="K24" s="526">
        <f>C11</f>
        <v>0</v>
      </c>
      <c r="L24" s="526">
        <f>C12</f>
        <v>0</v>
      </c>
      <c r="M24" s="526">
        <f>C13</f>
        <v>0</v>
      </c>
      <c r="N24" s="525">
        <f>IF(B24="","",MEDIAN(B24:G24))</f>
        <v>0</v>
      </c>
      <c r="O24" s="525">
        <f>IF(N24="","",MEDIAN(H24:M24))</f>
        <v>0</v>
      </c>
      <c r="P24" s="523" t="e">
        <f t="shared" ref="P24:P36" si="0">P23</f>
        <v>#VALUE!</v>
      </c>
      <c r="Q24" s="523" t="e">
        <f t="shared" ref="Q24:Q36" si="1">Q23</f>
        <v>#VALUE!</v>
      </c>
      <c r="R24" s="523" t="e">
        <f t="shared" ref="R24:R36" si="2">R23</f>
        <v>#VALUE!</v>
      </c>
      <c r="S24" s="523" t="e">
        <f t="shared" ref="S24:S36" si="3">S23</f>
        <v>#VALUE!</v>
      </c>
    </row>
    <row r="25" spans="1:19">
      <c r="A25" s="529" t="s">
        <v>779</v>
      </c>
      <c r="B25" s="530"/>
      <c r="C25" s="530"/>
      <c r="D25" s="530"/>
      <c r="E25" s="530"/>
      <c r="F25" s="530"/>
      <c r="G25" s="531"/>
      <c r="H25" s="532"/>
      <c r="I25" s="530"/>
      <c r="J25" s="530"/>
      <c r="K25" s="530"/>
      <c r="L25" s="530"/>
      <c r="M25" s="530"/>
      <c r="N25" s="525" t="str">
        <f>IF(B25="","",MEDIAN(B25:G25))</f>
        <v/>
      </c>
      <c r="O25" s="525" t="str">
        <f>IF(N25="","",MEDIAN(H25:M25))</f>
        <v/>
      </c>
      <c r="P25" s="523" t="e">
        <f t="shared" si="0"/>
        <v>#VALUE!</v>
      </c>
      <c r="Q25" s="523" t="e">
        <f t="shared" si="1"/>
        <v>#VALUE!</v>
      </c>
      <c r="R25" s="523" t="e">
        <f t="shared" si="2"/>
        <v>#VALUE!</v>
      </c>
      <c r="S25" s="523" t="e">
        <f t="shared" si="3"/>
        <v>#VALUE!</v>
      </c>
    </row>
    <row r="26" spans="1:19">
      <c r="A26" s="529" t="s">
        <v>780</v>
      </c>
      <c r="B26" s="530"/>
      <c r="C26" s="530"/>
      <c r="D26" s="530"/>
      <c r="E26" s="530"/>
      <c r="F26" s="530"/>
      <c r="G26" s="531"/>
      <c r="H26" s="532"/>
      <c r="I26" s="530"/>
      <c r="J26" s="530"/>
      <c r="K26" s="530"/>
      <c r="L26" s="530"/>
      <c r="M26" s="530"/>
      <c r="N26" s="525" t="str">
        <f>IF(B26="","",MEDIAN(B26:G26))</f>
        <v/>
      </c>
      <c r="O26" s="525" t="str">
        <f>IF(N26="","",MEDIAN(H26:M26))</f>
        <v/>
      </c>
      <c r="P26" s="523" t="e">
        <f t="shared" si="0"/>
        <v>#VALUE!</v>
      </c>
      <c r="Q26" s="523" t="e">
        <f t="shared" si="1"/>
        <v>#VALUE!</v>
      </c>
      <c r="R26" s="523" t="e">
        <f t="shared" si="2"/>
        <v>#VALUE!</v>
      </c>
      <c r="S26" s="523" t="e">
        <f t="shared" si="3"/>
        <v>#VALUE!</v>
      </c>
    </row>
    <row r="27" spans="1:19">
      <c r="A27" s="533" t="s">
        <v>781</v>
      </c>
      <c r="B27" s="534"/>
      <c r="C27" s="534"/>
      <c r="D27" s="534"/>
      <c r="E27" s="534"/>
      <c r="F27" s="534"/>
      <c r="G27" s="535"/>
      <c r="H27" s="536"/>
      <c r="I27" s="534"/>
      <c r="J27" s="534"/>
      <c r="K27" s="534"/>
      <c r="L27" s="534"/>
      <c r="M27" s="534"/>
      <c r="N27" s="525"/>
      <c r="O27" s="525"/>
      <c r="P27" s="523" t="e">
        <f t="shared" si="0"/>
        <v>#VALUE!</v>
      </c>
      <c r="Q27" s="523" t="e">
        <f t="shared" si="1"/>
        <v>#VALUE!</v>
      </c>
      <c r="R27" s="523" t="e">
        <f t="shared" si="2"/>
        <v>#VALUE!</v>
      </c>
      <c r="S27" s="523" t="e">
        <f t="shared" si="3"/>
        <v>#VALUE!</v>
      </c>
    </row>
    <row r="28" spans="1:19">
      <c r="A28" s="533" t="s">
        <v>781</v>
      </c>
      <c r="B28" s="534"/>
      <c r="C28" s="534"/>
      <c r="D28" s="534"/>
      <c r="E28" s="534"/>
      <c r="F28" s="534"/>
      <c r="G28" s="535"/>
      <c r="H28" s="536"/>
      <c r="I28" s="534"/>
      <c r="J28" s="534"/>
      <c r="K28" s="534"/>
      <c r="L28" s="534"/>
      <c r="M28" s="534"/>
      <c r="N28" s="525"/>
      <c r="O28" s="525"/>
      <c r="P28" s="523" t="e">
        <f t="shared" si="0"/>
        <v>#VALUE!</v>
      </c>
      <c r="Q28" s="523" t="e">
        <f t="shared" si="1"/>
        <v>#VALUE!</v>
      </c>
      <c r="R28" s="523" t="e">
        <f t="shared" si="2"/>
        <v>#VALUE!</v>
      </c>
      <c r="S28" s="523" t="e">
        <f t="shared" si="3"/>
        <v>#VALUE!</v>
      </c>
    </row>
    <row r="29" spans="1:19">
      <c r="A29" s="533" t="s">
        <v>781</v>
      </c>
      <c r="B29" s="534"/>
      <c r="C29" s="534"/>
      <c r="D29" s="534"/>
      <c r="E29" s="534"/>
      <c r="F29" s="534"/>
      <c r="G29" s="535"/>
      <c r="H29" s="536"/>
      <c r="I29" s="534"/>
      <c r="J29" s="534"/>
      <c r="K29" s="534"/>
      <c r="L29" s="534"/>
      <c r="M29" s="534"/>
      <c r="N29" s="525"/>
      <c r="O29" s="525"/>
      <c r="P29" s="523" t="e">
        <f t="shared" si="0"/>
        <v>#VALUE!</v>
      </c>
      <c r="Q29" s="523" t="e">
        <f t="shared" si="1"/>
        <v>#VALUE!</v>
      </c>
      <c r="R29" s="523" t="e">
        <f t="shared" si="2"/>
        <v>#VALUE!</v>
      </c>
      <c r="S29" s="523" t="e">
        <f t="shared" si="3"/>
        <v>#VALUE!</v>
      </c>
    </row>
    <row r="30" spans="1:19">
      <c r="A30" s="533" t="s">
        <v>781</v>
      </c>
      <c r="B30" s="534"/>
      <c r="C30" s="534"/>
      <c r="D30" s="534"/>
      <c r="E30" s="534"/>
      <c r="F30" s="534"/>
      <c r="G30" s="535"/>
      <c r="H30" s="536"/>
      <c r="I30" s="534"/>
      <c r="J30" s="534"/>
      <c r="K30" s="534"/>
      <c r="L30" s="534"/>
      <c r="M30" s="534"/>
      <c r="N30" s="525"/>
      <c r="O30" s="525"/>
      <c r="P30" s="523" t="e">
        <f t="shared" si="0"/>
        <v>#VALUE!</v>
      </c>
      <c r="Q30" s="523" t="e">
        <f t="shared" si="1"/>
        <v>#VALUE!</v>
      </c>
      <c r="R30" s="523" t="e">
        <f t="shared" si="2"/>
        <v>#VALUE!</v>
      </c>
      <c r="S30" s="523" t="e">
        <f t="shared" si="3"/>
        <v>#VALUE!</v>
      </c>
    </row>
    <row r="31" spans="1:19">
      <c r="A31" s="533" t="s">
        <v>781</v>
      </c>
      <c r="B31" s="534"/>
      <c r="C31" s="534"/>
      <c r="D31" s="534"/>
      <c r="E31" s="534"/>
      <c r="F31" s="534"/>
      <c r="G31" s="535"/>
      <c r="H31" s="536"/>
      <c r="I31" s="534"/>
      <c r="J31" s="534"/>
      <c r="K31" s="534"/>
      <c r="L31" s="534"/>
      <c r="M31" s="534"/>
      <c r="N31" s="525"/>
      <c r="O31" s="525"/>
      <c r="P31" s="523" t="e">
        <f t="shared" si="0"/>
        <v>#VALUE!</v>
      </c>
      <c r="Q31" s="523" t="e">
        <f t="shared" si="1"/>
        <v>#VALUE!</v>
      </c>
      <c r="R31" s="523" t="e">
        <f t="shared" si="2"/>
        <v>#VALUE!</v>
      </c>
      <c r="S31" s="523" t="e">
        <f t="shared" si="3"/>
        <v>#VALUE!</v>
      </c>
    </row>
    <row r="32" spans="1:19">
      <c r="A32" s="533" t="s">
        <v>781</v>
      </c>
      <c r="B32" s="534"/>
      <c r="C32" s="534"/>
      <c r="D32" s="534"/>
      <c r="E32" s="534"/>
      <c r="F32" s="534"/>
      <c r="G32" s="535"/>
      <c r="H32" s="536"/>
      <c r="I32" s="534"/>
      <c r="J32" s="534"/>
      <c r="K32" s="534"/>
      <c r="L32" s="534"/>
      <c r="M32" s="534"/>
      <c r="N32" s="525"/>
      <c r="O32" s="525"/>
      <c r="P32" s="523" t="e">
        <f t="shared" si="0"/>
        <v>#VALUE!</v>
      </c>
      <c r="Q32" s="523" t="e">
        <f t="shared" si="1"/>
        <v>#VALUE!</v>
      </c>
      <c r="R32" s="523" t="e">
        <f t="shared" si="2"/>
        <v>#VALUE!</v>
      </c>
      <c r="S32" s="523" t="e">
        <f t="shared" si="3"/>
        <v>#VALUE!</v>
      </c>
    </row>
    <row r="33" spans="1:19">
      <c r="A33" s="533" t="s">
        <v>781</v>
      </c>
      <c r="B33" s="534"/>
      <c r="C33" s="534"/>
      <c r="D33" s="534"/>
      <c r="E33" s="534"/>
      <c r="F33" s="534"/>
      <c r="G33" s="535"/>
      <c r="H33" s="536"/>
      <c r="I33" s="534"/>
      <c r="J33" s="534"/>
      <c r="K33" s="534"/>
      <c r="L33" s="534"/>
      <c r="M33" s="534"/>
      <c r="N33" s="525"/>
      <c r="O33" s="525"/>
      <c r="P33" s="523" t="e">
        <f t="shared" si="0"/>
        <v>#VALUE!</v>
      </c>
      <c r="Q33" s="523" t="e">
        <f t="shared" si="1"/>
        <v>#VALUE!</v>
      </c>
      <c r="R33" s="523" t="e">
        <f t="shared" si="2"/>
        <v>#VALUE!</v>
      </c>
      <c r="S33" s="523" t="e">
        <f t="shared" si="3"/>
        <v>#VALUE!</v>
      </c>
    </row>
    <row r="34" spans="1:19">
      <c r="A34" s="533" t="s">
        <v>781</v>
      </c>
      <c r="B34" s="534"/>
      <c r="C34" s="534"/>
      <c r="D34" s="534"/>
      <c r="E34" s="534"/>
      <c r="F34" s="534"/>
      <c r="G34" s="535"/>
      <c r="H34" s="536"/>
      <c r="I34" s="534"/>
      <c r="J34" s="534"/>
      <c r="K34" s="534"/>
      <c r="L34" s="534"/>
      <c r="M34" s="534"/>
      <c r="N34" s="525"/>
      <c r="O34" s="525"/>
      <c r="P34" s="523" t="e">
        <f t="shared" si="0"/>
        <v>#VALUE!</v>
      </c>
      <c r="Q34" s="523" t="e">
        <f t="shared" si="1"/>
        <v>#VALUE!</v>
      </c>
      <c r="R34" s="523" t="e">
        <f t="shared" si="2"/>
        <v>#VALUE!</v>
      </c>
      <c r="S34" s="523" t="e">
        <f t="shared" si="3"/>
        <v>#VALUE!</v>
      </c>
    </row>
    <row r="35" spans="1:19">
      <c r="A35" s="537" t="s">
        <v>782</v>
      </c>
      <c r="B35" s="534"/>
      <c r="C35" s="534"/>
      <c r="D35" s="534"/>
      <c r="E35" s="534"/>
      <c r="F35" s="534"/>
      <c r="G35" s="535"/>
      <c r="H35" s="536"/>
      <c r="I35" s="534"/>
      <c r="J35" s="534"/>
      <c r="K35" s="534"/>
      <c r="L35" s="534"/>
      <c r="M35" s="534"/>
      <c r="N35" s="525"/>
      <c r="O35" s="525"/>
      <c r="P35" s="523" t="e">
        <f t="shared" si="0"/>
        <v>#VALUE!</v>
      </c>
      <c r="Q35" s="523" t="e">
        <f t="shared" si="1"/>
        <v>#VALUE!</v>
      </c>
      <c r="R35" s="523" t="e">
        <f t="shared" si="2"/>
        <v>#VALUE!</v>
      </c>
      <c r="S35" s="523" t="e">
        <f t="shared" si="3"/>
        <v>#VALUE!</v>
      </c>
    </row>
    <row r="36" spans="1:19">
      <c r="A36" s="496"/>
      <c r="B36" s="496"/>
      <c r="C36" s="496"/>
      <c r="D36" s="496"/>
      <c r="E36" s="496"/>
      <c r="F36" s="496"/>
      <c r="G36" s="496"/>
      <c r="H36" s="496"/>
      <c r="I36" s="496"/>
      <c r="J36" s="496"/>
      <c r="K36" s="496"/>
      <c r="L36" s="496"/>
      <c r="M36" s="496"/>
      <c r="N36" s="496"/>
      <c r="O36" s="496"/>
      <c r="P36" s="523" t="e">
        <f t="shared" si="0"/>
        <v>#VALUE!</v>
      </c>
      <c r="Q36" s="523" t="e">
        <f t="shared" si="1"/>
        <v>#VALUE!</v>
      </c>
      <c r="R36" s="523" t="e">
        <f t="shared" si="2"/>
        <v>#VALUE!</v>
      </c>
      <c r="S36" s="523" t="e">
        <f t="shared" si="3"/>
        <v>#VALUE!</v>
      </c>
    </row>
    <row r="37" spans="1:19">
      <c r="H37" s="455"/>
      <c r="P37" s="510"/>
      <c r="Q37" s="510"/>
      <c r="R37" s="510"/>
      <c r="S37" s="510"/>
    </row>
    <row r="38" spans="1:19" ht="13.5">
      <c r="H38" s="455"/>
      <c r="S38" s="538" t="s">
        <v>783</v>
      </c>
    </row>
    <row r="39" spans="1:19">
      <c r="H39" s="455"/>
    </row>
    <row r="40" spans="1:19">
      <c r="H40" s="455"/>
    </row>
    <row r="41" spans="1:19">
      <c r="H41" s="455"/>
    </row>
    <row r="42" spans="1:19">
      <c r="H42" s="455"/>
    </row>
    <row r="43" spans="1:19">
      <c r="H43" s="455"/>
    </row>
    <row r="44" spans="1:19">
      <c r="H44" s="455"/>
    </row>
    <row r="45" spans="1:19">
      <c r="H45" s="455"/>
    </row>
    <row r="46" spans="1:19">
      <c r="H46" s="455"/>
    </row>
    <row r="47" spans="1:19">
      <c r="H47" s="455"/>
    </row>
    <row r="48" spans="1:19">
      <c r="H48" s="455"/>
    </row>
    <row r="49" spans="8:19">
      <c r="H49" s="455"/>
    </row>
    <row r="50" spans="8:19">
      <c r="H50" s="455"/>
    </row>
    <row r="51" spans="8:19">
      <c r="H51" s="455"/>
    </row>
    <row r="52" spans="8:19">
      <c r="H52" s="455"/>
    </row>
    <row r="53" spans="8:19">
      <c r="H53" s="455"/>
    </row>
    <row r="54" spans="8:19">
      <c r="H54" s="455"/>
    </row>
    <row r="55" spans="8:19">
      <c r="H55" s="455"/>
    </row>
    <row r="56" spans="8:19">
      <c r="H56" s="455"/>
    </row>
    <row r="57" spans="8:19">
      <c r="H57" s="455"/>
    </row>
    <row r="58" spans="8:19">
      <c r="H58" s="455"/>
    </row>
    <row r="59" spans="8:19">
      <c r="H59" s="455"/>
      <c r="S59" s="484"/>
    </row>
    <row r="60" spans="8:19">
      <c r="H60" s="455"/>
      <c r="S60" s="484"/>
    </row>
    <row r="61" spans="8:19">
      <c r="H61" s="455"/>
      <c r="S61" s="484"/>
    </row>
    <row r="62" spans="8:19">
      <c r="H62" s="455"/>
      <c r="I62" s="484"/>
    </row>
    <row r="63" spans="8:19">
      <c r="H63" s="455"/>
      <c r="I63" s="484"/>
    </row>
    <row r="64" spans="8:19">
      <c r="H64" s="455"/>
      <c r="I64" s="484"/>
    </row>
    <row r="65" spans="8:9">
      <c r="H65" s="455"/>
      <c r="I65" s="484"/>
    </row>
    <row r="66" spans="8:9">
      <c r="H66" s="455"/>
      <c r="I66" s="484"/>
    </row>
    <row r="67" spans="8:9">
      <c r="H67" s="455"/>
      <c r="I67" s="484"/>
    </row>
    <row r="68" spans="8:9">
      <c r="H68" s="455"/>
      <c r="I68" s="484"/>
    </row>
    <row r="69" spans="8:9">
      <c r="H69" s="455"/>
      <c r="I69" s="484"/>
    </row>
    <row r="70" spans="8:9">
      <c r="H70" s="455"/>
      <c r="I70" s="484"/>
    </row>
    <row r="71" spans="8:9">
      <c r="H71" s="455"/>
      <c r="I71" s="484"/>
    </row>
    <row r="72" spans="8:9">
      <c r="H72" s="455"/>
      <c r="I72" s="484"/>
    </row>
    <row r="73" spans="8:9">
      <c r="H73" s="455"/>
      <c r="I73" s="484"/>
    </row>
    <row r="74" spans="8:9">
      <c r="H74" s="455"/>
      <c r="I74" s="484"/>
    </row>
    <row r="75" spans="8:9">
      <c r="H75" s="455"/>
      <c r="I75" s="484"/>
    </row>
    <row r="76" spans="8:9">
      <c r="H76" s="455"/>
      <c r="I76" s="484"/>
    </row>
    <row r="77" spans="8:9">
      <c r="H77" s="455"/>
      <c r="I77" s="484"/>
    </row>
    <row r="78" spans="8:9">
      <c r="H78" s="455"/>
      <c r="I78" s="484"/>
    </row>
    <row r="79" spans="8:9">
      <c r="H79" s="455"/>
      <c r="I79" s="484"/>
    </row>
    <row r="80" spans="8:9">
      <c r="H80" s="455"/>
      <c r="I80" s="484"/>
    </row>
    <row r="81" spans="8:9">
      <c r="H81" s="455"/>
      <c r="I81" s="484"/>
    </row>
    <row r="82" spans="8:9">
      <c r="H82" s="455"/>
      <c r="I82" s="484"/>
    </row>
    <row r="83" spans="8:9">
      <c r="H83" s="455"/>
      <c r="I83" s="484"/>
    </row>
    <row r="84" spans="8:9">
      <c r="H84" s="455"/>
      <c r="I84" s="484"/>
    </row>
    <row r="85" spans="8:9">
      <c r="H85" s="455"/>
      <c r="I85" s="484"/>
    </row>
    <row r="86" spans="8:9">
      <c r="H86" s="455"/>
      <c r="I86" s="484"/>
    </row>
    <row r="87" spans="8:9">
      <c r="H87" s="455"/>
      <c r="I87" s="484"/>
    </row>
    <row r="88" spans="8:9">
      <c r="H88" s="455"/>
      <c r="I88" s="484"/>
    </row>
    <row r="89" spans="8:9">
      <c r="H89" s="455"/>
      <c r="I89" s="484"/>
    </row>
    <row r="90" spans="8:9">
      <c r="H90" s="455"/>
      <c r="I90" s="484"/>
    </row>
    <row r="91" spans="8:9">
      <c r="H91" s="455"/>
      <c r="I91" s="484"/>
    </row>
    <row r="92" spans="8:9">
      <c r="H92" s="455"/>
      <c r="I92" s="484"/>
    </row>
    <row r="93" spans="8:9">
      <c r="H93" s="455"/>
      <c r="I93" s="484"/>
    </row>
    <row r="94" spans="8:9">
      <c r="H94" s="455"/>
      <c r="I94" s="484"/>
    </row>
    <row r="95" spans="8:9">
      <c r="H95" s="455"/>
      <c r="I95" s="484"/>
    </row>
    <row r="96" spans="8:9">
      <c r="H96" s="455"/>
      <c r="I96" s="484"/>
    </row>
    <row r="97" spans="8:9">
      <c r="H97" s="455"/>
      <c r="I97" s="484"/>
    </row>
    <row r="98" spans="8:9">
      <c r="H98" s="455"/>
      <c r="I98" s="484"/>
    </row>
    <row r="99" spans="8:9">
      <c r="H99" s="455"/>
      <c r="I99" s="484"/>
    </row>
    <row r="100" spans="8:9">
      <c r="H100" s="455"/>
      <c r="I100" s="484"/>
    </row>
    <row r="101" spans="8:9">
      <c r="H101" s="455"/>
      <c r="I101" s="484"/>
    </row>
    <row r="102" spans="8:9">
      <c r="H102" s="455"/>
      <c r="I102" s="484"/>
    </row>
    <row r="103" spans="8:9">
      <c r="H103" s="455"/>
      <c r="I103" s="484"/>
    </row>
    <row r="104" spans="8:9">
      <c r="H104" s="455"/>
      <c r="I104" s="484"/>
    </row>
    <row r="105" spans="8:9">
      <c r="H105" s="455"/>
      <c r="I105" s="484"/>
    </row>
    <row r="106" spans="8:9">
      <c r="H106" s="455"/>
      <c r="I106" s="484"/>
    </row>
    <row r="107" spans="8:9">
      <c r="H107" s="455"/>
      <c r="I107" s="484"/>
    </row>
    <row r="108" spans="8:9">
      <c r="H108" s="455"/>
      <c r="I108" s="484"/>
    </row>
    <row r="109" spans="8:9">
      <c r="H109" s="455"/>
      <c r="I109" s="484"/>
    </row>
    <row r="110" spans="8:9">
      <c r="H110" s="455"/>
      <c r="I110" s="484"/>
    </row>
    <row r="111" spans="8:9">
      <c r="H111" s="455"/>
      <c r="I111" s="484"/>
    </row>
    <row r="112" spans="8:9">
      <c r="H112" s="455"/>
      <c r="I112" s="484"/>
    </row>
    <row r="113" spans="8:9">
      <c r="H113" s="455"/>
      <c r="I113" s="484"/>
    </row>
    <row r="114" spans="8:9">
      <c r="H114" s="455"/>
      <c r="I114" s="484"/>
    </row>
    <row r="115" spans="8:9">
      <c r="H115" s="455"/>
      <c r="I115" s="484"/>
    </row>
    <row r="116" spans="8:9">
      <c r="H116" s="455"/>
      <c r="I116" s="484"/>
    </row>
    <row r="117" spans="8:9">
      <c r="H117" s="455"/>
      <c r="I117" s="484"/>
    </row>
    <row r="118" spans="8:9">
      <c r="H118" s="455"/>
      <c r="I118" s="484"/>
    </row>
    <row r="119" spans="8:9">
      <c r="H119" s="455"/>
      <c r="I119" s="484"/>
    </row>
    <row r="120" spans="8:9">
      <c r="H120" s="455"/>
      <c r="I120" s="484"/>
    </row>
    <row r="121" spans="8:9">
      <c r="H121" s="455"/>
      <c r="I121" s="484"/>
    </row>
    <row r="122" spans="8:9">
      <c r="H122" s="455"/>
      <c r="I122" s="484"/>
    </row>
    <row r="123" spans="8:9">
      <c r="H123" s="455"/>
      <c r="I123" s="484"/>
    </row>
    <row r="124" spans="8:9">
      <c r="H124" s="455"/>
      <c r="I124" s="484"/>
    </row>
    <row r="125" spans="8:9">
      <c r="H125" s="455"/>
      <c r="I125" s="484"/>
    </row>
    <row r="126" spans="8:9">
      <c r="H126" s="455"/>
      <c r="I126" s="484"/>
    </row>
    <row r="127" spans="8:9">
      <c r="H127" s="455"/>
      <c r="I127" s="484"/>
    </row>
    <row r="128" spans="8:9">
      <c r="H128" s="455"/>
      <c r="I128" s="484"/>
    </row>
    <row r="129" spans="8:9">
      <c r="H129" s="455"/>
      <c r="I129" s="484"/>
    </row>
    <row r="130" spans="8:9">
      <c r="H130" s="455"/>
      <c r="I130" s="484"/>
    </row>
    <row r="131" spans="8:9">
      <c r="H131" s="455"/>
      <c r="I131" s="484"/>
    </row>
    <row r="132" spans="8:9">
      <c r="H132" s="455"/>
      <c r="I132" s="484"/>
    </row>
    <row r="133" spans="8:9">
      <c r="H133" s="455"/>
      <c r="I133" s="484"/>
    </row>
    <row r="134" spans="8:9">
      <c r="H134" s="455"/>
      <c r="I134" s="484"/>
    </row>
    <row r="135" spans="8:9">
      <c r="H135" s="455"/>
      <c r="I135" s="484"/>
    </row>
    <row r="136" spans="8:9">
      <c r="H136" s="455"/>
      <c r="I136" s="484"/>
    </row>
    <row r="137" spans="8:9">
      <c r="H137" s="455"/>
      <c r="I137" s="484"/>
    </row>
    <row r="138" spans="8:9">
      <c r="H138" s="455"/>
      <c r="I138" s="484"/>
    </row>
    <row r="139" spans="8:9">
      <c r="H139" s="455"/>
      <c r="I139" s="484"/>
    </row>
    <row r="140" spans="8:9">
      <c r="H140" s="455"/>
      <c r="I140" s="484"/>
    </row>
    <row r="141" spans="8:9">
      <c r="H141" s="455"/>
      <c r="I141" s="484"/>
    </row>
    <row r="142" spans="8:9">
      <c r="H142" s="455"/>
      <c r="I142" s="484"/>
    </row>
    <row r="143" spans="8:9">
      <c r="H143" s="455"/>
      <c r="I143" s="484"/>
    </row>
    <row r="144" spans="8:9">
      <c r="H144" s="455"/>
      <c r="I144" s="484"/>
    </row>
    <row r="145" spans="8:9">
      <c r="H145" s="455"/>
      <c r="I145" s="484"/>
    </row>
    <row r="146" spans="8:9">
      <c r="H146" s="455"/>
      <c r="I146" s="484"/>
    </row>
    <row r="147" spans="8:9">
      <c r="H147" s="455"/>
      <c r="I147" s="484"/>
    </row>
    <row r="148" spans="8:9">
      <c r="H148" s="455"/>
      <c r="I148" s="484"/>
    </row>
    <row r="149" spans="8:9">
      <c r="H149" s="455"/>
      <c r="I149" s="484"/>
    </row>
    <row r="150" spans="8:9">
      <c r="H150" s="455"/>
      <c r="I150" s="484"/>
    </row>
    <row r="151" spans="8:9">
      <c r="H151" s="455"/>
      <c r="I151" s="484"/>
    </row>
    <row r="152" spans="8:9">
      <c r="H152" s="455"/>
      <c r="I152" s="484"/>
    </row>
    <row r="153" spans="8:9">
      <c r="H153" s="455"/>
      <c r="I153" s="484"/>
    </row>
    <row r="154" spans="8:9">
      <c r="H154" s="455"/>
      <c r="I154" s="484"/>
    </row>
    <row r="155" spans="8:9">
      <c r="H155" s="455"/>
      <c r="I155" s="484"/>
    </row>
    <row r="156" spans="8:9">
      <c r="H156" s="455"/>
      <c r="I156" s="484"/>
    </row>
    <row r="157" spans="8:9">
      <c r="H157" s="455"/>
      <c r="I157" s="484"/>
    </row>
    <row r="158" spans="8:9">
      <c r="H158" s="455"/>
      <c r="I158" s="484"/>
    </row>
    <row r="159" spans="8:9">
      <c r="H159" s="455"/>
      <c r="I159" s="484"/>
    </row>
    <row r="160" spans="8:9">
      <c r="H160" s="455"/>
      <c r="I160" s="484"/>
    </row>
    <row r="161" spans="8:9">
      <c r="H161" s="455"/>
      <c r="I161" s="484"/>
    </row>
    <row r="162" spans="8:9">
      <c r="H162" s="455"/>
      <c r="I162" s="484"/>
    </row>
    <row r="163" spans="8:9">
      <c r="H163" s="455"/>
      <c r="I163" s="484"/>
    </row>
    <row r="164" spans="8:9">
      <c r="H164" s="455"/>
      <c r="I164" s="484"/>
    </row>
    <row r="165" spans="8:9">
      <c r="H165" s="455"/>
      <c r="I165" s="484"/>
    </row>
    <row r="166" spans="8:9">
      <c r="H166" s="455"/>
      <c r="I166" s="484"/>
    </row>
    <row r="167" spans="8:9">
      <c r="H167" s="455"/>
      <c r="I167" s="484"/>
    </row>
    <row r="168" spans="8:9">
      <c r="H168" s="455"/>
      <c r="I168" s="484"/>
    </row>
    <row r="169" spans="8:9">
      <c r="H169" s="455"/>
      <c r="I169" s="484"/>
    </row>
    <row r="170" spans="8:9">
      <c r="H170" s="455"/>
      <c r="I170" s="484"/>
    </row>
    <row r="171" spans="8:9">
      <c r="H171" s="455"/>
      <c r="I171" s="484"/>
    </row>
    <row r="172" spans="8:9">
      <c r="H172" s="455"/>
      <c r="I172" s="484"/>
    </row>
    <row r="173" spans="8:9">
      <c r="H173" s="455"/>
      <c r="I173" s="484"/>
    </row>
    <row r="174" spans="8:9">
      <c r="H174" s="455"/>
      <c r="I174" s="484"/>
    </row>
    <row r="175" spans="8:9">
      <c r="H175" s="455"/>
      <c r="I175" s="484"/>
    </row>
    <row r="176" spans="8:9">
      <c r="H176" s="455"/>
      <c r="I176" s="484"/>
    </row>
    <row r="177" spans="8:9">
      <c r="H177" s="455"/>
      <c r="I177" s="484"/>
    </row>
    <row r="178" spans="8:9">
      <c r="H178" s="455"/>
      <c r="I178" s="484"/>
    </row>
    <row r="179" spans="8:9">
      <c r="H179" s="455"/>
      <c r="I179" s="484"/>
    </row>
    <row r="180" spans="8:9">
      <c r="H180" s="455"/>
      <c r="I180" s="484"/>
    </row>
    <row r="181" spans="8:9">
      <c r="H181" s="455"/>
      <c r="I181" s="484"/>
    </row>
    <row r="182" spans="8:9">
      <c r="H182" s="455"/>
      <c r="I182" s="484"/>
    </row>
    <row r="183" spans="8:9">
      <c r="H183" s="455"/>
      <c r="I183" s="484"/>
    </row>
    <row r="184" spans="8:9">
      <c r="H184" s="455"/>
      <c r="I184" s="484"/>
    </row>
    <row r="185" spans="8:9">
      <c r="H185" s="455"/>
      <c r="I185" s="484"/>
    </row>
    <row r="186" spans="8:9">
      <c r="H186" s="455"/>
      <c r="I186" s="484"/>
    </row>
    <row r="187" spans="8:9">
      <c r="H187" s="455"/>
      <c r="I187" s="484"/>
    </row>
    <row r="188" spans="8:9">
      <c r="H188" s="455"/>
      <c r="I188" s="484"/>
    </row>
    <row r="189" spans="8:9">
      <c r="H189" s="455"/>
      <c r="I189" s="484"/>
    </row>
    <row r="190" spans="8:9">
      <c r="H190" s="455"/>
      <c r="I190" s="484"/>
    </row>
    <row r="191" spans="8:9">
      <c r="H191" s="455"/>
      <c r="I191" s="484"/>
    </row>
    <row r="192" spans="8:9">
      <c r="H192" s="455"/>
      <c r="I192" s="484"/>
    </row>
    <row r="193" spans="8:9">
      <c r="H193" s="455"/>
      <c r="I193" s="484"/>
    </row>
    <row r="194" spans="8:9">
      <c r="H194" s="455"/>
      <c r="I194" s="484"/>
    </row>
    <row r="195" spans="8:9">
      <c r="H195" s="455"/>
      <c r="I195" s="484"/>
    </row>
    <row r="196" spans="8:9">
      <c r="H196" s="455"/>
      <c r="I196" s="484"/>
    </row>
    <row r="197" spans="8:9">
      <c r="H197" s="455"/>
      <c r="I197" s="484"/>
    </row>
    <row r="198" spans="8:9">
      <c r="H198" s="455"/>
      <c r="I198" s="484"/>
    </row>
    <row r="199" spans="8:9">
      <c r="H199" s="455"/>
      <c r="I199" s="484"/>
    </row>
    <row r="200" spans="8:9">
      <c r="H200" s="455"/>
      <c r="I200" s="484"/>
    </row>
    <row r="201" spans="8:9">
      <c r="H201" s="455"/>
      <c r="I201" s="484"/>
    </row>
    <row r="202" spans="8:9">
      <c r="H202" s="455"/>
      <c r="I202" s="484"/>
    </row>
    <row r="203" spans="8:9">
      <c r="H203" s="455"/>
      <c r="I203" s="484"/>
    </row>
    <row r="204" spans="8:9">
      <c r="H204" s="455"/>
      <c r="I204" s="484"/>
    </row>
    <row r="205" spans="8:9">
      <c r="H205" s="455"/>
      <c r="I205" s="484"/>
    </row>
    <row r="206" spans="8:9">
      <c r="H206" s="455"/>
      <c r="I206" s="484"/>
    </row>
    <row r="207" spans="8:9">
      <c r="H207" s="455"/>
      <c r="I207" s="484"/>
    </row>
    <row r="208" spans="8:9">
      <c r="H208" s="455"/>
      <c r="I208" s="484"/>
    </row>
    <row r="209" spans="8:9">
      <c r="H209" s="455"/>
      <c r="I209" s="484"/>
    </row>
    <row r="210" spans="8:9">
      <c r="H210" s="455"/>
      <c r="I210" s="484"/>
    </row>
    <row r="211" spans="8:9">
      <c r="H211" s="455"/>
      <c r="I211" s="484"/>
    </row>
    <row r="212" spans="8:9">
      <c r="H212" s="455"/>
      <c r="I212" s="484"/>
    </row>
    <row r="213" spans="8:9">
      <c r="H213" s="455"/>
      <c r="I213" s="484"/>
    </row>
    <row r="214" spans="8:9">
      <c r="H214" s="455"/>
      <c r="I214" s="484"/>
    </row>
    <row r="215" spans="8:9">
      <c r="H215" s="455"/>
      <c r="I215" s="484"/>
    </row>
    <row r="216" spans="8:9">
      <c r="H216" s="455"/>
      <c r="I216" s="484"/>
    </row>
    <row r="217" spans="8:9">
      <c r="H217" s="455"/>
      <c r="I217" s="484"/>
    </row>
    <row r="218" spans="8:9">
      <c r="H218" s="455"/>
      <c r="I218" s="484"/>
    </row>
    <row r="219" spans="8:9">
      <c r="H219" s="455"/>
      <c r="I219" s="484"/>
    </row>
    <row r="220" spans="8:9">
      <c r="H220" s="455"/>
      <c r="I220" s="484"/>
    </row>
    <row r="221" spans="8:9">
      <c r="H221" s="455"/>
      <c r="I221" s="484"/>
    </row>
    <row r="222" spans="8:9">
      <c r="H222" s="455"/>
      <c r="I222" s="484"/>
    </row>
    <row r="223" spans="8:9">
      <c r="H223" s="455"/>
      <c r="I223" s="484"/>
    </row>
    <row r="224" spans="8:9">
      <c r="H224" s="455"/>
      <c r="I224" s="484"/>
    </row>
    <row r="225" spans="8:9">
      <c r="H225" s="455"/>
      <c r="I225" s="484"/>
    </row>
    <row r="226" spans="8:9">
      <c r="H226" s="455"/>
      <c r="I226" s="484"/>
    </row>
    <row r="227" spans="8:9">
      <c r="H227" s="455"/>
      <c r="I227" s="484"/>
    </row>
    <row r="228" spans="8:9">
      <c r="H228" s="455"/>
      <c r="I228" s="484"/>
    </row>
    <row r="229" spans="8:9">
      <c r="H229" s="455"/>
      <c r="I229" s="484"/>
    </row>
    <row r="230" spans="8:9">
      <c r="H230" s="455"/>
      <c r="I230" s="484"/>
    </row>
    <row r="231" spans="8:9">
      <c r="H231" s="455"/>
      <c r="I231" s="484"/>
    </row>
    <row r="232" spans="8:9">
      <c r="H232" s="455"/>
      <c r="I232" s="484"/>
    </row>
    <row r="233" spans="8:9">
      <c r="H233" s="455"/>
      <c r="I233" s="484"/>
    </row>
    <row r="234" spans="8:9">
      <c r="H234" s="455"/>
      <c r="I234" s="484"/>
    </row>
    <row r="235" spans="8:9">
      <c r="H235" s="455"/>
      <c r="I235" s="484"/>
    </row>
    <row r="236" spans="8:9">
      <c r="H236" s="455"/>
      <c r="I236" s="484"/>
    </row>
    <row r="237" spans="8:9">
      <c r="H237" s="455"/>
      <c r="I237" s="484"/>
    </row>
    <row r="238" spans="8:9">
      <c r="H238" s="455"/>
      <c r="I238" s="484"/>
    </row>
    <row r="239" spans="8:9">
      <c r="H239" s="455"/>
      <c r="I239" s="484"/>
    </row>
    <row r="240" spans="8:9">
      <c r="H240" s="455"/>
      <c r="I240" s="484"/>
    </row>
    <row r="241" spans="8:9">
      <c r="H241" s="455"/>
      <c r="I241" s="484"/>
    </row>
    <row r="242" spans="8:9">
      <c r="H242" s="455"/>
      <c r="I242" s="484"/>
    </row>
    <row r="243" spans="8:9">
      <c r="H243" s="455"/>
      <c r="I243" s="484"/>
    </row>
    <row r="244" spans="8:9">
      <c r="H244" s="455"/>
      <c r="I244" s="484"/>
    </row>
    <row r="245" spans="8:9">
      <c r="H245" s="455"/>
      <c r="I245" s="484"/>
    </row>
    <row r="246" spans="8:9">
      <c r="H246" s="455"/>
      <c r="I246" s="484"/>
    </row>
    <row r="247" spans="8:9">
      <c r="H247" s="455"/>
      <c r="I247" s="484"/>
    </row>
    <row r="248" spans="8:9">
      <c r="H248" s="455"/>
      <c r="I248" s="484"/>
    </row>
    <row r="249" spans="8:9">
      <c r="H249" s="455"/>
      <c r="I249" s="484"/>
    </row>
    <row r="250" spans="8:9">
      <c r="H250" s="455"/>
      <c r="I250" s="484"/>
    </row>
    <row r="251" spans="8:9">
      <c r="H251" s="455"/>
      <c r="I251" s="484"/>
    </row>
    <row r="252" spans="8:9">
      <c r="H252" s="455"/>
      <c r="I252" s="484"/>
    </row>
    <row r="253" spans="8:9">
      <c r="H253" s="455"/>
      <c r="I253" s="484"/>
    </row>
    <row r="254" spans="8:9">
      <c r="H254" s="455"/>
      <c r="I254" s="484"/>
    </row>
    <row r="255" spans="8:9">
      <c r="H255" s="455"/>
      <c r="I255" s="484"/>
    </row>
    <row r="256" spans="8:9">
      <c r="H256" s="455"/>
      <c r="I256" s="484"/>
    </row>
    <row r="257" spans="8:9">
      <c r="H257" s="455"/>
      <c r="I257" s="484"/>
    </row>
    <row r="258" spans="8:9">
      <c r="H258" s="455"/>
      <c r="I258" s="484"/>
    </row>
    <row r="259" spans="8:9">
      <c r="H259" s="455"/>
      <c r="I259" s="484"/>
    </row>
    <row r="260" spans="8:9">
      <c r="H260" s="455"/>
      <c r="I260" s="484"/>
    </row>
    <row r="261" spans="8:9">
      <c r="H261" s="455"/>
      <c r="I261" s="484"/>
    </row>
    <row r="262" spans="8:9">
      <c r="H262" s="455"/>
      <c r="I262" s="484"/>
    </row>
    <row r="263" spans="8:9">
      <c r="H263" s="455"/>
      <c r="I263" s="484"/>
    </row>
    <row r="264" spans="8:9">
      <c r="H264" s="455"/>
      <c r="I264" s="484"/>
    </row>
    <row r="265" spans="8:9">
      <c r="H265" s="455"/>
      <c r="I265" s="484"/>
    </row>
    <row r="266" spans="8:9">
      <c r="H266" s="455"/>
      <c r="I266" s="484"/>
    </row>
    <row r="267" spans="8:9">
      <c r="H267" s="455"/>
      <c r="I267" s="484"/>
    </row>
    <row r="268" spans="8:9">
      <c r="H268" s="455"/>
      <c r="I268" s="484"/>
    </row>
    <row r="269" spans="8:9">
      <c r="H269" s="455"/>
      <c r="I269" s="484"/>
    </row>
    <row r="270" spans="8:9">
      <c r="H270" s="455"/>
      <c r="I270" s="484"/>
    </row>
    <row r="271" spans="8:9">
      <c r="H271" s="455"/>
      <c r="I271" s="484"/>
    </row>
    <row r="272" spans="8:9">
      <c r="H272" s="455"/>
      <c r="I272" s="484"/>
    </row>
    <row r="273" spans="8:9">
      <c r="H273" s="455"/>
      <c r="I273" s="484"/>
    </row>
    <row r="274" spans="8:9">
      <c r="H274" s="455"/>
      <c r="I274" s="484"/>
    </row>
    <row r="275" spans="8:9">
      <c r="H275" s="455"/>
      <c r="I275" s="484"/>
    </row>
    <row r="276" spans="8:9">
      <c r="H276" s="455"/>
      <c r="I276" s="484"/>
    </row>
    <row r="277" spans="8:9">
      <c r="H277" s="455"/>
      <c r="I277" s="484"/>
    </row>
    <row r="278" spans="8:9">
      <c r="H278" s="455"/>
      <c r="I278" s="484"/>
    </row>
    <row r="279" spans="8:9">
      <c r="H279" s="455"/>
      <c r="I279" s="484"/>
    </row>
    <row r="280" spans="8:9">
      <c r="H280" s="455"/>
      <c r="I280" s="484"/>
    </row>
    <row r="281" spans="8:9">
      <c r="H281" s="455"/>
      <c r="I281" s="484"/>
    </row>
    <row r="282" spans="8:9">
      <c r="H282" s="455"/>
      <c r="I282" s="484"/>
    </row>
    <row r="283" spans="8:9">
      <c r="H283" s="455"/>
      <c r="I283" s="484"/>
    </row>
    <row r="284" spans="8:9">
      <c r="H284" s="455"/>
      <c r="I284" s="484"/>
    </row>
    <row r="285" spans="8:9">
      <c r="H285" s="455"/>
      <c r="I285" s="484"/>
    </row>
    <row r="286" spans="8:9">
      <c r="H286" s="455"/>
      <c r="I286" s="484"/>
    </row>
    <row r="287" spans="8:9">
      <c r="H287" s="455"/>
      <c r="I287" s="484"/>
    </row>
    <row r="288" spans="8:9">
      <c r="H288" s="455"/>
      <c r="I288" s="484"/>
    </row>
    <row r="289" spans="8:9">
      <c r="H289" s="455"/>
      <c r="I289" s="484"/>
    </row>
    <row r="290" spans="8:9">
      <c r="H290" s="455"/>
      <c r="I290" s="484"/>
    </row>
    <row r="291" spans="8:9">
      <c r="H291" s="455"/>
      <c r="I291" s="484"/>
    </row>
    <row r="292" spans="8:9">
      <c r="H292" s="455"/>
      <c r="I292" s="484"/>
    </row>
    <row r="293" spans="8:9">
      <c r="H293" s="455"/>
      <c r="I293" s="484"/>
    </row>
    <row r="294" spans="8:9">
      <c r="H294" s="455"/>
      <c r="I294" s="484"/>
    </row>
    <row r="295" spans="8:9">
      <c r="H295" s="455"/>
      <c r="I295" s="484"/>
    </row>
    <row r="296" spans="8:9">
      <c r="H296" s="455"/>
      <c r="I296" s="484"/>
    </row>
    <row r="297" spans="8:9">
      <c r="H297" s="455"/>
      <c r="I297" s="484"/>
    </row>
    <row r="298" spans="8:9">
      <c r="H298" s="455"/>
      <c r="I298" s="484"/>
    </row>
    <row r="299" spans="8:9">
      <c r="H299" s="455"/>
      <c r="I299" s="484"/>
    </row>
    <row r="300" spans="8:9">
      <c r="H300" s="455"/>
      <c r="I300" s="484"/>
    </row>
    <row r="301" spans="8:9">
      <c r="H301" s="455"/>
      <c r="I301" s="484"/>
    </row>
    <row r="302" spans="8:9">
      <c r="H302" s="455"/>
      <c r="I302" s="484"/>
    </row>
    <row r="303" spans="8:9">
      <c r="H303" s="455"/>
      <c r="I303" s="484"/>
    </row>
    <row r="304" spans="8:9">
      <c r="H304" s="455"/>
      <c r="I304" s="484"/>
    </row>
    <row r="305" spans="8:9">
      <c r="H305" s="455"/>
      <c r="I305" s="484"/>
    </row>
    <row r="306" spans="8:9">
      <c r="H306" s="455"/>
      <c r="I306" s="484"/>
    </row>
    <row r="307" spans="8:9">
      <c r="H307" s="455"/>
      <c r="I307" s="484"/>
    </row>
    <row r="308" spans="8:9">
      <c r="H308" s="455"/>
      <c r="I308" s="484"/>
    </row>
    <row r="309" spans="8:9">
      <c r="H309" s="455"/>
      <c r="I309" s="484"/>
    </row>
    <row r="310" spans="8:9">
      <c r="H310" s="455"/>
      <c r="I310" s="484"/>
    </row>
    <row r="311" spans="8:9">
      <c r="H311" s="455"/>
      <c r="I311" s="484"/>
    </row>
    <row r="312" spans="8:9">
      <c r="H312" s="455"/>
      <c r="I312" s="484"/>
    </row>
    <row r="313" spans="8:9">
      <c r="H313" s="455"/>
      <c r="I313" s="484"/>
    </row>
    <row r="314" spans="8:9">
      <c r="H314" s="455"/>
      <c r="I314" s="484"/>
    </row>
    <row r="315" spans="8:9">
      <c r="H315" s="455"/>
      <c r="I315" s="484"/>
    </row>
    <row r="316" spans="8:9">
      <c r="H316" s="455"/>
      <c r="I316" s="484"/>
    </row>
    <row r="317" spans="8:9">
      <c r="H317" s="455"/>
      <c r="I317" s="484"/>
    </row>
    <row r="318" spans="8:9">
      <c r="H318" s="455"/>
      <c r="I318" s="484"/>
    </row>
    <row r="319" spans="8:9">
      <c r="H319" s="455"/>
      <c r="I319" s="484"/>
    </row>
    <row r="320" spans="8:9">
      <c r="H320" s="455"/>
      <c r="I320" s="484"/>
    </row>
    <row r="321" spans="8:9">
      <c r="H321" s="455"/>
      <c r="I321" s="484"/>
    </row>
    <row r="322" spans="8:9">
      <c r="H322" s="455"/>
      <c r="I322" s="484"/>
    </row>
    <row r="323" spans="8:9">
      <c r="H323" s="455"/>
      <c r="I323" s="484"/>
    </row>
    <row r="324" spans="8:9">
      <c r="H324" s="455"/>
      <c r="I324" s="484"/>
    </row>
    <row r="325" spans="8:9">
      <c r="H325" s="455"/>
      <c r="I325" s="484"/>
    </row>
    <row r="326" spans="8:9">
      <c r="H326" s="455"/>
      <c r="I326" s="484"/>
    </row>
    <row r="327" spans="8:9">
      <c r="H327" s="455"/>
      <c r="I327" s="484"/>
    </row>
    <row r="328" spans="8:9">
      <c r="H328" s="455"/>
      <c r="I328" s="484"/>
    </row>
    <row r="329" spans="8:9">
      <c r="H329" s="455"/>
      <c r="I329" s="484"/>
    </row>
    <row r="330" spans="8:9">
      <c r="H330" s="455"/>
      <c r="I330" s="484"/>
    </row>
    <row r="331" spans="8:9">
      <c r="H331" s="455"/>
      <c r="I331" s="484"/>
    </row>
    <row r="332" spans="8:9">
      <c r="H332" s="455"/>
      <c r="I332" s="484"/>
    </row>
    <row r="333" spans="8:9">
      <c r="H333" s="455"/>
      <c r="I333" s="484"/>
    </row>
    <row r="334" spans="8:9">
      <c r="H334" s="455"/>
      <c r="I334" s="484"/>
    </row>
    <row r="335" spans="8:9">
      <c r="H335" s="455"/>
      <c r="I335" s="484"/>
    </row>
    <row r="336" spans="8:9">
      <c r="H336" s="455"/>
      <c r="I336" s="484"/>
    </row>
    <row r="337" spans="8:9">
      <c r="H337" s="455"/>
      <c r="I337" s="484"/>
    </row>
    <row r="338" spans="8:9">
      <c r="H338" s="455"/>
      <c r="I338" s="484"/>
    </row>
    <row r="339" spans="8:9">
      <c r="H339" s="455"/>
      <c r="I339" s="484"/>
    </row>
    <row r="340" spans="8:9">
      <c r="H340" s="455"/>
      <c r="I340" s="484"/>
    </row>
    <row r="341" spans="8:9">
      <c r="H341" s="455"/>
      <c r="I341" s="484"/>
    </row>
    <row r="342" spans="8:9">
      <c r="H342" s="455"/>
      <c r="I342" s="484"/>
    </row>
    <row r="343" spans="8:9">
      <c r="H343" s="455"/>
      <c r="I343" s="484"/>
    </row>
    <row r="344" spans="8:9">
      <c r="H344" s="455"/>
      <c r="I344" s="484"/>
    </row>
    <row r="345" spans="8:9">
      <c r="H345" s="455"/>
      <c r="I345" s="484"/>
    </row>
    <row r="346" spans="8:9">
      <c r="H346" s="455"/>
      <c r="I346" s="484"/>
    </row>
    <row r="347" spans="8:9">
      <c r="H347" s="455"/>
      <c r="I347" s="484"/>
    </row>
    <row r="348" spans="8:9">
      <c r="H348" s="455"/>
      <c r="I348" s="484"/>
    </row>
    <row r="349" spans="8:9">
      <c r="H349" s="455"/>
      <c r="I349" s="484"/>
    </row>
    <row r="350" spans="8:9">
      <c r="H350" s="455"/>
      <c r="I350" s="484"/>
    </row>
    <row r="351" spans="8:9">
      <c r="H351" s="455"/>
      <c r="I351" s="484"/>
    </row>
    <row r="352" spans="8:9">
      <c r="H352" s="455"/>
      <c r="I352" s="484"/>
    </row>
    <row r="353" spans="8:9">
      <c r="H353" s="455"/>
      <c r="I353" s="484"/>
    </row>
    <row r="354" spans="8:9">
      <c r="H354" s="455"/>
      <c r="I354" s="484"/>
    </row>
    <row r="355" spans="8:9">
      <c r="H355" s="455"/>
      <c r="I355" s="484"/>
    </row>
    <row r="356" spans="8:9">
      <c r="H356" s="455"/>
      <c r="I356" s="484"/>
    </row>
    <row r="357" spans="8:9">
      <c r="H357" s="455"/>
      <c r="I357" s="484"/>
    </row>
    <row r="358" spans="8:9">
      <c r="H358" s="455"/>
      <c r="I358" s="484"/>
    </row>
    <row r="359" spans="8:9">
      <c r="H359" s="455"/>
      <c r="I359" s="484"/>
    </row>
    <row r="360" spans="8:9">
      <c r="H360" s="455"/>
      <c r="I360" s="484"/>
    </row>
    <row r="361" spans="8:9">
      <c r="H361" s="455"/>
      <c r="I361" s="484"/>
    </row>
    <row r="362" spans="8:9">
      <c r="H362" s="455"/>
      <c r="I362" s="484"/>
    </row>
    <row r="363" spans="8:9">
      <c r="H363" s="455"/>
      <c r="I363" s="484"/>
    </row>
    <row r="364" spans="8:9">
      <c r="H364" s="455"/>
      <c r="I364" s="484"/>
    </row>
    <row r="365" spans="8:9">
      <c r="H365" s="455"/>
      <c r="I365" s="484"/>
    </row>
    <row r="366" spans="8:9">
      <c r="H366" s="455"/>
      <c r="I366" s="484"/>
    </row>
    <row r="367" spans="8:9">
      <c r="H367" s="455"/>
      <c r="I367" s="484"/>
    </row>
    <row r="368" spans="8:9">
      <c r="H368" s="455"/>
      <c r="I368" s="484"/>
    </row>
    <row r="369" spans="8:9">
      <c r="H369" s="455"/>
      <c r="I369" s="484"/>
    </row>
    <row r="370" spans="8:9">
      <c r="H370" s="455"/>
      <c r="I370" s="484"/>
    </row>
    <row r="371" spans="8:9">
      <c r="H371" s="455"/>
      <c r="I371" s="484"/>
    </row>
    <row r="372" spans="8:9">
      <c r="H372" s="455"/>
      <c r="I372" s="484"/>
    </row>
    <row r="373" spans="8:9">
      <c r="H373" s="455"/>
      <c r="I373" s="484"/>
    </row>
    <row r="374" spans="8:9">
      <c r="H374" s="455"/>
      <c r="I374" s="484"/>
    </row>
    <row r="375" spans="8:9">
      <c r="H375" s="455"/>
      <c r="I375" s="484"/>
    </row>
    <row r="376" spans="8:9">
      <c r="H376" s="455"/>
      <c r="I376" s="484"/>
    </row>
    <row r="377" spans="8:9">
      <c r="H377" s="455"/>
      <c r="I377" s="484"/>
    </row>
    <row r="378" spans="8:9">
      <c r="H378" s="455"/>
      <c r="I378" s="484"/>
    </row>
    <row r="379" spans="8:9">
      <c r="H379" s="455"/>
      <c r="I379" s="484"/>
    </row>
    <row r="380" spans="8:9">
      <c r="H380" s="455"/>
      <c r="I380" s="484"/>
    </row>
    <row r="381" spans="8:9">
      <c r="H381" s="455"/>
      <c r="I381" s="484"/>
    </row>
    <row r="382" spans="8:9">
      <c r="H382" s="455"/>
      <c r="I382" s="484"/>
    </row>
    <row r="383" spans="8:9">
      <c r="H383" s="455"/>
      <c r="I383" s="484"/>
    </row>
    <row r="384" spans="8:9">
      <c r="H384" s="455"/>
      <c r="I384" s="484"/>
    </row>
    <row r="385" spans="8:9">
      <c r="H385" s="455"/>
      <c r="I385" s="484"/>
    </row>
    <row r="386" spans="8:9">
      <c r="H386" s="455"/>
      <c r="I386" s="484"/>
    </row>
    <row r="387" spans="8:9">
      <c r="H387" s="455"/>
      <c r="I387" s="484"/>
    </row>
    <row r="388" spans="8:9">
      <c r="H388" s="455"/>
      <c r="I388" s="484"/>
    </row>
    <row r="389" spans="8:9">
      <c r="H389" s="455"/>
      <c r="I389" s="484"/>
    </row>
    <row r="390" spans="8:9">
      <c r="H390" s="455"/>
      <c r="I390" s="484"/>
    </row>
    <row r="391" spans="8:9">
      <c r="H391" s="455"/>
      <c r="I391" s="484"/>
    </row>
    <row r="392" spans="8:9">
      <c r="H392" s="455"/>
      <c r="I392" s="484"/>
    </row>
    <row r="393" spans="8:9">
      <c r="H393" s="455"/>
      <c r="I393" s="484"/>
    </row>
    <row r="394" spans="8:9">
      <c r="H394" s="455"/>
      <c r="I394" s="484"/>
    </row>
    <row r="395" spans="8:9">
      <c r="H395" s="455"/>
      <c r="I395" s="484"/>
    </row>
    <row r="396" spans="8:9">
      <c r="H396" s="455"/>
      <c r="I396" s="484"/>
    </row>
    <row r="397" spans="8:9">
      <c r="H397" s="455"/>
      <c r="I397" s="484"/>
    </row>
    <row r="398" spans="8:9">
      <c r="H398" s="455"/>
      <c r="I398" s="484"/>
    </row>
    <row r="399" spans="8:9">
      <c r="H399" s="455"/>
      <c r="I399" s="484"/>
    </row>
    <row r="400" spans="8:9">
      <c r="H400" s="455"/>
      <c r="I400" s="484"/>
    </row>
    <row r="401" spans="8:9">
      <c r="H401" s="455"/>
      <c r="I401" s="484"/>
    </row>
    <row r="402" spans="8:9">
      <c r="H402" s="455"/>
      <c r="I402" s="484"/>
    </row>
    <row r="403" spans="8:9">
      <c r="H403" s="455"/>
      <c r="I403" s="484"/>
    </row>
    <row r="404" spans="8:9">
      <c r="H404" s="455"/>
      <c r="I404" s="484"/>
    </row>
    <row r="405" spans="8:9">
      <c r="H405" s="455"/>
      <c r="I405" s="484"/>
    </row>
    <row r="406" spans="8:9">
      <c r="H406" s="455"/>
      <c r="I406" s="484"/>
    </row>
    <row r="407" spans="8:9">
      <c r="H407" s="455"/>
      <c r="I407" s="484"/>
    </row>
    <row r="408" spans="8:9">
      <c r="H408" s="455"/>
      <c r="I408" s="484"/>
    </row>
    <row r="409" spans="8:9">
      <c r="H409" s="455"/>
      <c r="I409" s="484"/>
    </row>
    <row r="410" spans="8:9">
      <c r="H410" s="455"/>
      <c r="I410" s="484"/>
    </row>
    <row r="411" spans="8:9">
      <c r="H411" s="455"/>
      <c r="I411" s="484"/>
    </row>
    <row r="412" spans="8:9">
      <c r="H412" s="455"/>
      <c r="I412" s="484"/>
    </row>
    <row r="413" spans="8:9">
      <c r="H413" s="455"/>
      <c r="I413" s="484"/>
    </row>
    <row r="414" spans="8:9">
      <c r="H414" s="455"/>
      <c r="I414" s="484"/>
    </row>
    <row r="415" spans="8:9">
      <c r="H415" s="455"/>
      <c r="I415" s="484"/>
    </row>
    <row r="416" spans="8:9">
      <c r="H416" s="455"/>
      <c r="I416" s="484"/>
    </row>
    <row r="417" spans="8:9">
      <c r="H417" s="455"/>
      <c r="I417" s="484"/>
    </row>
    <row r="418" spans="8:9">
      <c r="H418" s="455"/>
      <c r="I418" s="484"/>
    </row>
    <row r="419" spans="8:9">
      <c r="H419" s="455"/>
      <c r="I419" s="484"/>
    </row>
    <row r="420" spans="8:9">
      <c r="H420" s="455"/>
      <c r="I420" s="484"/>
    </row>
    <row r="421" spans="8:9">
      <c r="H421" s="455"/>
      <c r="I421" s="484"/>
    </row>
    <row r="422" spans="8:9">
      <c r="H422" s="455"/>
      <c r="I422" s="484"/>
    </row>
    <row r="423" spans="8:9">
      <c r="H423" s="455"/>
      <c r="I423" s="484"/>
    </row>
    <row r="424" spans="8:9">
      <c r="H424" s="455"/>
      <c r="I424" s="484"/>
    </row>
    <row r="425" spans="8:9">
      <c r="H425" s="455"/>
      <c r="I425" s="484"/>
    </row>
    <row r="426" spans="8:9">
      <c r="H426" s="455"/>
      <c r="I426" s="484"/>
    </row>
    <row r="427" spans="8:9">
      <c r="H427" s="455"/>
      <c r="I427" s="484"/>
    </row>
    <row r="428" spans="8:9">
      <c r="H428" s="455"/>
      <c r="I428" s="484"/>
    </row>
    <row r="429" spans="8:9">
      <c r="H429" s="455"/>
      <c r="I429" s="484"/>
    </row>
    <row r="430" spans="8:9">
      <c r="H430" s="455"/>
      <c r="I430" s="484"/>
    </row>
    <row r="431" spans="8:9">
      <c r="H431" s="455"/>
      <c r="I431" s="484"/>
    </row>
    <row r="432" spans="8:9">
      <c r="H432" s="455"/>
      <c r="I432" s="484"/>
    </row>
    <row r="433" spans="8:9">
      <c r="H433" s="455"/>
      <c r="I433" s="484"/>
    </row>
    <row r="434" spans="8:9">
      <c r="H434" s="455"/>
      <c r="I434" s="484"/>
    </row>
    <row r="435" spans="8:9">
      <c r="H435" s="455"/>
      <c r="I435" s="484"/>
    </row>
    <row r="436" spans="8:9">
      <c r="H436" s="455"/>
      <c r="I436" s="484"/>
    </row>
    <row r="437" spans="8:9">
      <c r="H437" s="455"/>
      <c r="I437" s="484"/>
    </row>
    <row r="438" spans="8:9">
      <c r="H438" s="455"/>
      <c r="I438" s="484"/>
    </row>
    <row r="439" spans="8:9">
      <c r="H439" s="455"/>
      <c r="I439" s="484"/>
    </row>
    <row r="440" spans="8:9">
      <c r="H440" s="455"/>
      <c r="I440" s="484"/>
    </row>
    <row r="441" spans="8:9">
      <c r="H441" s="455"/>
      <c r="I441" s="484"/>
    </row>
    <row r="442" spans="8:9">
      <c r="H442" s="455"/>
      <c r="I442" s="484"/>
    </row>
    <row r="443" spans="8:9">
      <c r="H443" s="455"/>
      <c r="I443" s="484"/>
    </row>
    <row r="444" spans="8:9">
      <c r="H444" s="455"/>
      <c r="I444" s="484"/>
    </row>
    <row r="445" spans="8:9">
      <c r="H445" s="455"/>
      <c r="I445" s="484"/>
    </row>
    <row r="446" spans="8:9">
      <c r="H446" s="455"/>
      <c r="I446" s="484"/>
    </row>
    <row r="447" spans="8:9">
      <c r="H447" s="455"/>
      <c r="I447" s="484"/>
    </row>
    <row r="448" spans="8:9">
      <c r="H448" s="455"/>
      <c r="I448" s="484"/>
    </row>
    <row r="449" spans="8:9">
      <c r="H449" s="455"/>
      <c r="I449" s="484"/>
    </row>
    <row r="450" spans="8:9">
      <c r="H450" s="455"/>
      <c r="I450" s="484"/>
    </row>
    <row r="451" spans="8:9">
      <c r="H451" s="455"/>
      <c r="I451" s="484"/>
    </row>
    <row r="452" spans="8:9">
      <c r="H452" s="455"/>
      <c r="I452" s="484"/>
    </row>
    <row r="453" spans="8:9">
      <c r="H453" s="455"/>
      <c r="I453" s="484"/>
    </row>
    <row r="454" spans="8:9">
      <c r="H454" s="455"/>
      <c r="I454" s="484"/>
    </row>
    <row r="455" spans="8:9">
      <c r="H455" s="455"/>
      <c r="I455" s="484"/>
    </row>
    <row r="456" spans="8:9">
      <c r="H456" s="455"/>
      <c r="I456" s="484"/>
    </row>
    <row r="457" spans="8:9">
      <c r="H457" s="455"/>
      <c r="I457" s="484"/>
    </row>
    <row r="458" spans="8:9">
      <c r="H458" s="455"/>
      <c r="I458" s="484"/>
    </row>
    <row r="459" spans="8:9">
      <c r="H459" s="455"/>
      <c r="I459" s="484"/>
    </row>
    <row r="460" spans="8:9">
      <c r="H460" s="455"/>
      <c r="I460" s="484"/>
    </row>
    <row r="461" spans="8:9">
      <c r="H461" s="455"/>
      <c r="I461" s="484"/>
    </row>
    <row r="462" spans="8:9">
      <c r="H462" s="455"/>
      <c r="I462" s="484"/>
    </row>
    <row r="463" spans="8:9">
      <c r="H463" s="455"/>
      <c r="I463" s="484"/>
    </row>
    <row r="464" spans="8:9">
      <c r="H464" s="455"/>
      <c r="I464" s="484"/>
    </row>
    <row r="465" spans="8:9">
      <c r="H465" s="455"/>
      <c r="I465" s="484"/>
    </row>
    <row r="466" spans="8:9">
      <c r="H466" s="455"/>
      <c r="I466" s="484"/>
    </row>
    <row r="467" spans="8:9">
      <c r="H467" s="455"/>
      <c r="I467" s="484"/>
    </row>
    <row r="468" spans="8:9">
      <c r="H468" s="455"/>
      <c r="I468" s="484"/>
    </row>
    <row r="469" spans="8:9">
      <c r="H469" s="455"/>
      <c r="I469" s="484"/>
    </row>
    <row r="470" spans="8:9">
      <c r="H470" s="455"/>
      <c r="I470" s="484"/>
    </row>
    <row r="471" spans="8:9">
      <c r="H471" s="455"/>
      <c r="I471" s="484"/>
    </row>
    <row r="472" spans="8:9">
      <c r="H472" s="455"/>
      <c r="I472" s="484"/>
    </row>
    <row r="473" spans="8:9">
      <c r="H473" s="455"/>
      <c r="I473" s="484"/>
    </row>
    <row r="474" spans="8:9">
      <c r="H474" s="455"/>
      <c r="I474" s="484"/>
    </row>
    <row r="475" spans="8:9">
      <c r="H475" s="455"/>
      <c r="I475" s="484"/>
    </row>
    <row r="476" spans="8:9">
      <c r="H476" s="455"/>
      <c r="I476" s="484"/>
    </row>
    <row r="477" spans="8:9">
      <c r="H477" s="455"/>
      <c r="I477" s="484"/>
    </row>
    <row r="478" spans="8:9">
      <c r="H478" s="455"/>
      <c r="I478" s="484"/>
    </row>
    <row r="479" spans="8:9">
      <c r="H479" s="455"/>
      <c r="I479" s="484"/>
    </row>
    <row r="480" spans="8:9">
      <c r="H480" s="455"/>
      <c r="I480" s="484"/>
    </row>
    <row r="481" spans="8:9">
      <c r="H481" s="455"/>
      <c r="I481" s="484"/>
    </row>
    <row r="482" spans="8:9">
      <c r="H482" s="455"/>
      <c r="I482" s="484"/>
    </row>
    <row r="483" spans="8:9">
      <c r="H483" s="455"/>
      <c r="I483" s="484"/>
    </row>
    <row r="484" spans="8:9">
      <c r="H484" s="455"/>
      <c r="I484" s="484"/>
    </row>
    <row r="485" spans="8:9">
      <c r="H485" s="455"/>
      <c r="I485" s="484"/>
    </row>
    <row r="486" spans="8:9">
      <c r="H486" s="455"/>
      <c r="I486" s="484"/>
    </row>
    <row r="487" spans="8:9">
      <c r="H487" s="455"/>
      <c r="I487" s="484"/>
    </row>
    <row r="488" spans="8:9">
      <c r="H488" s="455"/>
      <c r="I488" s="484"/>
    </row>
    <row r="489" spans="8:9">
      <c r="H489" s="455"/>
      <c r="I489" s="484"/>
    </row>
    <row r="490" spans="8:9">
      <c r="H490" s="455"/>
      <c r="I490" s="484"/>
    </row>
    <row r="491" spans="8:9">
      <c r="H491" s="455"/>
      <c r="I491" s="484"/>
    </row>
    <row r="492" spans="8:9">
      <c r="H492" s="455"/>
      <c r="I492" s="484"/>
    </row>
    <row r="493" spans="8:9">
      <c r="H493" s="455"/>
      <c r="I493" s="484"/>
    </row>
    <row r="494" spans="8:9">
      <c r="H494" s="455"/>
      <c r="I494" s="484"/>
    </row>
    <row r="495" spans="8:9">
      <c r="H495" s="455"/>
      <c r="I495" s="484"/>
    </row>
    <row r="496" spans="8:9">
      <c r="H496" s="455"/>
      <c r="I496" s="484"/>
    </row>
    <row r="497" spans="8:9">
      <c r="H497" s="455"/>
      <c r="I497" s="484"/>
    </row>
    <row r="498" spans="8:9">
      <c r="H498" s="455"/>
      <c r="I498" s="484"/>
    </row>
    <row r="499" spans="8:9">
      <c r="H499" s="455"/>
      <c r="I499" s="484"/>
    </row>
    <row r="500" spans="8:9">
      <c r="H500" s="455"/>
      <c r="I500" s="484"/>
    </row>
    <row r="501" spans="8:9">
      <c r="H501" s="455"/>
      <c r="I501" s="484"/>
    </row>
    <row r="502" spans="8:9">
      <c r="H502" s="455"/>
      <c r="I502" s="484"/>
    </row>
    <row r="503" spans="8:9">
      <c r="H503" s="455"/>
      <c r="I503" s="484"/>
    </row>
    <row r="504" spans="8:9">
      <c r="H504" s="455"/>
      <c r="I504" s="484"/>
    </row>
    <row r="505" spans="8:9">
      <c r="H505" s="455"/>
      <c r="I505" s="484"/>
    </row>
    <row r="506" spans="8:9">
      <c r="H506" s="455"/>
      <c r="I506" s="484"/>
    </row>
    <row r="507" spans="8:9">
      <c r="H507" s="455"/>
      <c r="I507" s="484"/>
    </row>
    <row r="508" spans="8:9">
      <c r="H508" s="455"/>
      <c r="I508" s="484"/>
    </row>
    <row r="509" spans="8:9">
      <c r="H509" s="455"/>
      <c r="I509" s="484"/>
    </row>
    <row r="510" spans="8:9">
      <c r="H510" s="455"/>
      <c r="I510" s="484"/>
    </row>
    <row r="511" spans="8:9">
      <c r="H511" s="455"/>
      <c r="I511" s="484"/>
    </row>
    <row r="512" spans="8:9">
      <c r="H512" s="455"/>
      <c r="I512" s="484"/>
    </row>
    <row r="513" spans="8:9">
      <c r="H513" s="455"/>
      <c r="I513" s="484"/>
    </row>
    <row r="514" spans="8:9">
      <c r="H514" s="455"/>
      <c r="I514" s="484"/>
    </row>
    <row r="515" spans="8:9">
      <c r="H515" s="455"/>
      <c r="I515" s="484"/>
    </row>
    <row r="516" spans="8:9">
      <c r="H516" s="455"/>
      <c r="I516" s="484"/>
    </row>
    <row r="517" spans="8:9">
      <c r="H517" s="455"/>
      <c r="I517" s="484"/>
    </row>
    <row r="518" spans="8:9">
      <c r="H518" s="455"/>
      <c r="I518" s="484"/>
    </row>
    <row r="519" spans="8:9">
      <c r="H519" s="455"/>
      <c r="I519" s="484"/>
    </row>
    <row r="520" spans="8:9">
      <c r="H520" s="455"/>
      <c r="I520" s="484"/>
    </row>
    <row r="521" spans="8:9">
      <c r="H521" s="455"/>
      <c r="I521" s="484"/>
    </row>
    <row r="522" spans="8:9">
      <c r="H522" s="455"/>
      <c r="I522" s="484"/>
    </row>
    <row r="523" spans="8:9">
      <c r="H523" s="455"/>
      <c r="I523" s="484"/>
    </row>
    <row r="524" spans="8:9">
      <c r="H524" s="455"/>
      <c r="I524" s="484"/>
    </row>
    <row r="525" spans="8:9">
      <c r="H525" s="455"/>
      <c r="I525" s="484"/>
    </row>
    <row r="526" spans="8:9">
      <c r="H526" s="455"/>
      <c r="I526" s="484"/>
    </row>
    <row r="527" spans="8:9">
      <c r="H527" s="455"/>
      <c r="I527" s="484"/>
    </row>
    <row r="528" spans="8:9">
      <c r="H528" s="455"/>
      <c r="I528" s="484"/>
    </row>
    <row r="529" spans="8:9">
      <c r="H529" s="455"/>
      <c r="I529" s="484"/>
    </row>
    <row r="530" spans="8:9">
      <c r="H530" s="455"/>
      <c r="I530" s="484"/>
    </row>
    <row r="531" spans="8:9">
      <c r="H531" s="455"/>
      <c r="I531" s="484"/>
    </row>
    <row r="532" spans="8:9">
      <c r="H532" s="455"/>
      <c r="I532" s="484"/>
    </row>
    <row r="533" spans="8:9">
      <c r="H533" s="455"/>
      <c r="I533" s="484"/>
    </row>
    <row r="534" spans="8:9">
      <c r="H534" s="455"/>
      <c r="I534" s="484"/>
    </row>
    <row r="535" spans="8:9">
      <c r="H535" s="455"/>
      <c r="I535" s="484"/>
    </row>
    <row r="536" spans="8:9">
      <c r="H536" s="455"/>
      <c r="I536" s="484"/>
    </row>
    <row r="537" spans="8:9">
      <c r="H537" s="455"/>
      <c r="I537" s="484"/>
    </row>
    <row r="538" spans="8:9">
      <c r="H538" s="455"/>
      <c r="I538" s="484"/>
    </row>
    <row r="539" spans="8:9">
      <c r="H539" s="455"/>
      <c r="I539" s="484"/>
    </row>
    <row r="540" spans="8:9">
      <c r="H540" s="455"/>
      <c r="I540" s="484"/>
    </row>
    <row r="541" spans="8:9">
      <c r="H541" s="455"/>
      <c r="I541" s="484"/>
    </row>
    <row r="542" spans="8:9">
      <c r="H542" s="455"/>
      <c r="I542" s="484"/>
    </row>
    <row r="543" spans="8:9">
      <c r="H543" s="455"/>
      <c r="I543" s="484"/>
    </row>
    <row r="544" spans="8:9">
      <c r="H544" s="455"/>
      <c r="I544" s="484"/>
    </row>
    <row r="545" spans="8:9">
      <c r="H545" s="455"/>
      <c r="I545" s="484"/>
    </row>
    <row r="546" spans="8:9">
      <c r="H546" s="455"/>
      <c r="I546" s="484"/>
    </row>
    <row r="547" spans="8:9">
      <c r="H547" s="455"/>
      <c r="I547" s="484"/>
    </row>
    <row r="548" spans="8:9">
      <c r="H548" s="455"/>
      <c r="I548" s="484"/>
    </row>
    <row r="549" spans="8:9">
      <c r="H549" s="455"/>
      <c r="I549" s="484"/>
    </row>
    <row r="550" spans="8:9">
      <c r="H550" s="455"/>
      <c r="I550" s="484"/>
    </row>
    <row r="551" spans="8:9">
      <c r="H551" s="455"/>
      <c r="I551" s="484"/>
    </row>
    <row r="552" spans="8:9">
      <c r="H552" s="455"/>
      <c r="I552" s="484"/>
    </row>
    <row r="553" spans="8:9">
      <c r="H553" s="455"/>
      <c r="I553" s="484"/>
    </row>
    <row r="554" spans="8:9">
      <c r="H554" s="455"/>
      <c r="I554" s="484"/>
    </row>
    <row r="555" spans="8:9">
      <c r="H555" s="455"/>
      <c r="I555" s="484"/>
    </row>
    <row r="556" spans="8:9">
      <c r="H556" s="455"/>
      <c r="I556" s="484"/>
    </row>
    <row r="557" spans="8:9">
      <c r="H557" s="455"/>
      <c r="I557" s="484"/>
    </row>
    <row r="558" spans="8:9">
      <c r="H558" s="455"/>
      <c r="I558" s="484"/>
    </row>
    <row r="559" spans="8:9">
      <c r="H559" s="455"/>
      <c r="I559" s="484"/>
    </row>
    <row r="560" spans="8:9">
      <c r="H560" s="455"/>
      <c r="I560" s="484"/>
    </row>
    <row r="561" spans="8:9">
      <c r="H561" s="455"/>
      <c r="I561" s="484"/>
    </row>
    <row r="562" spans="8:9">
      <c r="H562" s="455"/>
      <c r="I562" s="484"/>
    </row>
    <row r="563" spans="8:9">
      <c r="H563" s="455"/>
      <c r="I563" s="484"/>
    </row>
    <row r="564" spans="8:9">
      <c r="H564" s="455"/>
      <c r="I564" s="484"/>
    </row>
    <row r="565" spans="8:9">
      <c r="H565" s="455"/>
      <c r="I565" s="484"/>
    </row>
    <row r="566" spans="8:9">
      <c r="H566" s="455"/>
      <c r="I566" s="484"/>
    </row>
    <row r="567" spans="8:9">
      <c r="H567" s="455"/>
      <c r="I567" s="484"/>
    </row>
    <row r="568" spans="8:9">
      <c r="H568" s="455"/>
      <c r="I568" s="484"/>
    </row>
    <row r="569" spans="8:9">
      <c r="H569" s="455"/>
      <c r="I569" s="484"/>
    </row>
    <row r="570" spans="8:9">
      <c r="H570" s="455"/>
      <c r="I570" s="484"/>
    </row>
    <row r="571" spans="8:9">
      <c r="H571" s="455"/>
      <c r="I571" s="484"/>
    </row>
    <row r="572" spans="8:9">
      <c r="H572" s="455"/>
      <c r="I572" s="484"/>
    </row>
    <row r="573" spans="8:9">
      <c r="H573" s="455"/>
      <c r="I573" s="484"/>
    </row>
    <row r="574" spans="8:9">
      <c r="H574" s="455"/>
      <c r="I574" s="484"/>
    </row>
    <row r="575" spans="8:9">
      <c r="H575" s="455"/>
      <c r="I575" s="484"/>
    </row>
    <row r="576" spans="8:9">
      <c r="H576" s="455"/>
      <c r="I576" s="484"/>
    </row>
    <row r="577" spans="8:9">
      <c r="H577" s="455"/>
      <c r="I577" s="484"/>
    </row>
    <row r="578" spans="8:9">
      <c r="H578" s="455"/>
      <c r="I578" s="484"/>
    </row>
    <row r="579" spans="8:9">
      <c r="H579" s="455"/>
      <c r="I579" s="484"/>
    </row>
    <row r="580" spans="8:9">
      <c r="H580" s="455"/>
      <c r="I580" s="484"/>
    </row>
    <row r="581" spans="8:9">
      <c r="H581" s="455"/>
      <c r="I581" s="484"/>
    </row>
    <row r="582" spans="8:9">
      <c r="H582" s="455"/>
      <c r="I582" s="484"/>
    </row>
    <row r="583" spans="8:9">
      <c r="H583" s="455"/>
      <c r="I583" s="484"/>
    </row>
    <row r="584" spans="8:9">
      <c r="H584" s="455"/>
      <c r="I584" s="484"/>
    </row>
    <row r="585" spans="8:9">
      <c r="H585" s="455"/>
      <c r="I585" s="484"/>
    </row>
    <row r="586" spans="8:9">
      <c r="H586" s="455"/>
      <c r="I586" s="484"/>
    </row>
    <row r="587" spans="8:9">
      <c r="H587" s="455"/>
      <c r="I587" s="484"/>
    </row>
    <row r="588" spans="8:9">
      <c r="H588" s="455"/>
      <c r="I588" s="484"/>
    </row>
    <row r="589" spans="8:9">
      <c r="H589" s="455"/>
      <c r="I589" s="484"/>
    </row>
    <row r="590" spans="8:9">
      <c r="H590" s="455"/>
      <c r="I590" s="484"/>
    </row>
    <row r="591" spans="8:9">
      <c r="H591" s="455"/>
      <c r="I591" s="484"/>
    </row>
    <row r="592" spans="8:9">
      <c r="H592" s="455"/>
      <c r="I592" s="484"/>
    </row>
    <row r="593" spans="8:9">
      <c r="H593" s="455"/>
      <c r="I593" s="484"/>
    </row>
    <row r="594" spans="8:9">
      <c r="H594" s="455"/>
      <c r="I594" s="484"/>
    </row>
    <row r="595" spans="8:9">
      <c r="H595" s="455"/>
      <c r="I595" s="484"/>
    </row>
    <row r="596" spans="8:9">
      <c r="H596" s="455"/>
      <c r="I596" s="484"/>
    </row>
    <row r="597" spans="8:9">
      <c r="H597" s="455"/>
      <c r="I597" s="484"/>
    </row>
    <row r="598" spans="8:9">
      <c r="H598" s="455"/>
      <c r="I598" s="484"/>
    </row>
    <row r="599" spans="8:9">
      <c r="H599" s="455"/>
      <c r="I599" s="484"/>
    </row>
    <row r="600" spans="8:9">
      <c r="H600" s="455"/>
      <c r="I600" s="484"/>
    </row>
    <row r="601" spans="8:9">
      <c r="H601" s="455"/>
      <c r="I601" s="484"/>
    </row>
    <row r="602" spans="8:9">
      <c r="H602" s="455"/>
      <c r="I602" s="484"/>
    </row>
    <row r="603" spans="8:9">
      <c r="H603" s="455"/>
      <c r="I603" s="484"/>
    </row>
    <row r="604" spans="8:9">
      <c r="H604" s="455"/>
      <c r="I604" s="484"/>
    </row>
    <row r="605" spans="8:9">
      <c r="H605" s="455"/>
      <c r="I605" s="484"/>
    </row>
    <row r="606" spans="8:9">
      <c r="H606" s="455"/>
      <c r="I606" s="484"/>
    </row>
    <row r="607" spans="8:9">
      <c r="H607" s="455"/>
      <c r="I607" s="484"/>
    </row>
    <row r="608" spans="8:9">
      <c r="H608" s="455"/>
      <c r="I608" s="484"/>
    </row>
    <row r="609" spans="8:9">
      <c r="H609" s="455"/>
      <c r="I609" s="484"/>
    </row>
    <row r="610" spans="8:9">
      <c r="H610" s="455"/>
      <c r="I610" s="484"/>
    </row>
    <row r="611" spans="8:9">
      <c r="H611" s="455"/>
      <c r="I611" s="484"/>
    </row>
    <row r="612" spans="8:9">
      <c r="H612" s="455"/>
      <c r="I612" s="484"/>
    </row>
    <row r="613" spans="8:9">
      <c r="H613" s="455"/>
      <c r="I613" s="484"/>
    </row>
    <row r="614" spans="8:9">
      <c r="H614" s="455"/>
      <c r="I614" s="484"/>
    </row>
    <row r="615" spans="8:9">
      <c r="H615" s="455"/>
      <c r="I615" s="484"/>
    </row>
    <row r="616" spans="8:9">
      <c r="H616" s="455"/>
      <c r="I616" s="484"/>
    </row>
    <row r="617" spans="8:9">
      <c r="H617" s="455"/>
      <c r="I617" s="484"/>
    </row>
    <row r="618" spans="8:9">
      <c r="H618" s="455"/>
      <c r="I618" s="484"/>
    </row>
    <row r="619" spans="8:9">
      <c r="H619" s="455"/>
      <c r="I619" s="484"/>
    </row>
    <row r="620" spans="8:9">
      <c r="H620" s="455"/>
      <c r="I620" s="484"/>
    </row>
    <row r="621" spans="8:9">
      <c r="H621" s="455"/>
      <c r="I621" s="484"/>
    </row>
    <row r="622" spans="8:9">
      <c r="H622" s="455"/>
      <c r="I622" s="484"/>
    </row>
    <row r="623" spans="8:9">
      <c r="H623" s="455"/>
      <c r="I623" s="484"/>
    </row>
    <row r="624" spans="8:9">
      <c r="H624" s="455"/>
      <c r="I624" s="484"/>
    </row>
    <row r="625" spans="8:9">
      <c r="H625" s="455"/>
      <c r="I625" s="484"/>
    </row>
    <row r="626" spans="8:9">
      <c r="H626" s="455"/>
      <c r="I626" s="484"/>
    </row>
    <row r="627" spans="8:9">
      <c r="H627" s="455"/>
      <c r="I627" s="484"/>
    </row>
    <row r="628" spans="8:9">
      <c r="H628" s="455"/>
      <c r="I628" s="484"/>
    </row>
    <row r="629" spans="8:9">
      <c r="H629" s="455"/>
      <c r="I629" s="484"/>
    </row>
    <row r="630" spans="8:9">
      <c r="H630" s="455"/>
      <c r="I630" s="484"/>
    </row>
    <row r="631" spans="8:9">
      <c r="H631" s="455"/>
      <c r="I631" s="484"/>
    </row>
    <row r="632" spans="8:9">
      <c r="H632" s="455"/>
      <c r="I632" s="484"/>
    </row>
    <row r="633" spans="8:9">
      <c r="H633" s="455"/>
      <c r="I633" s="484"/>
    </row>
    <row r="634" spans="8:9">
      <c r="H634" s="455"/>
      <c r="I634" s="484"/>
    </row>
    <row r="635" spans="8:9">
      <c r="H635" s="455"/>
      <c r="I635" s="484"/>
    </row>
    <row r="636" spans="8:9">
      <c r="H636" s="455"/>
      <c r="I636" s="484"/>
    </row>
    <row r="637" spans="8:9">
      <c r="H637" s="455"/>
      <c r="I637" s="484"/>
    </row>
    <row r="638" spans="8:9">
      <c r="H638" s="455"/>
      <c r="I638" s="484"/>
    </row>
    <row r="639" spans="8:9">
      <c r="H639" s="455"/>
      <c r="I639" s="484"/>
    </row>
    <row r="640" spans="8:9">
      <c r="H640" s="455"/>
      <c r="I640" s="484"/>
    </row>
    <row r="641" spans="8:9">
      <c r="H641" s="455"/>
      <c r="I641" s="484"/>
    </row>
    <row r="642" spans="8:9">
      <c r="H642" s="455"/>
      <c r="I642" s="484"/>
    </row>
    <row r="643" spans="8:9">
      <c r="H643" s="455"/>
      <c r="I643" s="484"/>
    </row>
    <row r="644" spans="8:9">
      <c r="H644" s="455"/>
      <c r="I644" s="484"/>
    </row>
    <row r="645" spans="8:9">
      <c r="H645" s="455"/>
      <c r="I645" s="484"/>
    </row>
    <row r="646" spans="8:9">
      <c r="H646" s="455"/>
      <c r="I646" s="484"/>
    </row>
    <row r="647" spans="8:9">
      <c r="H647" s="455"/>
      <c r="I647" s="484"/>
    </row>
    <row r="648" spans="8:9">
      <c r="H648" s="455"/>
      <c r="I648" s="484"/>
    </row>
    <row r="649" spans="8:9">
      <c r="H649" s="455"/>
      <c r="I649" s="484"/>
    </row>
    <row r="650" spans="8:9">
      <c r="H650" s="455"/>
      <c r="I650" s="484"/>
    </row>
    <row r="651" spans="8:9">
      <c r="H651" s="455"/>
      <c r="I651" s="484"/>
    </row>
    <row r="652" spans="8:9">
      <c r="H652" s="455"/>
      <c r="I652" s="484"/>
    </row>
    <row r="653" spans="8:9">
      <c r="H653" s="455"/>
      <c r="I653" s="484"/>
    </row>
    <row r="654" spans="8:9">
      <c r="H654" s="455"/>
      <c r="I654" s="484"/>
    </row>
    <row r="655" spans="8:9">
      <c r="H655" s="455"/>
      <c r="I655" s="484"/>
    </row>
    <row r="656" spans="8:9">
      <c r="H656" s="455"/>
      <c r="I656" s="484"/>
    </row>
    <row r="657" spans="8:9">
      <c r="H657" s="455"/>
      <c r="I657" s="484"/>
    </row>
    <row r="658" spans="8:9">
      <c r="H658" s="455"/>
      <c r="I658" s="484"/>
    </row>
    <row r="659" spans="8:9">
      <c r="H659" s="455"/>
      <c r="I659" s="484"/>
    </row>
    <row r="660" spans="8:9">
      <c r="H660" s="455"/>
      <c r="I660" s="484"/>
    </row>
    <row r="661" spans="8:9">
      <c r="H661" s="455"/>
      <c r="I661" s="484"/>
    </row>
    <row r="662" spans="8:9">
      <c r="H662" s="455"/>
      <c r="I662" s="484"/>
    </row>
    <row r="663" spans="8:9">
      <c r="H663" s="455"/>
      <c r="I663" s="484"/>
    </row>
    <row r="664" spans="8:9">
      <c r="H664" s="455"/>
      <c r="I664" s="484"/>
    </row>
    <row r="665" spans="8:9">
      <c r="H665" s="455"/>
      <c r="I665" s="484"/>
    </row>
    <row r="666" spans="8:9">
      <c r="H666" s="455"/>
      <c r="I666" s="484"/>
    </row>
    <row r="667" spans="8:9">
      <c r="H667" s="455"/>
      <c r="I667" s="484"/>
    </row>
    <row r="668" spans="8:9">
      <c r="H668" s="455"/>
      <c r="I668" s="484"/>
    </row>
    <row r="669" spans="8:9">
      <c r="H669" s="455"/>
      <c r="I669" s="484"/>
    </row>
    <row r="670" spans="8:9">
      <c r="H670" s="455"/>
      <c r="I670" s="484"/>
    </row>
    <row r="671" spans="8:9">
      <c r="H671" s="455"/>
      <c r="I671" s="484"/>
    </row>
    <row r="672" spans="8:9">
      <c r="H672" s="455"/>
      <c r="I672" s="484"/>
    </row>
    <row r="673" spans="8:9">
      <c r="H673" s="455"/>
      <c r="I673" s="484"/>
    </row>
    <row r="674" spans="8:9">
      <c r="H674" s="455"/>
      <c r="I674" s="484"/>
    </row>
    <row r="675" spans="8:9">
      <c r="H675" s="455"/>
      <c r="I675" s="484"/>
    </row>
    <row r="676" spans="8:9">
      <c r="H676" s="455"/>
      <c r="I676" s="484"/>
    </row>
    <row r="677" spans="8:9">
      <c r="H677" s="455"/>
      <c r="I677" s="484"/>
    </row>
    <row r="678" spans="8:9">
      <c r="H678" s="455"/>
      <c r="I678" s="484"/>
    </row>
    <row r="679" spans="8:9">
      <c r="H679" s="455"/>
      <c r="I679" s="484"/>
    </row>
    <row r="680" spans="8:9">
      <c r="H680" s="455"/>
      <c r="I680" s="484"/>
    </row>
    <row r="681" spans="8:9">
      <c r="H681" s="455"/>
      <c r="I681" s="484"/>
    </row>
    <row r="682" spans="8:9">
      <c r="H682" s="455"/>
      <c r="I682" s="484"/>
    </row>
    <row r="683" spans="8:9">
      <c r="H683" s="455"/>
      <c r="I683" s="484"/>
    </row>
    <row r="684" spans="8:9">
      <c r="H684" s="455"/>
      <c r="I684" s="484"/>
    </row>
    <row r="685" spans="8:9">
      <c r="H685" s="455"/>
      <c r="I685" s="484"/>
    </row>
    <row r="686" spans="8:9">
      <c r="H686" s="455"/>
      <c r="I686" s="484"/>
    </row>
    <row r="687" spans="8:9">
      <c r="H687" s="455"/>
      <c r="I687" s="484"/>
    </row>
    <row r="688" spans="8:9">
      <c r="H688" s="455"/>
      <c r="I688" s="484"/>
    </row>
    <row r="689" spans="8:9">
      <c r="H689" s="455"/>
      <c r="I689" s="484"/>
    </row>
    <row r="690" spans="8:9">
      <c r="H690" s="455"/>
      <c r="I690" s="484"/>
    </row>
    <row r="691" spans="8:9">
      <c r="H691" s="455"/>
      <c r="I691" s="484"/>
    </row>
    <row r="692" spans="8:9">
      <c r="H692" s="455"/>
      <c r="I692" s="484"/>
    </row>
    <row r="693" spans="8:9">
      <c r="H693" s="455"/>
      <c r="I693" s="484"/>
    </row>
    <row r="694" spans="8:9">
      <c r="H694" s="455"/>
      <c r="I694" s="484"/>
    </row>
    <row r="695" spans="8:9">
      <c r="H695" s="455"/>
      <c r="I695" s="484"/>
    </row>
    <row r="696" spans="8:9">
      <c r="H696" s="455"/>
      <c r="I696" s="484"/>
    </row>
    <row r="697" spans="8:9">
      <c r="H697" s="455"/>
      <c r="I697" s="484"/>
    </row>
    <row r="698" spans="8:9">
      <c r="H698" s="455"/>
      <c r="I698" s="484"/>
    </row>
    <row r="699" spans="8:9">
      <c r="H699" s="455"/>
      <c r="I699" s="484"/>
    </row>
    <row r="700" spans="8:9">
      <c r="H700" s="455"/>
      <c r="I700" s="484"/>
    </row>
    <row r="701" spans="8:9">
      <c r="H701" s="455"/>
      <c r="I701" s="484"/>
    </row>
    <row r="702" spans="8:9">
      <c r="H702" s="455"/>
      <c r="I702" s="484"/>
    </row>
    <row r="703" spans="8:9">
      <c r="H703" s="455"/>
      <c r="I703" s="484"/>
    </row>
    <row r="704" spans="8:9">
      <c r="H704" s="455"/>
      <c r="I704" s="484"/>
    </row>
    <row r="705" spans="8:9">
      <c r="H705" s="455"/>
      <c r="I705" s="484"/>
    </row>
    <row r="706" spans="8:9">
      <c r="H706" s="455"/>
      <c r="I706" s="484"/>
    </row>
    <row r="707" spans="8:9">
      <c r="H707" s="455"/>
      <c r="I707" s="484"/>
    </row>
    <row r="708" spans="8:9">
      <c r="H708" s="455"/>
      <c r="I708" s="484"/>
    </row>
    <row r="709" spans="8:9">
      <c r="H709" s="455"/>
      <c r="I709" s="484"/>
    </row>
    <row r="710" spans="8:9">
      <c r="H710" s="455"/>
      <c r="I710" s="484"/>
    </row>
    <row r="711" spans="8:9">
      <c r="H711" s="455"/>
      <c r="I711" s="484"/>
    </row>
    <row r="712" spans="8:9">
      <c r="H712" s="455"/>
      <c r="I712" s="484"/>
    </row>
    <row r="713" spans="8:9">
      <c r="H713" s="455"/>
      <c r="I713" s="484"/>
    </row>
    <row r="714" spans="8:9">
      <c r="H714" s="455"/>
      <c r="I714" s="484"/>
    </row>
    <row r="715" spans="8:9">
      <c r="H715" s="455"/>
      <c r="I715" s="484"/>
    </row>
    <row r="716" spans="8:9">
      <c r="H716" s="455"/>
      <c r="I716" s="484"/>
    </row>
    <row r="717" spans="8:9">
      <c r="H717" s="455"/>
      <c r="I717" s="484"/>
    </row>
    <row r="718" spans="8:9">
      <c r="H718" s="455"/>
      <c r="I718" s="484"/>
    </row>
    <row r="719" spans="8:9">
      <c r="H719" s="455"/>
      <c r="I719" s="484"/>
    </row>
    <row r="720" spans="8:9">
      <c r="H720" s="455"/>
      <c r="I720" s="484"/>
    </row>
    <row r="721" spans="8:9">
      <c r="H721" s="455"/>
      <c r="I721" s="484"/>
    </row>
    <row r="722" spans="8:9">
      <c r="H722" s="455"/>
      <c r="I722" s="484"/>
    </row>
    <row r="723" spans="8:9">
      <c r="H723" s="455"/>
      <c r="I723" s="484"/>
    </row>
    <row r="724" spans="8:9">
      <c r="H724" s="455"/>
      <c r="I724" s="484"/>
    </row>
    <row r="725" spans="8:9">
      <c r="H725" s="455"/>
      <c r="I725" s="484"/>
    </row>
    <row r="726" spans="8:9">
      <c r="H726" s="455"/>
      <c r="I726" s="484"/>
    </row>
    <row r="727" spans="8:9">
      <c r="H727" s="455"/>
      <c r="I727" s="484"/>
    </row>
    <row r="728" spans="8:9">
      <c r="H728" s="455"/>
      <c r="I728" s="484"/>
    </row>
    <row r="729" spans="8:9">
      <c r="H729" s="455"/>
      <c r="I729" s="484"/>
    </row>
    <row r="730" spans="8:9">
      <c r="H730" s="455"/>
      <c r="I730" s="484"/>
    </row>
    <row r="731" spans="8:9">
      <c r="H731" s="455"/>
      <c r="I731" s="484"/>
    </row>
    <row r="732" spans="8:9">
      <c r="H732" s="455"/>
      <c r="I732" s="484"/>
    </row>
    <row r="733" spans="8:9">
      <c r="H733" s="455"/>
      <c r="I733" s="484"/>
    </row>
    <row r="734" spans="8:9">
      <c r="H734" s="455"/>
      <c r="I734" s="484"/>
    </row>
    <row r="735" spans="8:9">
      <c r="H735" s="455"/>
      <c r="I735" s="484"/>
    </row>
    <row r="736" spans="8:9">
      <c r="H736" s="455"/>
      <c r="I736" s="484"/>
    </row>
    <row r="737" spans="8:9">
      <c r="H737" s="455"/>
      <c r="I737" s="484"/>
    </row>
    <row r="738" spans="8:9">
      <c r="H738" s="455"/>
      <c r="I738" s="484"/>
    </row>
    <row r="739" spans="8:9">
      <c r="H739" s="455"/>
      <c r="I739" s="484"/>
    </row>
    <row r="740" spans="8:9">
      <c r="H740" s="455"/>
      <c r="I740" s="484"/>
    </row>
    <row r="741" spans="8:9">
      <c r="H741" s="455"/>
      <c r="I741" s="484"/>
    </row>
    <row r="742" spans="8:9">
      <c r="H742" s="455"/>
      <c r="I742" s="484"/>
    </row>
    <row r="743" spans="8:9">
      <c r="H743" s="455"/>
      <c r="I743" s="484"/>
    </row>
    <row r="744" spans="8:9">
      <c r="H744" s="455"/>
      <c r="I744" s="484"/>
    </row>
    <row r="745" spans="8:9">
      <c r="H745" s="455"/>
      <c r="I745" s="484"/>
    </row>
    <row r="746" spans="8:9">
      <c r="H746" s="455"/>
      <c r="I746" s="484"/>
    </row>
    <row r="747" spans="8:9">
      <c r="H747" s="455"/>
      <c r="I747" s="484"/>
    </row>
    <row r="748" spans="8:9">
      <c r="H748" s="455"/>
      <c r="I748" s="484"/>
    </row>
    <row r="749" spans="8:9">
      <c r="H749" s="455"/>
      <c r="I749" s="484"/>
    </row>
    <row r="750" spans="8:9">
      <c r="H750" s="455"/>
      <c r="I750" s="484"/>
    </row>
    <row r="751" spans="8:9">
      <c r="H751" s="455"/>
      <c r="I751" s="484"/>
    </row>
    <row r="752" spans="8:9">
      <c r="H752" s="455"/>
      <c r="I752" s="484"/>
    </row>
    <row r="753" spans="8:9">
      <c r="H753" s="455"/>
      <c r="I753" s="484"/>
    </row>
    <row r="754" spans="8:9">
      <c r="H754" s="455"/>
      <c r="I754" s="484"/>
    </row>
    <row r="755" spans="8:9">
      <c r="H755" s="455"/>
      <c r="I755" s="484"/>
    </row>
    <row r="756" spans="8:9">
      <c r="H756" s="455"/>
      <c r="I756" s="484"/>
    </row>
    <row r="757" spans="8:9">
      <c r="H757" s="455"/>
      <c r="I757" s="484"/>
    </row>
    <row r="758" spans="8:9">
      <c r="H758" s="455"/>
      <c r="I758" s="484"/>
    </row>
    <row r="759" spans="8:9">
      <c r="H759" s="455"/>
      <c r="I759" s="484"/>
    </row>
    <row r="760" spans="8:9">
      <c r="H760" s="455"/>
      <c r="I760" s="484"/>
    </row>
    <row r="761" spans="8:9">
      <c r="H761" s="455"/>
      <c r="I761" s="484"/>
    </row>
    <row r="762" spans="8:9">
      <c r="H762" s="455"/>
      <c r="I762" s="484"/>
    </row>
    <row r="763" spans="8:9">
      <c r="H763" s="455"/>
      <c r="I763" s="484"/>
    </row>
    <row r="764" spans="8:9">
      <c r="H764" s="455"/>
      <c r="I764" s="484"/>
    </row>
    <row r="765" spans="8:9">
      <c r="H765" s="455"/>
      <c r="I765" s="484"/>
    </row>
    <row r="766" spans="8:9">
      <c r="H766" s="455"/>
      <c r="I766" s="484"/>
    </row>
    <row r="767" spans="8:9">
      <c r="H767" s="455"/>
      <c r="I767" s="484"/>
    </row>
    <row r="768" spans="8:9">
      <c r="H768" s="455"/>
      <c r="I768" s="484"/>
    </row>
    <row r="769" spans="8:9">
      <c r="H769" s="455"/>
      <c r="I769" s="484"/>
    </row>
    <row r="770" spans="8:9">
      <c r="H770" s="455"/>
      <c r="I770" s="484"/>
    </row>
    <row r="771" spans="8:9">
      <c r="H771" s="455"/>
      <c r="I771" s="484"/>
    </row>
    <row r="772" spans="8:9">
      <c r="H772" s="455"/>
      <c r="I772" s="484"/>
    </row>
    <row r="773" spans="8:9">
      <c r="H773" s="455"/>
      <c r="I773" s="484"/>
    </row>
    <row r="774" spans="8:9">
      <c r="H774" s="455"/>
      <c r="I774" s="484"/>
    </row>
    <row r="775" spans="8:9">
      <c r="H775" s="455"/>
      <c r="I775" s="484"/>
    </row>
    <row r="776" spans="8:9">
      <c r="H776" s="455"/>
      <c r="I776" s="484"/>
    </row>
    <row r="777" spans="8:9">
      <c r="H777" s="455"/>
      <c r="I777" s="484"/>
    </row>
    <row r="778" spans="8:9">
      <c r="H778" s="455"/>
      <c r="I778" s="484"/>
    </row>
    <row r="779" spans="8:9">
      <c r="H779" s="455"/>
      <c r="I779" s="484"/>
    </row>
    <row r="780" spans="8:9">
      <c r="H780" s="455"/>
      <c r="I780" s="484"/>
    </row>
    <row r="781" spans="8:9">
      <c r="H781" s="455"/>
      <c r="I781" s="484"/>
    </row>
    <row r="782" spans="8:9">
      <c r="H782" s="455"/>
      <c r="I782" s="484"/>
    </row>
    <row r="783" spans="8:9">
      <c r="H783" s="455"/>
      <c r="I783" s="484"/>
    </row>
    <row r="784" spans="8:9">
      <c r="H784" s="455"/>
      <c r="I784" s="484"/>
    </row>
    <row r="785" spans="8:9">
      <c r="H785" s="455"/>
      <c r="I785" s="484"/>
    </row>
    <row r="786" spans="8:9">
      <c r="H786" s="455"/>
      <c r="I786" s="484"/>
    </row>
    <row r="787" spans="8:9">
      <c r="H787" s="455"/>
      <c r="I787" s="484"/>
    </row>
    <row r="788" spans="8:9">
      <c r="H788" s="455"/>
      <c r="I788" s="484"/>
    </row>
    <row r="789" spans="8:9">
      <c r="H789" s="455"/>
      <c r="I789" s="484"/>
    </row>
    <row r="790" spans="8:9">
      <c r="H790" s="455"/>
      <c r="I790" s="484"/>
    </row>
    <row r="791" spans="8:9">
      <c r="H791" s="455"/>
      <c r="I791" s="484"/>
    </row>
    <row r="792" spans="8:9">
      <c r="H792" s="455"/>
      <c r="I792" s="484"/>
    </row>
    <row r="793" spans="8:9">
      <c r="H793" s="455"/>
      <c r="I793" s="484"/>
    </row>
    <row r="794" spans="8:9">
      <c r="H794" s="455"/>
      <c r="I794" s="484"/>
    </row>
    <row r="795" spans="8:9">
      <c r="H795" s="455"/>
      <c r="I795" s="484"/>
    </row>
    <row r="796" spans="8:9">
      <c r="H796" s="455"/>
      <c r="I796" s="484"/>
    </row>
    <row r="797" spans="8:9">
      <c r="H797" s="455"/>
      <c r="I797" s="484"/>
    </row>
    <row r="798" spans="8:9">
      <c r="H798" s="455"/>
      <c r="I798" s="484"/>
    </row>
    <row r="799" spans="8:9">
      <c r="H799" s="455"/>
      <c r="I799" s="484"/>
    </row>
    <row r="800" spans="8:9">
      <c r="H800" s="455"/>
      <c r="I800" s="484"/>
    </row>
    <row r="801" spans="8:9">
      <c r="H801" s="455"/>
      <c r="I801" s="484"/>
    </row>
    <row r="802" spans="8:9">
      <c r="H802" s="455"/>
      <c r="I802" s="484"/>
    </row>
    <row r="803" spans="8:9">
      <c r="H803" s="455"/>
      <c r="I803" s="484"/>
    </row>
    <row r="804" spans="8:9">
      <c r="H804" s="455"/>
      <c r="I804" s="484"/>
    </row>
    <row r="805" spans="8:9">
      <c r="H805" s="455"/>
      <c r="I805" s="484"/>
    </row>
    <row r="806" spans="8:9">
      <c r="H806" s="455"/>
      <c r="I806" s="484"/>
    </row>
    <row r="807" spans="8:9">
      <c r="H807" s="455"/>
      <c r="I807" s="484"/>
    </row>
    <row r="808" spans="8:9">
      <c r="H808" s="455"/>
      <c r="I808" s="484"/>
    </row>
    <row r="809" spans="8:9">
      <c r="H809" s="455"/>
      <c r="I809" s="484"/>
    </row>
    <row r="810" spans="8:9">
      <c r="H810" s="455"/>
      <c r="I810" s="484"/>
    </row>
    <row r="811" spans="8:9">
      <c r="H811" s="455"/>
      <c r="I811" s="484"/>
    </row>
    <row r="812" spans="8:9">
      <c r="H812" s="455"/>
      <c r="I812" s="484"/>
    </row>
    <row r="813" spans="8:9">
      <c r="H813" s="455"/>
      <c r="I813" s="484"/>
    </row>
    <row r="814" spans="8:9">
      <c r="H814" s="455"/>
      <c r="I814" s="484"/>
    </row>
    <row r="815" spans="8:9">
      <c r="H815" s="455"/>
      <c r="I815" s="484"/>
    </row>
    <row r="816" spans="8:9">
      <c r="H816" s="455"/>
      <c r="I816" s="484"/>
    </row>
    <row r="817" spans="8:9">
      <c r="H817" s="455"/>
      <c r="I817" s="484"/>
    </row>
    <row r="818" spans="8:9">
      <c r="H818" s="455"/>
      <c r="I818" s="484"/>
    </row>
    <row r="819" spans="8:9">
      <c r="H819" s="455"/>
      <c r="I819" s="484"/>
    </row>
    <row r="820" spans="8:9">
      <c r="H820" s="455"/>
      <c r="I820" s="484"/>
    </row>
    <row r="821" spans="8:9">
      <c r="H821" s="455"/>
      <c r="I821" s="484"/>
    </row>
    <row r="822" spans="8:9">
      <c r="H822" s="455"/>
      <c r="I822" s="484"/>
    </row>
    <row r="823" spans="8:9">
      <c r="H823" s="455"/>
      <c r="I823" s="484"/>
    </row>
    <row r="824" spans="8:9">
      <c r="H824" s="455"/>
      <c r="I824" s="484"/>
    </row>
    <row r="825" spans="8:9">
      <c r="H825" s="455"/>
      <c r="I825" s="484"/>
    </row>
    <row r="826" spans="8:9">
      <c r="H826" s="455"/>
      <c r="I826" s="484"/>
    </row>
    <row r="827" spans="8:9">
      <c r="H827" s="455"/>
      <c r="I827" s="484"/>
    </row>
    <row r="828" spans="8:9">
      <c r="H828" s="455"/>
      <c r="I828" s="484"/>
    </row>
    <row r="829" spans="8:9">
      <c r="H829" s="455"/>
      <c r="I829" s="484"/>
    </row>
    <row r="830" spans="8:9">
      <c r="H830" s="455"/>
      <c r="I830" s="484"/>
    </row>
    <row r="831" spans="8:9">
      <c r="H831" s="455"/>
      <c r="I831" s="484"/>
    </row>
    <row r="832" spans="8:9">
      <c r="H832" s="455"/>
      <c r="I832" s="484"/>
    </row>
    <row r="833" spans="8:9">
      <c r="H833" s="455"/>
      <c r="I833" s="484"/>
    </row>
    <row r="834" spans="8:9">
      <c r="H834" s="455"/>
      <c r="I834" s="484"/>
    </row>
    <row r="835" spans="8:9">
      <c r="H835" s="455"/>
      <c r="I835" s="484"/>
    </row>
    <row r="836" spans="8:9">
      <c r="H836" s="455"/>
      <c r="I836" s="484"/>
    </row>
    <row r="837" spans="8:9">
      <c r="H837" s="455"/>
      <c r="I837" s="484"/>
    </row>
    <row r="838" spans="8:9">
      <c r="H838" s="455"/>
      <c r="I838" s="484"/>
    </row>
    <row r="839" spans="8:9">
      <c r="H839" s="455"/>
      <c r="I839" s="484"/>
    </row>
    <row r="840" spans="8:9">
      <c r="H840" s="455"/>
      <c r="I840" s="484"/>
    </row>
    <row r="841" spans="8:9">
      <c r="H841" s="455"/>
      <c r="I841" s="484"/>
    </row>
    <row r="842" spans="8:9">
      <c r="H842" s="455"/>
      <c r="I842" s="484"/>
    </row>
    <row r="843" spans="8:9">
      <c r="H843" s="455"/>
      <c r="I843" s="484"/>
    </row>
    <row r="844" spans="8:9">
      <c r="H844" s="455"/>
      <c r="I844" s="484"/>
    </row>
    <row r="845" spans="8:9">
      <c r="H845" s="455"/>
      <c r="I845" s="484"/>
    </row>
    <row r="846" spans="8:9">
      <c r="H846" s="455"/>
      <c r="I846" s="484"/>
    </row>
    <row r="847" spans="8:9">
      <c r="H847" s="455"/>
      <c r="I847" s="484"/>
    </row>
    <row r="848" spans="8:9">
      <c r="H848" s="455"/>
      <c r="I848" s="484"/>
    </row>
    <row r="849" spans="8:9">
      <c r="H849" s="455"/>
      <c r="I849" s="484"/>
    </row>
    <row r="850" spans="8:9">
      <c r="H850" s="455"/>
      <c r="I850" s="484"/>
    </row>
    <row r="851" spans="8:9">
      <c r="H851" s="455"/>
      <c r="I851" s="484"/>
    </row>
    <row r="852" spans="8:9">
      <c r="H852" s="455"/>
      <c r="I852" s="484"/>
    </row>
    <row r="853" spans="8:9">
      <c r="H853" s="455"/>
      <c r="I853" s="484"/>
    </row>
    <row r="854" spans="8:9">
      <c r="H854" s="455"/>
      <c r="I854" s="484"/>
    </row>
    <row r="855" spans="8:9">
      <c r="H855" s="455"/>
      <c r="I855" s="484"/>
    </row>
    <row r="856" spans="8:9">
      <c r="H856" s="455"/>
      <c r="I856" s="484"/>
    </row>
    <row r="857" spans="8:9">
      <c r="H857" s="455"/>
      <c r="I857" s="484"/>
    </row>
    <row r="858" spans="8:9">
      <c r="H858" s="455"/>
      <c r="I858" s="484"/>
    </row>
    <row r="859" spans="8:9">
      <c r="H859" s="455"/>
      <c r="I859" s="484"/>
    </row>
    <row r="860" spans="8:9">
      <c r="H860" s="455"/>
      <c r="I860" s="484"/>
    </row>
    <row r="861" spans="8:9">
      <c r="H861" s="455"/>
      <c r="I861" s="484"/>
    </row>
    <row r="862" spans="8:9">
      <c r="H862" s="455"/>
      <c r="I862" s="484"/>
    </row>
    <row r="863" spans="8:9">
      <c r="H863" s="455"/>
      <c r="I863" s="484"/>
    </row>
    <row r="864" spans="8:9">
      <c r="H864" s="455"/>
      <c r="I864" s="484"/>
    </row>
    <row r="865" spans="8:9">
      <c r="H865" s="455"/>
      <c r="I865" s="484"/>
    </row>
    <row r="866" spans="8:9">
      <c r="H866" s="455"/>
      <c r="I866" s="484"/>
    </row>
    <row r="867" spans="8:9">
      <c r="H867" s="455"/>
      <c r="I867" s="484"/>
    </row>
    <row r="868" spans="8:9">
      <c r="H868" s="455"/>
      <c r="I868" s="484"/>
    </row>
  </sheetData>
  <sheetProtection password="CC08" sheet="1" scenarios="1"/>
  <protectedRanges>
    <protectedRange sqref="B3:E4 G3:H4 B8:C13 A25:O35" name="Range1"/>
  </protectedRanges>
  <mergeCells count="3">
    <mergeCell ref="B6:C6"/>
    <mergeCell ref="V1:AB1"/>
    <mergeCell ref="V2:AB2"/>
  </mergeCells>
  <phoneticPr fontId="5" type="noConversion"/>
  <conditionalFormatting sqref="B17:B20">
    <cfRule type="cellIs" dxfId="26" priority="1" stopIfTrue="1" operator="equal">
      <formula>"no go"</formula>
    </cfRule>
    <cfRule type="cellIs" dxfId="25" priority="2" stopIfTrue="1" operator="equal">
      <formula>"go"</formula>
    </cfRule>
  </conditionalFormatting>
  <printOptions horizontalCentered="1"/>
  <pageMargins left="0.9" right="0.75" top="1" bottom="0.75" header="0.5" footer="0.5"/>
  <pageSetup orientation="portrait" horizontalDpi="300" r:id="rId1"/>
  <headerFooter alignWithMargins="0">
    <oddFooter>&amp;L&amp;"Times New Roman,Regular"&amp;8&amp;F&amp;C&amp;"Times New Roman,Regular"Page &amp;P of &amp;N&amp;R&amp;"Times New Roman,Regular"&amp;D</oddFooter>
  </headerFooter>
  <drawing r:id="rId2"/>
  <legacyDrawing r:id="rId3"/>
  <controls>
    <control shapeId="44035" r:id="rId4" name="MainMenu"/>
  </controls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8"/>
  <dimension ref="A1:Z101"/>
  <sheetViews>
    <sheetView showGridLines="0" workbookViewId="0">
      <selection activeCell="J3" sqref="J3"/>
    </sheetView>
  </sheetViews>
  <sheetFormatPr defaultRowHeight="12.75"/>
  <cols>
    <col min="1" max="1" width="21.42578125" style="455" customWidth="1"/>
    <col min="2" max="7" width="9" style="455" customWidth="1"/>
    <col min="8" max="8" width="16.5703125" style="484" customWidth="1"/>
    <col min="9" max="26" width="9.140625" style="1383"/>
    <col min="27" max="16384" width="9.140625" style="455"/>
  </cols>
  <sheetData>
    <row r="1" spans="1:8" s="1383" customFormat="1" ht="15.75">
      <c r="A1" s="1400" t="str">
        <f>"Assembly-Disassembly Analysis "&amp;"For "&amp;B3</f>
        <v xml:space="preserve">Assembly-Disassembly Analysis For </v>
      </c>
      <c r="B1" s="1402"/>
      <c r="C1" s="1402"/>
      <c r="D1" s="1402"/>
      <c r="E1" s="1403"/>
      <c r="F1" s="1402"/>
      <c r="G1" s="1402"/>
      <c r="H1" s="1404"/>
    </row>
    <row r="2" spans="1:8" s="1383" customFormat="1">
      <c r="H2" s="1386"/>
    </row>
    <row r="3" spans="1:8">
      <c r="A3" s="1401" t="s">
        <v>762</v>
      </c>
      <c r="B3" s="487"/>
      <c r="C3" s="488"/>
      <c r="D3" s="540"/>
      <c r="E3" s="489"/>
      <c r="F3" s="539" t="s">
        <v>763</v>
      </c>
      <c r="G3" s="487"/>
      <c r="H3" s="489"/>
    </row>
    <row r="4" spans="1:8">
      <c r="A4" s="1383" t="s">
        <v>445</v>
      </c>
      <c r="B4" s="490"/>
      <c r="C4" s="491"/>
      <c r="D4" s="491"/>
      <c r="E4" s="492"/>
      <c r="F4" s="455" t="s">
        <v>764</v>
      </c>
      <c r="G4" s="493"/>
    </row>
    <row r="5" spans="1:8" s="1383" customFormat="1">
      <c r="H5" s="1386"/>
    </row>
    <row r="6" spans="1:8" s="1383" customFormat="1">
      <c r="B6" s="1399" t="s">
        <v>802</v>
      </c>
      <c r="C6" s="1399" t="s">
        <v>803</v>
      </c>
      <c r="D6" s="1367"/>
      <c r="E6" s="1367"/>
      <c r="F6" s="1367"/>
      <c r="G6" s="1367"/>
      <c r="H6" s="1386"/>
    </row>
    <row r="7" spans="1:8" ht="14.25">
      <c r="A7" s="542" t="s">
        <v>778</v>
      </c>
      <c r="B7" s="498"/>
      <c r="C7" s="498"/>
      <c r="D7" s="1367"/>
      <c r="E7" s="1378" t="s">
        <v>768</v>
      </c>
      <c r="F7" s="1380">
        <f>AVERAGE(B10:C10)</f>
        <v>0</v>
      </c>
      <c r="G7" s="1381" t="s">
        <v>813</v>
      </c>
      <c r="H7" s="1382" t="e">
        <f>AVERAGE(B7:B9)-(2*F10)</f>
        <v>#DIV/0!</v>
      </c>
    </row>
    <row r="8" spans="1:8" ht="14.25">
      <c r="A8" s="542" t="s">
        <v>779</v>
      </c>
      <c r="B8" s="498"/>
      <c r="C8" s="498"/>
      <c r="D8" s="1367"/>
      <c r="E8" s="1378" t="s">
        <v>784</v>
      </c>
      <c r="F8" s="1380">
        <v>2.5750000000000002</v>
      </c>
      <c r="G8" s="1381" t="s">
        <v>814</v>
      </c>
      <c r="H8" s="1382" t="e">
        <f>AVERAGE(B7:B9)+(2*F10)</f>
        <v>#DIV/0!</v>
      </c>
    </row>
    <row r="9" spans="1:8" ht="15.75">
      <c r="A9" s="542" t="s">
        <v>780</v>
      </c>
      <c r="B9" s="498"/>
      <c r="C9" s="498"/>
      <c r="D9" s="1367"/>
      <c r="E9" s="1405" t="s">
        <v>785</v>
      </c>
      <c r="F9" s="1380">
        <v>1.81</v>
      </c>
      <c r="G9" s="1381" t="s">
        <v>815</v>
      </c>
      <c r="H9" s="1382" t="e">
        <f>AVERAGE(C7:C9)-(2*F10)</f>
        <v>#DIV/0!</v>
      </c>
    </row>
    <row r="10" spans="1:8" s="1383" customFormat="1" ht="14.25">
      <c r="A10" s="1378" t="s">
        <v>812</v>
      </c>
      <c r="B10" s="1376">
        <f>MAX(B7:B9)-MIN(B7:B9)</f>
        <v>0</v>
      </c>
      <c r="C10" s="1376">
        <f>MAX(C7:C9)-MIN(C7:C9)</f>
        <v>0</v>
      </c>
      <c r="D10" s="1379"/>
      <c r="E10" s="1378" t="s">
        <v>769</v>
      </c>
      <c r="F10" s="1380" t="str">
        <f>IF(B7="","",F7/F9)</f>
        <v/>
      </c>
      <c r="G10" s="1381" t="s">
        <v>816</v>
      </c>
      <c r="H10" s="1382" t="e">
        <f>AVERAGE(C7:C9)+(2*F10)</f>
        <v>#DIV/0!</v>
      </c>
    </row>
    <row r="11" spans="1:8" s="1383" customFormat="1" ht="15.75">
      <c r="A11" s="1384" t="s">
        <v>771</v>
      </c>
      <c r="B11" s="1377" t="str">
        <f>IF(F8="","",IF(MIN($C$7:$C$9)&gt;MAX($B$7:$B$9),"GO","NO GO"))</f>
        <v>NO GO</v>
      </c>
      <c r="E11" s="1385" t="s">
        <v>786</v>
      </c>
      <c r="F11" s="1380" t="str">
        <f>IF(B7="","",F10/SQRT(3))</f>
        <v/>
      </c>
      <c r="G11" s="1367"/>
      <c r="H11" s="1386"/>
    </row>
    <row r="12" spans="1:8" s="1383" customFormat="1" ht="16.5">
      <c r="A12" s="1384" t="s">
        <v>788</v>
      </c>
      <c r="B12" s="1387" t="str">
        <f>IF(B7="","",IF(MAX(B10:C10)&lt;F8*F7,"GO","NO GO"))</f>
        <v/>
      </c>
      <c r="D12" s="1367"/>
      <c r="E12" s="1378" t="s">
        <v>770</v>
      </c>
      <c r="F12" s="1380">
        <v>4</v>
      </c>
      <c r="G12" s="1367"/>
      <c r="H12" s="1386"/>
    </row>
    <row r="13" spans="1:8" s="1383" customFormat="1">
      <c r="A13" s="1384" t="s">
        <v>772</v>
      </c>
      <c r="B13" s="1387" t="str">
        <f>IF(B7="","",IF(AND(AVERAGE(B7:B9)&lt;(AVERAGE(B7:C9)-(F11*F13)),(AVERAGE(C7:C9)&gt;(AVERAGE(B7:C9)+(F11*F13)))),"GO","NO GO"))</f>
        <v/>
      </c>
      <c r="D13" s="1367"/>
      <c r="E13" s="1378" t="s">
        <v>787</v>
      </c>
      <c r="F13" s="1380">
        <v>1.96</v>
      </c>
      <c r="G13" s="1367"/>
      <c r="H13" s="1386"/>
    </row>
    <row r="14" spans="1:8" s="1383" customFormat="1" ht="15.75">
      <c r="A14" s="1384" t="s">
        <v>789</v>
      </c>
      <c r="B14" s="1387" t="str">
        <f>IF(F10="","",IF(H9&gt;H8, "GO", "NO GO"))</f>
        <v/>
      </c>
      <c r="D14" s="1367"/>
      <c r="H14" s="1386"/>
    </row>
    <row r="15" spans="1:8" s="1383" customFormat="1">
      <c r="C15" s="1388"/>
      <c r="D15" s="1388"/>
      <c r="H15" s="1386"/>
    </row>
    <row r="16" spans="1:8" s="1383" customFormat="1">
      <c r="D16" s="1389" t="s">
        <v>773</v>
      </c>
      <c r="E16" s="1389"/>
      <c r="F16" s="1389" t="s">
        <v>774</v>
      </c>
      <c r="G16" s="1389"/>
      <c r="H16" s="1390" t="s">
        <v>804</v>
      </c>
    </row>
    <row r="17" spans="1:14" s="1383" customFormat="1">
      <c r="A17" s="1390" t="s">
        <v>775</v>
      </c>
      <c r="B17" s="1391" t="s">
        <v>802</v>
      </c>
      <c r="C17" s="1390" t="s">
        <v>803</v>
      </c>
      <c r="D17" s="1387" t="s">
        <v>351</v>
      </c>
      <c r="E17" s="1387" t="s">
        <v>350</v>
      </c>
      <c r="F17" s="1387" t="s">
        <v>351</v>
      </c>
      <c r="G17" s="1387" t="s">
        <v>350</v>
      </c>
      <c r="H17" s="1392" t="s">
        <v>805</v>
      </c>
    </row>
    <row r="18" spans="1:14" s="1383" customFormat="1">
      <c r="A18" s="1393"/>
      <c r="B18" s="1394"/>
      <c r="C18" s="1395"/>
      <c r="D18" s="1396" t="e">
        <f>H7</f>
        <v>#DIV/0!</v>
      </c>
      <c r="E18" s="1397" t="e">
        <f>H8</f>
        <v>#DIV/0!</v>
      </c>
      <c r="F18" s="1397" t="e">
        <f>H9</f>
        <v>#DIV/0!</v>
      </c>
      <c r="G18" s="1397" t="e">
        <f>H10</f>
        <v>#DIV/0!</v>
      </c>
      <c r="H18" s="1398"/>
    </row>
    <row r="19" spans="1:14">
      <c r="A19" s="1410" t="s">
        <v>778</v>
      </c>
      <c r="B19" s="1411">
        <f t="shared" ref="B19:C21" si="0">B7</f>
        <v>0</v>
      </c>
      <c r="C19" s="1412">
        <f t="shared" si="0"/>
        <v>0</v>
      </c>
      <c r="D19" s="1397" t="e">
        <f t="shared" ref="D19:D28" si="1">D18</f>
        <v>#DIV/0!</v>
      </c>
      <c r="E19" s="1397" t="e">
        <f t="shared" ref="E19:E28" si="2">E18</f>
        <v>#DIV/0!</v>
      </c>
      <c r="F19" s="1397" t="e">
        <f t="shared" ref="F19:F28" si="3">F18</f>
        <v>#DIV/0!</v>
      </c>
      <c r="G19" s="1397" t="e">
        <f t="shared" ref="G19:G28" si="4">G18</f>
        <v>#DIV/0!</v>
      </c>
      <c r="H19" s="1398"/>
    </row>
    <row r="20" spans="1:14">
      <c r="A20" s="1413" t="s">
        <v>779</v>
      </c>
      <c r="B20" s="1411">
        <f t="shared" si="0"/>
        <v>0</v>
      </c>
      <c r="C20" s="1412">
        <f t="shared" si="0"/>
        <v>0</v>
      </c>
      <c r="D20" s="1397" t="e">
        <f t="shared" si="1"/>
        <v>#DIV/0!</v>
      </c>
      <c r="E20" s="1397" t="e">
        <f t="shared" si="2"/>
        <v>#DIV/0!</v>
      </c>
      <c r="F20" s="1397" t="e">
        <f t="shared" si="3"/>
        <v>#DIV/0!</v>
      </c>
      <c r="G20" s="1397" t="e">
        <f t="shared" si="4"/>
        <v>#DIV/0!</v>
      </c>
      <c r="H20" s="1398"/>
    </row>
    <row r="21" spans="1:14">
      <c r="A21" s="1413" t="s">
        <v>780</v>
      </c>
      <c r="B21" s="1411">
        <f t="shared" si="0"/>
        <v>0</v>
      </c>
      <c r="C21" s="1412">
        <f t="shared" si="0"/>
        <v>0</v>
      </c>
      <c r="D21" s="1397" t="e">
        <f t="shared" si="1"/>
        <v>#DIV/0!</v>
      </c>
      <c r="E21" s="1397" t="e">
        <f t="shared" si="2"/>
        <v>#DIV/0!</v>
      </c>
      <c r="F21" s="1397" t="e">
        <f t="shared" si="3"/>
        <v>#DIV/0!</v>
      </c>
      <c r="G21" s="1397" t="e">
        <f t="shared" si="4"/>
        <v>#DIV/0!</v>
      </c>
      <c r="H21" s="1398"/>
    </row>
    <row r="22" spans="1:14">
      <c r="A22" s="533" t="s">
        <v>781</v>
      </c>
      <c r="B22" s="534"/>
      <c r="C22" s="493"/>
      <c r="D22" s="1397" t="e">
        <f t="shared" si="1"/>
        <v>#DIV/0!</v>
      </c>
      <c r="E22" s="1397" t="e">
        <f t="shared" si="2"/>
        <v>#DIV/0!</v>
      </c>
      <c r="F22" s="1397" t="e">
        <f t="shared" si="3"/>
        <v>#DIV/0!</v>
      </c>
      <c r="G22" s="1397" t="e">
        <f t="shared" si="4"/>
        <v>#DIV/0!</v>
      </c>
      <c r="H22" s="1407" t="str">
        <f t="shared" ref="H22:H31" si="5">IF(OR(B22="",C22=""),"NOT SWAPPED",IF(AND(B22&gt;F22,C22&lt;E22),"*ROOT CAUSE*",IF(AND(B22&lt;E22,C22&gt;F22),"","INTERACTION")))</f>
        <v>NOT SWAPPED</v>
      </c>
      <c r="I22" s="1367"/>
    </row>
    <row r="23" spans="1:14">
      <c r="A23" s="533" t="s">
        <v>781</v>
      </c>
      <c r="B23" s="534"/>
      <c r="C23" s="493"/>
      <c r="D23" s="1397" t="e">
        <f t="shared" si="1"/>
        <v>#DIV/0!</v>
      </c>
      <c r="E23" s="1397" t="e">
        <f t="shared" si="2"/>
        <v>#DIV/0!</v>
      </c>
      <c r="F23" s="1397" t="e">
        <f t="shared" si="3"/>
        <v>#DIV/0!</v>
      </c>
      <c r="G23" s="1397" t="e">
        <f t="shared" si="4"/>
        <v>#DIV/0!</v>
      </c>
      <c r="H23" s="1407" t="str">
        <f t="shared" si="5"/>
        <v>NOT SWAPPED</v>
      </c>
      <c r="I23" s="1367"/>
    </row>
    <row r="24" spans="1:14">
      <c r="A24" s="533" t="s">
        <v>781</v>
      </c>
      <c r="B24" s="534"/>
      <c r="C24" s="493"/>
      <c r="D24" s="1397" t="e">
        <f t="shared" si="1"/>
        <v>#DIV/0!</v>
      </c>
      <c r="E24" s="1397" t="e">
        <f t="shared" si="2"/>
        <v>#DIV/0!</v>
      </c>
      <c r="F24" s="1397" t="e">
        <f t="shared" si="3"/>
        <v>#DIV/0!</v>
      </c>
      <c r="G24" s="1397" t="e">
        <f t="shared" si="4"/>
        <v>#DIV/0!</v>
      </c>
      <c r="H24" s="1407" t="str">
        <f t="shared" si="5"/>
        <v>NOT SWAPPED</v>
      </c>
      <c r="I24" s="1367"/>
    </row>
    <row r="25" spans="1:14">
      <c r="A25" s="533" t="s">
        <v>781</v>
      </c>
      <c r="B25" s="534"/>
      <c r="C25" s="493"/>
      <c r="D25" s="1397" t="e">
        <f t="shared" si="1"/>
        <v>#DIV/0!</v>
      </c>
      <c r="E25" s="1397" t="e">
        <f t="shared" si="2"/>
        <v>#DIV/0!</v>
      </c>
      <c r="F25" s="1397" t="e">
        <f t="shared" si="3"/>
        <v>#DIV/0!</v>
      </c>
      <c r="G25" s="1397" t="e">
        <f t="shared" si="4"/>
        <v>#DIV/0!</v>
      </c>
      <c r="H25" s="1407" t="str">
        <f t="shared" si="5"/>
        <v>NOT SWAPPED</v>
      </c>
      <c r="I25" s="1367"/>
      <c r="J25" s="1367"/>
      <c r="K25" s="1367"/>
      <c r="L25" s="1367"/>
    </row>
    <row r="26" spans="1:14">
      <c r="A26" s="533" t="s">
        <v>781</v>
      </c>
      <c r="B26" s="534"/>
      <c r="C26" s="493"/>
      <c r="D26" s="1397" t="e">
        <f t="shared" si="1"/>
        <v>#DIV/0!</v>
      </c>
      <c r="E26" s="1397" t="e">
        <f t="shared" si="2"/>
        <v>#DIV/0!</v>
      </c>
      <c r="F26" s="1397" t="e">
        <f t="shared" si="3"/>
        <v>#DIV/0!</v>
      </c>
      <c r="G26" s="1397" t="e">
        <f t="shared" si="4"/>
        <v>#DIV/0!</v>
      </c>
      <c r="H26" s="1407" t="str">
        <f t="shared" si="5"/>
        <v>NOT SWAPPED</v>
      </c>
      <c r="I26" s="1367"/>
      <c r="J26" s="1367"/>
      <c r="K26" s="1367"/>
      <c r="L26" s="1367"/>
    </row>
    <row r="27" spans="1:14">
      <c r="A27" s="533" t="s">
        <v>781</v>
      </c>
      <c r="B27" s="534"/>
      <c r="C27" s="493"/>
      <c r="D27" s="1397" t="e">
        <f t="shared" si="1"/>
        <v>#DIV/0!</v>
      </c>
      <c r="E27" s="1397" t="e">
        <f t="shared" si="2"/>
        <v>#DIV/0!</v>
      </c>
      <c r="F27" s="1397" t="e">
        <f t="shared" si="3"/>
        <v>#DIV/0!</v>
      </c>
      <c r="G27" s="1397" t="e">
        <f t="shared" si="4"/>
        <v>#DIV/0!</v>
      </c>
      <c r="H27" s="1407" t="str">
        <f t="shared" si="5"/>
        <v>NOT SWAPPED</v>
      </c>
      <c r="I27" s="1367"/>
      <c r="J27" s="1367"/>
      <c r="K27" s="1367"/>
      <c r="L27" s="1367"/>
      <c r="M27" s="1406" t="str">
        <f t="shared" ref="M27" si="6">IF(B22="","",A22)</f>
        <v/>
      </c>
      <c r="N27" s="1383" t="str">
        <f t="shared" ref="N27" si="7">IF(M27="","",H22)</f>
        <v/>
      </c>
    </row>
    <row r="28" spans="1:14">
      <c r="A28" s="533" t="s">
        <v>781</v>
      </c>
      <c r="B28" s="534"/>
      <c r="C28" s="493"/>
      <c r="D28" s="1397" t="e">
        <f t="shared" si="1"/>
        <v>#DIV/0!</v>
      </c>
      <c r="E28" s="1397" t="e">
        <f t="shared" si="2"/>
        <v>#DIV/0!</v>
      </c>
      <c r="F28" s="1397" t="e">
        <f t="shared" si="3"/>
        <v>#DIV/0!</v>
      </c>
      <c r="G28" s="1397" t="e">
        <f t="shared" si="4"/>
        <v>#DIV/0!</v>
      </c>
      <c r="H28" s="1407" t="str">
        <f t="shared" si="5"/>
        <v>NOT SWAPPED</v>
      </c>
      <c r="I28" s="1367"/>
      <c r="J28" s="1367"/>
      <c r="K28" s="1367"/>
      <c r="L28" s="1367"/>
      <c r="M28" s="1406" t="str">
        <f t="shared" ref="M28:M30" si="8">IF(B23="","",A23)</f>
        <v/>
      </c>
      <c r="N28" s="1383" t="str">
        <f t="shared" ref="N28:N30" si="9">IF(M28="","",H23)</f>
        <v/>
      </c>
    </row>
    <row r="29" spans="1:14">
      <c r="A29" s="533" t="s">
        <v>781</v>
      </c>
      <c r="B29" s="534"/>
      <c r="C29" s="493"/>
      <c r="D29" s="1397" t="e">
        <f t="shared" ref="D29:G31" si="10">D24</f>
        <v>#DIV/0!</v>
      </c>
      <c r="E29" s="1397" t="e">
        <f t="shared" si="10"/>
        <v>#DIV/0!</v>
      </c>
      <c r="F29" s="1397" t="e">
        <f t="shared" si="10"/>
        <v>#DIV/0!</v>
      </c>
      <c r="G29" s="1397" t="e">
        <f t="shared" si="10"/>
        <v>#DIV/0!</v>
      </c>
      <c r="H29" s="1407" t="str">
        <f t="shared" si="5"/>
        <v>NOT SWAPPED</v>
      </c>
      <c r="I29" s="1367"/>
      <c r="J29" s="1367"/>
      <c r="K29" s="1367"/>
      <c r="L29" s="1367"/>
      <c r="M29" s="1406" t="str">
        <f t="shared" si="8"/>
        <v/>
      </c>
      <c r="N29" s="1383" t="str">
        <f t="shared" si="9"/>
        <v/>
      </c>
    </row>
    <row r="30" spans="1:14">
      <c r="A30" s="533" t="s">
        <v>781</v>
      </c>
      <c r="B30" s="534"/>
      <c r="C30" s="493"/>
      <c r="D30" s="1397" t="e">
        <f t="shared" si="10"/>
        <v>#DIV/0!</v>
      </c>
      <c r="E30" s="1397" t="e">
        <f t="shared" si="10"/>
        <v>#DIV/0!</v>
      </c>
      <c r="F30" s="1397" t="e">
        <f t="shared" si="10"/>
        <v>#DIV/0!</v>
      </c>
      <c r="G30" s="1397" t="e">
        <f t="shared" si="10"/>
        <v>#DIV/0!</v>
      </c>
      <c r="H30" s="1407" t="str">
        <f t="shared" ref="H30" si="11">IF(OR(B30="",C30=""),"NOT SWAPPED",IF(AND(B30&gt;F30,C30&lt;E30),"*ROOT CAUSE*",IF(AND(B30&lt;E30,C30&gt;F30),"","INTERACTION")))</f>
        <v>NOT SWAPPED</v>
      </c>
      <c r="I30" s="1367"/>
      <c r="J30" s="1367"/>
      <c r="K30" s="1367"/>
      <c r="L30" s="1367"/>
      <c r="M30" s="1406" t="str">
        <f t="shared" si="8"/>
        <v/>
      </c>
      <c r="N30" s="1383" t="str">
        <f t="shared" si="9"/>
        <v/>
      </c>
    </row>
    <row r="31" spans="1:14">
      <c r="A31" s="537" t="s">
        <v>782</v>
      </c>
      <c r="B31" s="534"/>
      <c r="C31" s="493"/>
      <c r="D31" s="1397" t="e">
        <f t="shared" si="10"/>
        <v>#DIV/0!</v>
      </c>
      <c r="E31" s="1397" t="e">
        <f t="shared" si="10"/>
        <v>#DIV/0!</v>
      </c>
      <c r="F31" s="1397" t="e">
        <f t="shared" si="10"/>
        <v>#DIV/0!</v>
      </c>
      <c r="G31" s="1397" t="e">
        <f t="shared" si="10"/>
        <v>#DIV/0!</v>
      </c>
      <c r="H31" s="1407" t="str">
        <f t="shared" si="5"/>
        <v>NOT SWAPPED</v>
      </c>
      <c r="I31" s="1367"/>
      <c r="J31" s="1367"/>
      <c r="K31" s="1367"/>
      <c r="L31" s="1367"/>
      <c r="M31" s="1406" t="str">
        <f t="shared" ref="M31:M36" si="12">IF(B26="","",A26)</f>
        <v/>
      </c>
      <c r="N31" s="1383" t="str">
        <f t="shared" ref="N31:N36" si="13">IF(M31="","",H26)</f>
        <v/>
      </c>
    </row>
    <row r="32" spans="1:14">
      <c r="A32" s="496"/>
      <c r="B32" s="496"/>
      <c r="C32" s="496"/>
      <c r="D32" s="1409"/>
      <c r="E32" s="1409"/>
      <c r="F32" s="1409"/>
      <c r="G32" s="1409"/>
      <c r="H32" s="1408"/>
      <c r="I32" s="1367"/>
      <c r="J32" s="1367"/>
      <c r="K32" s="1367"/>
      <c r="L32" s="1367"/>
      <c r="M32" s="1406" t="str">
        <f t="shared" si="12"/>
        <v/>
      </c>
      <c r="N32" s="1383" t="str">
        <f t="shared" si="13"/>
        <v/>
      </c>
    </row>
    <row r="33" spans="4:14">
      <c r="D33" s="510"/>
      <c r="E33" s="510"/>
      <c r="F33" s="510"/>
      <c r="G33" s="510"/>
      <c r="I33" s="1367"/>
      <c r="J33" s="1367"/>
      <c r="K33" s="1367"/>
      <c r="L33" s="1367"/>
      <c r="M33" s="1406" t="str">
        <f t="shared" si="12"/>
        <v/>
      </c>
      <c r="N33" s="1383" t="str">
        <f t="shared" si="13"/>
        <v/>
      </c>
    </row>
    <row r="34" spans="4:14">
      <c r="M34" s="1406" t="str">
        <f t="shared" si="12"/>
        <v/>
      </c>
      <c r="N34" s="1383" t="str">
        <f t="shared" si="13"/>
        <v/>
      </c>
    </row>
    <row r="35" spans="4:14">
      <c r="M35" s="1406" t="str">
        <f t="shared" si="12"/>
        <v/>
      </c>
      <c r="N35" s="1383" t="str">
        <f t="shared" si="13"/>
        <v/>
      </c>
    </row>
    <row r="36" spans="4:14">
      <c r="M36" s="1406" t="str">
        <f t="shared" si="12"/>
        <v/>
      </c>
      <c r="N36" s="1383" t="str">
        <f t="shared" si="13"/>
        <v/>
      </c>
    </row>
    <row r="37" spans="4:14">
      <c r="M37" s="1406"/>
    </row>
    <row r="38" spans="4:14">
      <c r="M38" s="1406"/>
    </row>
    <row r="39" spans="4:14">
      <c r="M39" s="1406"/>
    </row>
    <row r="40" spans="4:14">
      <c r="M40" s="1406"/>
    </row>
    <row r="41" spans="4:14">
      <c r="M41" s="1406"/>
    </row>
    <row r="42" spans="4:14">
      <c r="M42" s="1406"/>
    </row>
    <row r="43" spans="4:14">
      <c r="M43" s="1406"/>
    </row>
    <row r="44" spans="4:14">
      <c r="M44" s="1406"/>
    </row>
    <row r="45" spans="4:14">
      <c r="M45" s="1406"/>
    </row>
    <row r="46" spans="4:14">
      <c r="M46" s="1406"/>
    </row>
    <row r="47" spans="4:14">
      <c r="M47" s="1406"/>
    </row>
    <row r="48" spans="4:14">
      <c r="M48" s="1406"/>
    </row>
    <row r="49" spans="13:13">
      <c r="M49" s="1406"/>
    </row>
    <row r="50" spans="13:13">
      <c r="M50" s="1406"/>
    </row>
    <row r="51" spans="13:13">
      <c r="M51" s="1406"/>
    </row>
    <row r="52" spans="13:13">
      <c r="M52" s="1406"/>
    </row>
    <row r="53" spans="13:13">
      <c r="M53" s="1406"/>
    </row>
    <row r="54" spans="13:13">
      <c r="M54" s="1406"/>
    </row>
    <row r="55" spans="13:13">
      <c r="M55" s="1406"/>
    </row>
    <row r="56" spans="13:13">
      <c r="M56" s="1406"/>
    </row>
    <row r="57" spans="13:13">
      <c r="M57" s="1406"/>
    </row>
    <row r="58" spans="13:13">
      <c r="M58" s="1406"/>
    </row>
    <row r="59" spans="13:13">
      <c r="M59" s="1406"/>
    </row>
    <row r="60" spans="13:13">
      <c r="M60" s="1406"/>
    </row>
    <row r="61" spans="13:13">
      <c r="M61" s="1406"/>
    </row>
    <row r="62" spans="13:13">
      <c r="M62" s="1406"/>
    </row>
    <row r="63" spans="13:13">
      <c r="M63" s="1406"/>
    </row>
    <row r="64" spans="13:13">
      <c r="M64" s="1406"/>
    </row>
    <row r="65" spans="13:13">
      <c r="M65" s="1406"/>
    </row>
    <row r="66" spans="13:13">
      <c r="M66" s="1406"/>
    </row>
    <row r="67" spans="13:13">
      <c r="M67" s="1406"/>
    </row>
    <row r="68" spans="13:13">
      <c r="M68" s="1406"/>
    </row>
    <row r="69" spans="13:13">
      <c r="M69" s="1406"/>
    </row>
    <row r="70" spans="13:13">
      <c r="M70" s="1406"/>
    </row>
    <row r="71" spans="13:13">
      <c r="M71" s="1406"/>
    </row>
    <row r="72" spans="13:13">
      <c r="M72" s="1406"/>
    </row>
    <row r="73" spans="13:13">
      <c r="M73" s="1406"/>
    </row>
    <row r="74" spans="13:13">
      <c r="M74" s="1406"/>
    </row>
    <row r="75" spans="13:13">
      <c r="M75" s="1406"/>
    </row>
    <row r="76" spans="13:13">
      <c r="M76" s="1406"/>
    </row>
    <row r="77" spans="13:13">
      <c r="M77" s="1406"/>
    </row>
    <row r="78" spans="13:13">
      <c r="M78" s="1406"/>
    </row>
    <row r="79" spans="13:13">
      <c r="M79" s="1406"/>
    </row>
    <row r="80" spans="13:13">
      <c r="M80" s="1406"/>
    </row>
    <row r="81" spans="13:13">
      <c r="M81" s="1406"/>
    </row>
    <row r="82" spans="13:13">
      <c r="M82" s="1406"/>
    </row>
    <row r="83" spans="13:13">
      <c r="M83" s="1406"/>
    </row>
    <row r="84" spans="13:13">
      <c r="M84" s="1406"/>
    </row>
    <row r="85" spans="13:13">
      <c r="M85" s="1406"/>
    </row>
    <row r="86" spans="13:13">
      <c r="M86" s="1406"/>
    </row>
    <row r="87" spans="13:13">
      <c r="M87" s="1406"/>
    </row>
    <row r="88" spans="13:13">
      <c r="M88" s="1406"/>
    </row>
    <row r="89" spans="13:13">
      <c r="M89" s="1406"/>
    </row>
    <row r="90" spans="13:13">
      <c r="M90" s="1406"/>
    </row>
    <row r="91" spans="13:13">
      <c r="M91" s="1406"/>
    </row>
    <row r="92" spans="13:13">
      <c r="M92" s="1406"/>
    </row>
    <row r="93" spans="13:13">
      <c r="M93" s="1406"/>
    </row>
    <row r="94" spans="13:13">
      <c r="M94" s="1406"/>
    </row>
    <row r="95" spans="13:13">
      <c r="M95" s="1406"/>
    </row>
    <row r="96" spans="13:13">
      <c r="M96" s="1406"/>
    </row>
    <row r="97" spans="13:13">
      <c r="M97" s="1406"/>
    </row>
    <row r="98" spans="13:13">
      <c r="M98" s="1406"/>
    </row>
    <row r="99" spans="13:13">
      <c r="M99" s="1406"/>
    </row>
    <row r="100" spans="13:13">
      <c r="M100" s="1406"/>
    </row>
    <row r="101" spans="13:13">
      <c r="M101" s="1406"/>
    </row>
  </sheetData>
  <sheetProtection password="CC08" sheet="1" scenarios="1"/>
  <phoneticPr fontId="5" type="noConversion"/>
  <conditionalFormatting sqref="B11:B14">
    <cfRule type="cellIs" dxfId="24" priority="1" stopIfTrue="1" operator="equal">
      <formula>"no go"</formula>
    </cfRule>
    <cfRule type="cellIs" dxfId="23" priority="2" stopIfTrue="1" operator="equal">
      <formula>"go"</formula>
    </cfRule>
  </conditionalFormatting>
  <printOptions horizontalCentered="1"/>
  <pageMargins left="0.9" right="0.75" top="1" bottom="0.75" header="0.5" footer="0.5"/>
  <pageSetup orientation="portrait" horizontalDpi="300" r:id="rId1"/>
  <headerFooter alignWithMargins="0">
    <oddHeader>&amp;C&amp;"Times New Roman,Bold"&amp;12&amp;A</oddHeader>
    <oddFooter>&amp;L&amp;"Times New Roman,Regular"&amp;8&amp;F&amp;C&amp;"Times New Roman,Regular"Page &amp;P of &amp;N&amp;R&amp;"Times New Roman,Regular"&amp;D</oddFooter>
  </headerFooter>
  <drawing r:id="rId2"/>
  <legacyDrawing r:id="rId3"/>
  <controls>
    <control shapeId="45059" r:id="rId4" name="MainMenu"/>
  </controls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9"/>
  <dimension ref="A1:Y61"/>
  <sheetViews>
    <sheetView workbookViewId="0"/>
  </sheetViews>
  <sheetFormatPr defaultRowHeight="12.75"/>
  <cols>
    <col min="1" max="25" width="5.42578125" style="866" customWidth="1"/>
    <col min="26" max="52" width="4" customWidth="1"/>
  </cols>
  <sheetData>
    <row r="1" spans="1:25" ht="14.25">
      <c r="A1" s="184" t="s">
        <v>1074</v>
      </c>
    </row>
    <row r="2" spans="1:25">
      <c r="B2" s="1526" t="s">
        <v>453</v>
      </c>
      <c r="C2" s="1526"/>
      <c r="D2" s="1526"/>
      <c r="E2" s="1526"/>
      <c r="F2" s="1526"/>
      <c r="G2" s="1526"/>
      <c r="H2" s="1526"/>
      <c r="I2" s="1526"/>
      <c r="J2" s="1526"/>
      <c r="K2" s="1526"/>
      <c r="L2" s="1526"/>
      <c r="M2" s="1526"/>
      <c r="N2" s="1526"/>
      <c r="O2" s="1526"/>
      <c r="P2" s="1526"/>
      <c r="Q2" s="1526"/>
      <c r="R2" s="1526"/>
      <c r="S2" s="1526"/>
      <c r="T2" s="1526"/>
      <c r="U2" s="1526"/>
      <c r="V2" s="1526"/>
      <c r="W2" s="1526"/>
      <c r="X2" s="1526"/>
      <c r="Y2" s="1526"/>
    </row>
    <row r="3" spans="1:25" s="93" customFormat="1" ht="13.5" thickBot="1">
      <c r="A3" s="867" t="s">
        <v>457</v>
      </c>
      <c r="B3" s="868">
        <v>2</v>
      </c>
      <c r="C3" s="868">
        <v>3</v>
      </c>
      <c r="D3" s="868">
        <v>4</v>
      </c>
      <c r="E3" s="868">
        <v>5</v>
      </c>
      <c r="F3" s="868">
        <v>6</v>
      </c>
      <c r="G3" s="868">
        <v>7</v>
      </c>
      <c r="H3" s="868">
        <v>8</v>
      </c>
      <c r="I3" s="868">
        <v>9</v>
      </c>
      <c r="J3" s="868">
        <v>10</v>
      </c>
      <c r="K3" s="868">
        <v>11</v>
      </c>
      <c r="L3" s="868">
        <v>12</v>
      </c>
      <c r="M3" s="868">
        <v>13</v>
      </c>
      <c r="N3" s="868">
        <v>14</v>
      </c>
      <c r="O3" s="868">
        <v>15</v>
      </c>
      <c r="P3" s="868">
        <v>16</v>
      </c>
      <c r="Q3" s="868">
        <v>17</v>
      </c>
      <c r="R3" s="868">
        <v>18</v>
      </c>
      <c r="S3" s="868">
        <v>19</v>
      </c>
      <c r="T3" s="868">
        <v>20</v>
      </c>
      <c r="U3" s="868">
        <v>21</v>
      </c>
      <c r="V3" s="868">
        <v>22</v>
      </c>
      <c r="W3" s="868">
        <v>23</v>
      </c>
      <c r="X3" s="868">
        <v>24</v>
      </c>
      <c r="Y3" s="868">
        <v>25</v>
      </c>
    </row>
    <row r="4" spans="1:25" ht="13.5" thickTop="1">
      <c r="A4" s="869">
        <v>2</v>
      </c>
      <c r="B4" s="870">
        <v>1.28</v>
      </c>
      <c r="C4" s="871">
        <v>1.81</v>
      </c>
      <c r="D4" s="871">
        <v>2.15</v>
      </c>
      <c r="E4" s="871">
        <v>2.4</v>
      </c>
      <c r="F4" s="871">
        <v>2.6</v>
      </c>
      <c r="G4" s="871">
        <v>2.77</v>
      </c>
      <c r="H4" s="871">
        <v>2.9060000000000001</v>
      </c>
      <c r="I4" s="871">
        <v>3.024</v>
      </c>
      <c r="J4" s="871">
        <v>3.129</v>
      </c>
      <c r="K4" s="871">
        <v>3.2210000000000001</v>
      </c>
      <c r="L4" s="871">
        <v>3.3050000000000002</v>
      </c>
      <c r="M4" s="871">
        <v>3.38</v>
      </c>
      <c r="N4" s="871">
        <v>3.4489999999999998</v>
      </c>
      <c r="O4" s="871">
        <v>3.5129999999999999</v>
      </c>
      <c r="P4" s="871">
        <v>3.5720000000000001</v>
      </c>
      <c r="Q4" s="871">
        <v>3.6259999999999999</v>
      </c>
      <c r="R4" s="871">
        <v>3.677</v>
      </c>
      <c r="S4" s="871">
        <v>3.7250000000000001</v>
      </c>
      <c r="T4" s="871">
        <v>3.77</v>
      </c>
      <c r="U4" s="871">
        <v>3.8130000000000002</v>
      </c>
      <c r="V4" s="871">
        <v>3.8530000000000002</v>
      </c>
      <c r="W4" s="871">
        <v>3.891</v>
      </c>
      <c r="X4" s="871">
        <v>3.9820000000000002</v>
      </c>
      <c r="Y4" s="871">
        <v>3.9620000000000002</v>
      </c>
    </row>
    <row r="5" spans="1:25">
      <c r="A5" s="869">
        <v>3</v>
      </c>
      <c r="B5" s="872">
        <v>1.23</v>
      </c>
      <c r="C5" s="873">
        <v>1.77</v>
      </c>
      <c r="D5" s="873">
        <v>2.12</v>
      </c>
      <c r="E5" s="873">
        <v>2.38</v>
      </c>
      <c r="F5" s="873">
        <v>2.58</v>
      </c>
      <c r="G5" s="873">
        <v>2.75</v>
      </c>
      <c r="H5" s="873">
        <v>2.8860000000000001</v>
      </c>
      <c r="I5" s="873">
        <v>3.0059999999999998</v>
      </c>
      <c r="J5" s="873">
        <v>3.1120000000000001</v>
      </c>
      <c r="K5" s="873">
        <v>3.2050000000000001</v>
      </c>
      <c r="L5" s="873">
        <v>3.2890000000000001</v>
      </c>
      <c r="M5" s="873">
        <v>3.3660000000000001</v>
      </c>
      <c r="N5" s="873">
        <v>3.4350000000000001</v>
      </c>
      <c r="O5" s="873">
        <v>3.4990000000000001</v>
      </c>
      <c r="P5" s="873">
        <v>3.5579999999999998</v>
      </c>
      <c r="Q5" s="873">
        <v>3.6139999999999999</v>
      </c>
      <c r="R5" s="873">
        <v>3.665</v>
      </c>
      <c r="S5" s="873">
        <v>3.7130000000000001</v>
      </c>
      <c r="T5" s="873">
        <v>3.7589999999999999</v>
      </c>
      <c r="U5" s="873">
        <v>3.8010000000000002</v>
      </c>
      <c r="V5" s="873">
        <v>3.8420000000000001</v>
      </c>
      <c r="W5" s="873">
        <v>3.88</v>
      </c>
      <c r="X5" s="873">
        <v>3.9169999999999998</v>
      </c>
      <c r="Y5" s="873">
        <v>3.952</v>
      </c>
    </row>
    <row r="6" spans="1:25">
      <c r="A6" s="869">
        <v>4</v>
      </c>
      <c r="B6" s="872">
        <v>1.21</v>
      </c>
      <c r="C6" s="873">
        <v>1.75</v>
      </c>
      <c r="D6" s="873">
        <v>2.11</v>
      </c>
      <c r="E6" s="873">
        <v>2.37</v>
      </c>
      <c r="F6" s="873">
        <v>2.57</v>
      </c>
      <c r="G6" s="873">
        <v>2.74</v>
      </c>
      <c r="H6" s="873">
        <v>2.8769999999999998</v>
      </c>
      <c r="I6" s="873">
        <v>2.9969999999999999</v>
      </c>
      <c r="J6" s="873">
        <v>3.1030000000000002</v>
      </c>
      <c r="K6" s="873">
        <v>3.1970000000000001</v>
      </c>
      <c r="L6" s="873">
        <v>3.282</v>
      </c>
      <c r="M6" s="873">
        <v>3.3580000000000001</v>
      </c>
      <c r="N6" s="873">
        <v>3.4279999999999999</v>
      </c>
      <c r="O6" s="873">
        <v>3.492</v>
      </c>
      <c r="P6" s="873">
        <v>3.552</v>
      </c>
      <c r="Q6" s="873">
        <v>3.6070000000000002</v>
      </c>
      <c r="R6" s="873">
        <v>3.6589999999999998</v>
      </c>
      <c r="S6" s="873">
        <v>3.7069999999999999</v>
      </c>
      <c r="T6" s="873">
        <v>3.7530000000000001</v>
      </c>
      <c r="U6" s="873">
        <v>3.7959999999999998</v>
      </c>
      <c r="V6" s="873">
        <v>3.8359999999999999</v>
      </c>
      <c r="W6" s="873">
        <v>3.875</v>
      </c>
      <c r="X6" s="873">
        <v>3.9119999999999999</v>
      </c>
      <c r="Y6" s="873">
        <v>3.9470000000000001</v>
      </c>
    </row>
    <row r="7" spans="1:25">
      <c r="A7" s="869">
        <v>5</v>
      </c>
      <c r="B7" s="872">
        <v>1.19</v>
      </c>
      <c r="C7" s="873">
        <v>1.74</v>
      </c>
      <c r="D7" s="873">
        <v>2.1</v>
      </c>
      <c r="E7" s="873">
        <v>2.36</v>
      </c>
      <c r="F7" s="873">
        <v>2.56</v>
      </c>
      <c r="G7" s="873">
        <v>2.73</v>
      </c>
      <c r="H7" s="873">
        <v>2.871</v>
      </c>
      <c r="I7" s="873">
        <v>2.992</v>
      </c>
      <c r="J7" s="873">
        <v>3.0979999999999999</v>
      </c>
      <c r="K7" s="873">
        <v>3.1920000000000002</v>
      </c>
      <c r="L7" s="873">
        <v>3.2770000000000001</v>
      </c>
      <c r="M7" s="873">
        <v>3.3540000000000001</v>
      </c>
      <c r="N7" s="873">
        <v>3.4239999999999999</v>
      </c>
      <c r="O7" s="873">
        <v>3.488</v>
      </c>
      <c r="P7" s="873">
        <v>3.548</v>
      </c>
      <c r="Q7" s="873">
        <v>3.6030000000000002</v>
      </c>
      <c r="R7" s="873">
        <v>3.6549999999999998</v>
      </c>
      <c r="S7" s="873">
        <v>3.7040000000000002</v>
      </c>
      <c r="T7" s="873">
        <v>3.7490000000000001</v>
      </c>
      <c r="U7" s="873">
        <v>3.7919999999999998</v>
      </c>
      <c r="V7" s="873">
        <v>3.8330000000000002</v>
      </c>
      <c r="W7" s="873">
        <v>3.8719999999999999</v>
      </c>
      <c r="X7" s="873">
        <v>3.9079999999999999</v>
      </c>
      <c r="Y7" s="873">
        <v>3.9430000000000001</v>
      </c>
    </row>
    <row r="8" spans="1:25">
      <c r="A8" s="869">
        <v>6</v>
      </c>
      <c r="B8" s="872">
        <v>1.18</v>
      </c>
      <c r="C8" s="873">
        <v>1.73</v>
      </c>
      <c r="D8" s="873">
        <v>2.09</v>
      </c>
      <c r="E8" s="873">
        <v>2.35</v>
      </c>
      <c r="F8" s="873">
        <v>2.56</v>
      </c>
      <c r="G8" s="873">
        <v>2.73</v>
      </c>
      <c r="H8" s="873">
        <v>2.8660000000000001</v>
      </c>
      <c r="I8" s="873">
        <v>2.9870000000000001</v>
      </c>
      <c r="J8" s="873">
        <v>3.0950000000000002</v>
      </c>
      <c r="K8" s="873">
        <v>3.1890000000000001</v>
      </c>
      <c r="L8" s="873">
        <v>3.274</v>
      </c>
      <c r="M8" s="873">
        <v>3.351</v>
      </c>
      <c r="N8" s="873">
        <v>3.4209999999999998</v>
      </c>
      <c r="O8" s="873">
        <v>3.4860000000000002</v>
      </c>
      <c r="P8" s="873">
        <v>3.5449999999999999</v>
      </c>
      <c r="Q8" s="873">
        <v>3.601</v>
      </c>
      <c r="R8" s="873">
        <v>3.653</v>
      </c>
      <c r="S8" s="873">
        <v>3.7010000000000001</v>
      </c>
      <c r="T8" s="873">
        <v>3.7469999999999999</v>
      </c>
      <c r="U8" s="873">
        <v>3.79</v>
      </c>
      <c r="V8" s="873">
        <v>3.831</v>
      </c>
      <c r="W8" s="873">
        <v>3.8690000000000002</v>
      </c>
      <c r="X8" s="873">
        <v>3.9060000000000001</v>
      </c>
      <c r="Y8" s="873">
        <v>3.9409999999999998</v>
      </c>
    </row>
    <row r="11" spans="1:25">
      <c r="A11" s="184" t="s">
        <v>1075</v>
      </c>
    </row>
    <row r="12" spans="1:25">
      <c r="A12" s="184" t="s">
        <v>1076</v>
      </c>
      <c r="G12" s="1525" t="s">
        <v>1077</v>
      </c>
      <c r="H12" s="1526"/>
      <c r="I12" s="1526"/>
      <c r="J12" s="1526"/>
      <c r="K12" s="1526"/>
      <c r="N12" s="1525" t="s">
        <v>1078</v>
      </c>
      <c r="O12" s="1526"/>
      <c r="P12" s="1526"/>
      <c r="Q12" s="1526"/>
      <c r="R12" s="1526"/>
      <c r="U12" s="1525" t="s">
        <v>1079</v>
      </c>
      <c r="V12" s="1526"/>
      <c r="W12" s="1526"/>
      <c r="X12" s="1526"/>
      <c r="Y12" s="1526"/>
    </row>
    <row r="13" spans="1:25">
      <c r="B13" s="1525" t="s">
        <v>460</v>
      </c>
      <c r="C13" s="1525"/>
      <c r="D13" s="1525"/>
      <c r="G13" s="1526" t="s">
        <v>461</v>
      </c>
      <c r="H13" s="1526"/>
      <c r="I13" s="1526"/>
      <c r="J13" s="1526"/>
      <c r="K13" s="1526"/>
      <c r="N13" s="1526" t="s">
        <v>461</v>
      </c>
      <c r="O13" s="1526"/>
      <c r="P13" s="1526"/>
      <c r="Q13" s="1526"/>
      <c r="R13" s="1526"/>
      <c r="U13" s="1526" t="s">
        <v>461</v>
      </c>
      <c r="V13" s="1526"/>
      <c r="W13" s="1526"/>
      <c r="X13" s="1526"/>
      <c r="Y13" s="1526"/>
    </row>
    <row r="14" spans="1:25" ht="13.5" thickBot="1">
      <c r="A14" s="867" t="s">
        <v>458</v>
      </c>
      <c r="B14" s="868">
        <v>0.01</v>
      </c>
      <c r="C14" s="868">
        <v>0.05</v>
      </c>
      <c r="D14" s="868">
        <v>0.1</v>
      </c>
      <c r="F14" s="867" t="s">
        <v>458</v>
      </c>
      <c r="G14" s="868">
        <v>2</v>
      </c>
      <c r="H14" s="868">
        <v>3</v>
      </c>
      <c r="I14" s="868">
        <v>4</v>
      </c>
      <c r="J14" s="868">
        <v>5</v>
      </c>
      <c r="K14" s="868">
        <v>6</v>
      </c>
      <c r="M14" s="867" t="s">
        <v>458</v>
      </c>
      <c r="N14" s="868">
        <v>2</v>
      </c>
      <c r="O14" s="868">
        <v>3</v>
      </c>
      <c r="P14" s="868">
        <v>4</v>
      </c>
      <c r="Q14" s="868">
        <v>5</v>
      </c>
      <c r="R14" s="868">
        <v>6</v>
      </c>
      <c r="T14" s="867" t="s">
        <v>458</v>
      </c>
      <c r="U14" s="868">
        <v>2</v>
      </c>
      <c r="V14" s="868">
        <v>3</v>
      </c>
      <c r="W14" s="868">
        <v>4</v>
      </c>
      <c r="X14" s="868">
        <v>5</v>
      </c>
      <c r="Y14" s="868">
        <v>6</v>
      </c>
    </row>
    <row r="15" spans="1:25" ht="13.5" thickTop="1">
      <c r="A15" s="869">
        <v>2</v>
      </c>
      <c r="B15" s="866">
        <v>7.02</v>
      </c>
      <c r="C15" s="866">
        <v>3.04</v>
      </c>
      <c r="D15" s="866">
        <v>2.06</v>
      </c>
      <c r="F15" s="869">
        <v>2</v>
      </c>
      <c r="G15" s="870">
        <v>2.65</v>
      </c>
      <c r="H15" s="871"/>
      <c r="I15" s="871"/>
      <c r="J15" s="871"/>
      <c r="K15" s="871"/>
      <c r="M15" s="869">
        <v>2</v>
      </c>
      <c r="N15" s="870">
        <v>3.0419999999999998</v>
      </c>
      <c r="O15" s="871"/>
      <c r="P15" s="871"/>
      <c r="Q15" s="871"/>
      <c r="R15" s="871"/>
      <c r="T15" s="869">
        <v>2</v>
      </c>
      <c r="U15" s="870">
        <v>7.0179999999999998</v>
      </c>
      <c r="V15" s="871"/>
      <c r="W15" s="871"/>
      <c r="X15" s="871"/>
      <c r="Y15" s="871"/>
    </row>
    <row r="16" spans="1:25">
      <c r="A16" s="869">
        <v>3</v>
      </c>
      <c r="B16" s="866">
        <v>4.13</v>
      </c>
      <c r="C16" s="866">
        <v>2.25</v>
      </c>
      <c r="D16" s="866">
        <v>1.66</v>
      </c>
      <c r="F16" s="869">
        <v>3</v>
      </c>
      <c r="G16" s="872">
        <v>1.663</v>
      </c>
      <c r="H16" s="873">
        <v>2.585</v>
      </c>
      <c r="I16" s="873"/>
      <c r="J16" s="873"/>
      <c r="K16" s="873"/>
      <c r="M16" s="869">
        <v>3</v>
      </c>
      <c r="N16" s="872">
        <v>2.2480000000000002</v>
      </c>
      <c r="O16" s="873">
        <v>3.4159999999999999</v>
      </c>
      <c r="P16" s="873"/>
      <c r="Q16" s="873"/>
      <c r="R16" s="873"/>
      <c r="T16" s="869">
        <v>3</v>
      </c>
      <c r="U16" s="872">
        <v>4.0979999999999999</v>
      </c>
      <c r="V16" s="871">
        <v>6.1429999999999998</v>
      </c>
      <c r="W16" s="873"/>
      <c r="X16" s="873"/>
      <c r="Y16" s="873"/>
    </row>
    <row r="17" spans="1:25">
      <c r="A17" s="869">
        <v>4</v>
      </c>
      <c r="B17" s="866">
        <v>3.26</v>
      </c>
      <c r="C17" s="866">
        <v>1.96</v>
      </c>
      <c r="D17" s="866">
        <v>1.51</v>
      </c>
      <c r="F17" s="869">
        <v>4</v>
      </c>
      <c r="G17" s="872">
        <v>1.5069999999999999</v>
      </c>
      <c r="H17" s="873">
        <v>2.2930000000000001</v>
      </c>
      <c r="I17" s="873">
        <v>2.6890000000000001</v>
      </c>
      <c r="J17" s="873"/>
      <c r="K17" s="873"/>
      <c r="M17" s="869">
        <v>4</v>
      </c>
      <c r="N17" s="872">
        <v>1.9630000000000001</v>
      </c>
      <c r="O17" s="873">
        <v>2.9060000000000001</v>
      </c>
      <c r="P17" s="873">
        <v>3.3730000000000002</v>
      </c>
      <c r="Q17" s="873"/>
      <c r="R17" s="873"/>
      <c r="T17" s="869">
        <v>4</v>
      </c>
      <c r="U17" s="872">
        <v>3.2480000000000002</v>
      </c>
      <c r="V17" s="873">
        <v>4.6760000000000002</v>
      </c>
      <c r="W17" s="873">
        <v>5.3810000000000002</v>
      </c>
      <c r="X17" s="873"/>
      <c r="Y17" s="873"/>
    </row>
    <row r="18" spans="1:25">
      <c r="A18" s="869">
        <v>5</v>
      </c>
      <c r="B18" s="866">
        <v>2.85</v>
      </c>
      <c r="C18" s="866">
        <v>1.82</v>
      </c>
      <c r="D18" s="866">
        <v>1.42</v>
      </c>
      <c r="F18" s="869">
        <v>5</v>
      </c>
      <c r="G18" s="872">
        <v>1.425</v>
      </c>
      <c r="H18" s="873">
        <v>2.1429999999999998</v>
      </c>
      <c r="I18" s="873">
        <v>2.4940000000000002</v>
      </c>
      <c r="J18" s="873">
        <v>2.7309999999999999</v>
      </c>
      <c r="K18" s="873"/>
      <c r="M18" s="869">
        <v>5</v>
      </c>
      <c r="N18" s="872">
        <v>1.8169999999999999</v>
      </c>
      <c r="O18" s="873">
        <v>2.6549999999999998</v>
      </c>
      <c r="P18" s="873">
        <v>3.0529999999999999</v>
      </c>
      <c r="Q18" s="873">
        <v>3.33</v>
      </c>
      <c r="R18" s="873"/>
      <c r="T18" s="869">
        <v>5</v>
      </c>
      <c r="U18" s="872">
        <v>2.8490000000000002</v>
      </c>
      <c r="V18" s="873">
        <v>4.0209999999999999</v>
      </c>
      <c r="W18" s="873">
        <v>4.577</v>
      </c>
      <c r="X18" s="873">
        <v>4.9660000000000002</v>
      </c>
      <c r="Y18" s="873"/>
    </row>
    <row r="19" spans="1:25">
      <c r="A19" s="869">
        <v>6</v>
      </c>
      <c r="B19" s="866">
        <v>2.62</v>
      </c>
      <c r="C19" s="866">
        <v>1.73</v>
      </c>
      <c r="D19" s="866">
        <v>1.37</v>
      </c>
      <c r="F19" s="869">
        <v>6</v>
      </c>
      <c r="G19" s="872">
        <v>1.3740000000000001</v>
      </c>
      <c r="H19" s="873">
        <v>2.052</v>
      </c>
      <c r="I19" s="873">
        <v>2.3759999999999999</v>
      </c>
      <c r="J19" s="873">
        <v>2.597</v>
      </c>
      <c r="K19" s="873">
        <v>2.7639999999999998</v>
      </c>
      <c r="M19" s="869">
        <v>6</v>
      </c>
      <c r="N19" s="872">
        <v>1.73</v>
      </c>
      <c r="O19" s="873">
        <v>2.5049999999999999</v>
      </c>
      <c r="P19" s="873">
        <v>2.8639999999999999</v>
      </c>
      <c r="Q19" s="873">
        <v>3.1139999999999999</v>
      </c>
      <c r="R19" s="873">
        <v>3.3039999999999998</v>
      </c>
      <c r="T19" s="869">
        <v>6</v>
      </c>
      <c r="U19" s="872">
        <v>2.621</v>
      </c>
      <c r="V19" s="873">
        <v>3.6539999999999999</v>
      </c>
      <c r="W19" s="873">
        <v>4.13</v>
      </c>
      <c r="X19" s="873">
        <v>4.46</v>
      </c>
      <c r="Y19" s="873">
        <v>4.7110000000000003</v>
      </c>
    </row>
    <row r="20" spans="1:25">
      <c r="A20" s="869">
        <v>7</v>
      </c>
      <c r="B20" s="866">
        <v>2.4700000000000002</v>
      </c>
      <c r="C20" s="866">
        <v>1.67</v>
      </c>
      <c r="D20" s="866">
        <v>1.34</v>
      </c>
      <c r="F20" s="869">
        <v>7</v>
      </c>
      <c r="G20" s="872">
        <v>1.34</v>
      </c>
      <c r="H20" s="873">
        <v>1.9910000000000001</v>
      </c>
      <c r="I20" s="873">
        <v>2.2970000000000002</v>
      </c>
      <c r="J20" s="873">
        <v>2.5070000000000001</v>
      </c>
      <c r="K20" s="873">
        <v>2.6659999999999999</v>
      </c>
      <c r="M20" s="869">
        <v>7</v>
      </c>
      <c r="N20" s="872">
        <v>1.6719999999999999</v>
      </c>
      <c r="O20" s="873">
        <v>2.4060000000000001</v>
      </c>
      <c r="P20" s="873">
        <v>2.74</v>
      </c>
      <c r="Q20" s="873">
        <v>2.972</v>
      </c>
      <c r="R20" s="873">
        <v>3.1480000000000001</v>
      </c>
      <c r="T20" s="869">
        <v>7</v>
      </c>
      <c r="U20" s="872">
        <v>2.4740000000000002</v>
      </c>
      <c r="V20" s="873">
        <v>3.42</v>
      </c>
      <c r="W20" s="873">
        <v>3.8460000000000001</v>
      </c>
      <c r="X20" s="873">
        <v>4.141</v>
      </c>
      <c r="Y20" s="873">
        <v>4.3639999999999999</v>
      </c>
    </row>
    <row r="21" spans="1:25">
      <c r="A21" s="869">
        <v>8</v>
      </c>
      <c r="B21" s="866">
        <v>2.37</v>
      </c>
      <c r="C21" s="866">
        <v>1.63</v>
      </c>
      <c r="D21" s="866">
        <v>1.32</v>
      </c>
      <c r="F21" s="869">
        <v>8</v>
      </c>
      <c r="G21" s="872">
        <v>1.3149999999999999</v>
      </c>
      <c r="H21" s="873">
        <v>1.9470000000000001</v>
      </c>
      <c r="I21" s="873">
        <v>2.2400000000000002</v>
      </c>
      <c r="J21" s="873">
        <v>2.4420000000000002</v>
      </c>
      <c r="K21" s="873">
        <v>2.5950000000000002</v>
      </c>
      <c r="M21" s="869">
        <v>8</v>
      </c>
      <c r="N21" s="872">
        <v>1.631</v>
      </c>
      <c r="O21" s="873">
        <v>2.3359999999999999</v>
      </c>
      <c r="P21" s="873">
        <v>2.6520000000000001</v>
      </c>
      <c r="Q21" s="873">
        <v>2.871</v>
      </c>
      <c r="R21" s="873">
        <v>3.0379999999999998</v>
      </c>
      <c r="T21" s="869">
        <v>8</v>
      </c>
      <c r="U21" s="872">
        <v>2.3719999999999999</v>
      </c>
      <c r="V21" s="873">
        <v>3.2570000000000001</v>
      </c>
      <c r="W21" s="873">
        <v>3.6509999999999998</v>
      </c>
      <c r="X21" s="873">
        <v>3.9209999999999998</v>
      </c>
      <c r="Y21" s="873">
        <v>4.125</v>
      </c>
    </row>
    <row r="22" spans="1:25">
      <c r="A22" s="869">
        <v>9</v>
      </c>
      <c r="B22" s="866">
        <v>2.2999999999999998</v>
      </c>
      <c r="C22" s="866">
        <v>1.6</v>
      </c>
      <c r="D22" s="866">
        <v>1.3</v>
      </c>
      <c r="F22" s="869">
        <v>9</v>
      </c>
      <c r="G22" s="872">
        <v>1.296</v>
      </c>
      <c r="H22" s="873">
        <v>1.9139999999999999</v>
      </c>
      <c r="I22" s="873">
        <v>2.1970000000000001</v>
      </c>
      <c r="J22" s="873">
        <v>2.3929999999999998</v>
      </c>
      <c r="K22" s="873">
        <v>2.5409999999999999</v>
      </c>
      <c r="M22" s="869">
        <v>9</v>
      </c>
      <c r="N22" s="872">
        <v>1.6</v>
      </c>
      <c r="O22" s="873">
        <v>2.2829999999999999</v>
      </c>
      <c r="P22" s="873">
        <v>2.5859999999999999</v>
      </c>
      <c r="Q22" s="873">
        <v>2.7959999999999998</v>
      </c>
      <c r="R22" s="873">
        <v>2.9550000000000001</v>
      </c>
      <c r="T22" s="869">
        <v>9</v>
      </c>
      <c r="U22" s="872">
        <v>2.298</v>
      </c>
      <c r="V22" s="873">
        <v>3.1829999999999998</v>
      </c>
      <c r="W22" s="873">
        <v>3.508</v>
      </c>
      <c r="X22" s="873">
        <v>3.7610000000000001</v>
      </c>
      <c r="Y22" s="873">
        <v>3.9510000000000001</v>
      </c>
    </row>
    <row r="23" spans="1:25">
      <c r="A23" s="869">
        <v>10</v>
      </c>
      <c r="B23" s="866">
        <v>2.2400000000000002</v>
      </c>
      <c r="C23" s="866">
        <v>1.58</v>
      </c>
      <c r="D23" s="866">
        <v>1.28</v>
      </c>
      <c r="F23" s="869">
        <v>10</v>
      </c>
      <c r="G23" s="872">
        <v>1.282</v>
      </c>
      <c r="H23" s="873">
        <v>1.8879999999999999</v>
      </c>
      <c r="I23" s="873">
        <v>2.1640000000000001</v>
      </c>
      <c r="J23" s="873">
        <v>2.355</v>
      </c>
      <c r="K23" s="873">
        <v>2.4990000000000001</v>
      </c>
      <c r="M23" s="869">
        <v>10</v>
      </c>
      <c r="N23" s="872">
        <v>1.5760000000000001</v>
      </c>
      <c r="O23" s="873">
        <v>2.242</v>
      </c>
      <c r="P23" s="873">
        <v>2.5350000000000001</v>
      </c>
      <c r="Q23" s="873">
        <v>2.738</v>
      </c>
      <c r="R23" s="873">
        <v>2.891</v>
      </c>
      <c r="T23" s="869">
        <v>10</v>
      </c>
      <c r="U23" s="872">
        <v>2.2410000000000001</v>
      </c>
      <c r="V23" s="873">
        <v>3.048</v>
      </c>
      <c r="W23" s="873">
        <v>3.4</v>
      </c>
      <c r="X23" s="873">
        <v>3.64</v>
      </c>
      <c r="Y23" s="873">
        <v>3.82</v>
      </c>
    </row>
    <row r="24" spans="1:25">
      <c r="A24" s="869">
        <v>12</v>
      </c>
      <c r="B24" s="866">
        <v>2.16</v>
      </c>
      <c r="C24" s="866">
        <v>1.54</v>
      </c>
      <c r="D24" s="866">
        <v>1.26</v>
      </c>
      <c r="F24" s="869">
        <v>11</v>
      </c>
      <c r="G24" s="872">
        <v>1.27</v>
      </c>
      <c r="H24" s="873">
        <v>1.8680000000000001</v>
      </c>
      <c r="I24" s="873">
        <v>2.1379999999999999</v>
      </c>
      <c r="J24" s="873">
        <v>2.3239999999999998</v>
      </c>
      <c r="K24" s="873">
        <v>2.4649999999999999</v>
      </c>
      <c r="M24" s="869">
        <v>11</v>
      </c>
      <c r="N24" s="872">
        <v>1.556</v>
      </c>
      <c r="O24" s="873">
        <v>2.2090000000000001</v>
      </c>
      <c r="P24" s="873">
        <v>2.4940000000000002</v>
      </c>
      <c r="Q24" s="873">
        <v>2.6909999999999998</v>
      </c>
      <c r="R24" s="873">
        <v>2.84</v>
      </c>
      <c r="T24" s="869">
        <v>11</v>
      </c>
      <c r="U24" s="872">
        <v>2.1960000000000002</v>
      </c>
      <c r="V24" s="873">
        <v>2.976</v>
      </c>
      <c r="W24" s="873">
        <v>3.3140000000000001</v>
      </c>
      <c r="X24" s="873">
        <v>3.544</v>
      </c>
      <c r="Y24" s="873">
        <v>3.7160000000000002</v>
      </c>
    </row>
    <row r="25" spans="1:25">
      <c r="A25" s="869">
        <v>15</v>
      </c>
      <c r="B25" s="866">
        <v>2.08</v>
      </c>
      <c r="C25" s="866">
        <v>1.51</v>
      </c>
      <c r="D25" s="866">
        <v>1.24</v>
      </c>
      <c r="F25" s="869">
        <v>12</v>
      </c>
      <c r="G25" s="872">
        <v>1.26</v>
      </c>
      <c r="H25" s="873">
        <v>1.851</v>
      </c>
      <c r="I25" s="873">
        <v>2.1160000000000001</v>
      </c>
      <c r="J25" s="873">
        <v>2.2989999999999999</v>
      </c>
      <c r="K25" s="873">
        <v>2.4380000000000002</v>
      </c>
      <c r="M25" s="869">
        <v>12</v>
      </c>
      <c r="N25" s="872">
        <v>1.5409999999999999</v>
      </c>
      <c r="O25" s="873">
        <v>2.1819999999999999</v>
      </c>
      <c r="P25" s="873">
        <v>2.4609999999999999</v>
      </c>
      <c r="Q25" s="873">
        <v>2.653</v>
      </c>
      <c r="R25" s="873">
        <v>2.798</v>
      </c>
      <c r="T25" s="869">
        <v>12</v>
      </c>
      <c r="U25" s="872">
        <v>2.16</v>
      </c>
      <c r="V25" s="873">
        <v>2.9180000000000001</v>
      </c>
      <c r="W25" s="873">
        <v>3.2450000000000001</v>
      </c>
      <c r="X25" s="873">
        <v>3.4670000000000001</v>
      </c>
      <c r="Y25" s="873">
        <v>3.633</v>
      </c>
    </row>
    <row r="26" spans="1:25">
      <c r="A26" s="869">
        <v>18</v>
      </c>
      <c r="B26" s="866">
        <v>2.04</v>
      </c>
      <c r="C26" s="866">
        <v>1.49</v>
      </c>
      <c r="D26" s="866">
        <v>1.23</v>
      </c>
      <c r="F26" s="869">
        <v>13</v>
      </c>
      <c r="G26" s="872">
        <v>1.252</v>
      </c>
      <c r="H26" s="873">
        <v>1.8360000000000001</v>
      </c>
      <c r="I26" s="873">
        <v>2.097</v>
      </c>
      <c r="J26" s="873">
        <v>2.278</v>
      </c>
      <c r="K26" s="873">
        <v>2.4140000000000001</v>
      </c>
      <c r="M26" s="869">
        <v>13</v>
      </c>
      <c r="N26" s="872">
        <v>1.528</v>
      </c>
      <c r="O26" s="873">
        <v>2.16</v>
      </c>
      <c r="P26" s="873">
        <v>2.4329999999999998</v>
      </c>
      <c r="Q26" s="873">
        <v>2.6219999999999999</v>
      </c>
      <c r="R26" s="873">
        <v>2.7639999999999998</v>
      </c>
      <c r="T26" s="869">
        <v>13</v>
      </c>
      <c r="U26" s="872">
        <v>2.13</v>
      </c>
      <c r="V26" s="873">
        <v>2.87</v>
      </c>
      <c r="W26" s="873">
        <v>3.1880000000000002</v>
      </c>
      <c r="X26" s="873">
        <v>3.4039999999999999</v>
      </c>
      <c r="Y26" s="873">
        <v>3.5640000000000001</v>
      </c>
    </row>
    <row r="27" spans="1:25">
      <c r="A27" s="869">
        <v>20</v>
      </c>
      <c r="B27" s="866">
        <v>2.0099999999999998</v>
      </c>
      <c r="C27" s="866">
        <v>1.48</v>
      </c>
      <c r="D27" s="866">
        <v>1.22</v>
      </c>
      <c r="F27" s="869">
        <v>14</v>
      </c>
      <c r="G27" s="872">
        <v>1.2450000000000001</v>
      </c>
      <c r="H27" s="873">
        <v>1.8240000000000001</v>
      </c>
      <c r="I27" s="873">
        <v>2.0819999999999999</v>
      </c>
      <c r="J27" s="873">
        <v>2.2599999999999998</v>
      </c>
      <c r="K27" s="873">
        <v>2.395</v>
      </c>
      <c r="M27" s="869">
        <v>14</v>
      </c>
      <c r="N27" s="872">
        <v>1.5169999999999999</v>
      </c>
      <c r="O27" s="873">
        <v>2.141</v>
      </c>
      <c r="P27" s="873">
        <v>2.41</v>
      </c>
      <c r="Q27" s="873">
        <v>2.5950000000000002</v>
      </c>
      <c r="R27" s="873">
        <v>2.7349999999999999</v>
      </c>
      <c r="T27" s="869">
        <v>14</v>
      </c>
      <c r="U27" s="872">
        <v>2.105</v>
      </c>
      <c r="V27" s="873">
        <v>2.83</v>
      </c>
      <c r="W27" s="873">
        <v>3.141</v>
      </c>
      <c r="X27" s="873">
        <v>3.351</v>
      </c>
      <c r="Y27" s="873">
        <v>3.5070000000000001</v>
      </c>
    </row>
    <row r="28" spans="1:25">
      <c r="A28" s="869">
        <v>25</v>
      </c>
      <c r="B28" s="866">
        <v>1.97</v>
      </c>
      <c r="C28" s="866">
        <v>1.46</v>
      </c>
      <c r="D28" s="866">
        <v>1.21</v>
      </c>
      <c r="F28" s="869">
        <v>15</v>
      </c>
      <c r="G28" s="872">
        <v>1.24</v>
      </c>
      <c r="H28" s="873">
        <v>1.8140000000000001</v>
      </c>
      <c r="I28" s="873">
        <v>2.069</v>
      </c>
      <c r="J28" s="873">
        <v>2.2450000000000001</v>
      </c>
      <c r="K28" s="873">
        <v>2.3780000000000001</v>
      </c>
      <c r="M28" s="869">
        <v>15</v>
      </c>
      <c r="N28" s="872">
        <v>1.5069999999999999</v>
      </c>
      <c r="O28" s="873">
        <v>2.125</v>
      </c>
      <c r="P28" s="873">
        <v>2.39</v>
      </c>
      <c r="Q28" s="873">
        <v>2.573</v>
      </c>
      <c r="R28" s="873">
        <v>2.71</v>
      </c>
      <c r="T28" s="869">
        <v>15</v>
      </c>
      <c r="U28" s="872">
        <v>2.0840000000000001</v>
      </c>
      <c r="V28" s="873">
        <v>2.7959999999999998</v>
      </c>
      <c r="W28" s="873">
        <v>3.1</v>
      </c>
      <c r="X28" s="873">
        <v>3.306</v>
      </c>
      <c r="Y28" s="873">
        <v>3.4580000000000002</v>
      </c>
    </row>
    <row r="29" spans="1:25">
      <c r="A29" s="869">
        <v>30</v>
      </c>
      <c r="B29" s="866">
        <v>1.94</v>
      </c>
      <c r="C29" s="866">
        <v>1.44</v>
      </c>
      <c r="D29" s="866">
        <v>1.2</v>
      </c>
      <c r="F29" s="869">
        <v>16</v>
      </c>
      <c r="G29" s="872">
        <v>1.2350000000000001</v>
      </c>
      <c r="H29" s="873">
        <v>1.8049999999999999</v>
      </c>
      <c r="I29" s="873">
        <v>2.0569999999999999</v>
      </c>
      <c r="J29" s="873">
        <v>2.2320000000000002</v>
      </c>
      <c r="K29" s="873">
        <v>2.363</v>
      </c>
      <c r="M29" s="869">
        <v>16</v>
      </c>
      <c r="N29" s="872">
        <v>1.4990000000000001</v>
      </c>
      <c r="O29" s="873">
        <v>2.1110000000000002</v>
      </c>
      <c r="P29" s="873">
        <v>2.3730000000000002</v>
      </c>
      <c r="Q29" s="873">
        <v>2.5529999999999999</v>
      </c>
      <c r="R29" s="873">
        <v>2.6880000000000002</v>
      </c>
      <c r="T29" s="869">
        <v>16</v>
      </c>
      <c r="U29" s="872">
        <v>2.0649999999999999</v>
      </c>
      <c r="V29" s="873">
        <v>2.7669999999999999</v>
      </c>
      <c r="W29" s="873">
        <v>3.0659999999999998</v>
      </c>
      <c r="X29" s="873">
        <v>3.2669999999999999</v>
      </c>
      <c r="Y29" s="873">
        <v>3.4159999999999999</v>
      </c>
    </row>
    <row r="30" spans="1:25">
      <c r="A30" s="869">
        <v>40</v>
      </c>
      <c r="B30" s="866">
        <v>1.91</v>
      </c>
      <c r="C30" s="866">
        <v>1.43</v>
      </c>
      <c r="D30" s="866">
        <v>1.19</v>
      </c>
      <c r="F30" s="869">
        <v>17</v>
      </c>
      <c r="G30" s="872">
        <v>1.23</v>
      </c>
      <c r="H30" s="873">
        <v>1.7969999999999999</v>
      </c>
      <c r="I30" s="873">
        <v>2.0470000000000002</v>
      </c>
      <c r="J30" s="873">
        <v>2.2200000000000002</v>
      </c>
      <c r="K30" s="873">
        <v>2.35</v>
      </c>
      <c r="M30" s="869">
        <v>17</v>
      </c>
      <c r="N30" s="872">
        <v>1.492</v>
      </c>
      <c r="O30" s="873">
        <v>2.0990000000000002</v>
      </c>
      <c r="P30" s="873">
        <v>2.3580000000000001</v>
      </c>
      <c r="Q30" s="873">
        <v>2.536</v>
      </c>
      <c r="R30" s="873">
        <v>2.669</v>
      </c>
      <c r="T30" s="869">
        <v>17</v>
      </c>
      <c r="U30" s="872">
        <v>2.0489999999999999</v>
      </c>
      <c r="V30" s="873">
        <v>2.7410000000000001</v>
      </c>
      <c r="W30" s="873">
        <v>3.0350000000000001</v>
      </c>
      <c r="X30" s="873">
        <v>3.2330000000000001</v>
      </c>
      <c r="Y30" s="873">
        <v>3.38</v>
      </c>
    </row>
    <row r="31" spans="1:25">
      <c r="A31" s="869">
        <v>60</v>
      </c>
      <c r="B31" s="866">
        <v>1.88</v>
      </c>
      <c r="C31" s="866">
        <v>1.41</v>
      </c>
      <c r="D31" s="866">
        <v>1.18</v>
      </c>
      <c r="F31" s="869">
        <v>18</v>
      </c>
      <c r="G31" s="872">
        <v>1.226</v>
      </c>
      <c r="H31" s="873">
        <v>1.79</v>
      </c>
      <c r="I31" s="873">
        <v>2.0379999999999998</v>
      </c>
      <c r="J31" s="873">
        <v>2.21</v>
      </c>
      <c r="K31" s="873">
        <v>2.339</v>
      </c>
      <c r="M31" s="869">
        <v>18</v>
      </c>
      <c r="N31" s="872">
        <v>1.486</v>
      </c>
      <c r="O31" s="873">
        <v>2.0880000000000001</v>
      </c>
      <c r="P31" s="873">
        <v>2.3450000000000002</v>
      </c>
      <c r="Q31" s="873">
        <v>2.52</v>
      </c>
      <c r="R31" s="873">
        <v>2.653</v>
      </c>
      <c r="T31" s="869">
        <v>18</v>
      </c>
      <c r="U31" s="872">
        <v>2.0350000000000001</v>
      </c>
      <c r="V31" s="873">
        <v>2.7189999999999999</v>
      </c>
      <c r="W31" s="873">
        <v>3.0089999999999999</v>
      </c>
      <c r="X31" s="873">
        <v>3.2040000000000002</v>
      </c>
      <c r="Y31" s="873">
        <v>3.3479999999999999</v>
      </c>
    </row>
    <row r="32" spans="1:25">
      <c r="F32" s="869">
        <v>19</v>
      </c>
      <c r="G32" s="872">
        <v>1.2230000000000001</v>
      </c>
      <c r="H32" s="873">
        <v>1.784</v>
      </c>
      <c r="I32" s="873">
        <v>2.0299999999999998</v>
      </c>
      <c r="J32" s="873">
        <v>2.2010000000000001</v>
      </c>
      <c r="K32" s="873">
        <v>2.3290000000000002</v>
      </c>
      <c r="M32" s="869">
        <v>19</v>
      </c>
      <c r="N32" s="872">
        <v>1.48</v>
      </c>
      <c r="O32" s="873">
        <v>2.0790000000000002</v>
      </c>
      <c r="P32" s="873">
        <v>2.3330000000000002</v>
      </c>
      <c r="Q32" s="873">
        <v>2.5070000000000001</v>
      </c>
      <c r="R32" s="873">
        <v>2.6379999999999999</v>
      </c>
      <c r="T32" s="869">
        <v>19</v>
      </c>
      <c r="U32" s="872">
        <v>2.0230000000000001</v>
      </c>
      <c r="V32" s="873">
        <v>2.6989999999999998</v>
      </c>
      <c r="W32" s="873">
        <v>2.9849999999999999</v>
      </c>
      <c r="X32" s="873">
        <v>3.1779999999999999</v>
      </c>
      <c r="Y32" s="873">
        <v>3.32</v>
      </c>
    </row>
    <row r="33" spans="1:25">
      <c r="F33" s="869">
        <v>20</v>
      </c>
      <c r="G33" s="872">
        <v>1.22</v>
      </c>
      <c r="H33" s="873">
        <v>1.7789999999999999</v>
      </c>
      <c r="I33" s="873">
        <v>2.0230000000000001</v>
      </c>
      <c r="J33" s="873">
        <v>2.1920000000000002</v>
      </c>
      <c r="K33" s="873">
        <v>2.319</v>
      </c>
      <c r="M33" s="869">
        <v>20</v>
      </c>
      <c r="N33" s="872">
        <v>1.4750000000000001</v>
      </c>
      <c r="O33" s="873">
        <v>2.0699999999999998</v>
      </c>
      <c r="P33" s="873">
        <v>2.3220000000000001</v>
      </c>
      <c r="Q33" s="873">
        <v>2.4950000000000001</v>
      </c>
      <c r="R33" s="873">
        <v>2.6240000000000001</v>
      </c>
      <c r="T33" s="869">
        <v>20</v>
      </c>
      <c r="U33" s="872">
        <v>2.012</v>
      </c>
      <c r="V33" s="873">
        <v>2.681</v>
      </c>
      <c r="W33" s="873">
        <v>2.9649999999999999</v>
      </c>
      <c r="X33" s="873">
        <v>3.1539999999999999</v>
      </c>
      <c r="Y33" s="873">
        <v>3.2949999999999999</v>
      </c>
    </row>
    <row r="34" spans="1:25">
      <c r="F34" s="869">
        <v>24</v>
      </c>
      <c r="G34" s="872">
        <v>1.21</v>
      </c>
      <c r="H34" s="873">
        <v>1.762</v>
      </c>
      <c r="I34" s="873">
        <v>2.0009999999999999</v>
      </c>
      <c r="J34" s="873">
        <v>2.1669999999999998</v>
      </c>
      <c r="K34" s="873">
        <v>2.2909999999999999</v>
      </c>
      <c r="M34" s="869">
        <v>24</v>
      </c>
      <c r="N34" s="872">
        <v>1.4590000000000001</v>
      </c>
      <c r="O34" s="873">
        <v>2.0430000000000001</v>
      </c>
      <c r="P34" s="873">
        <v>2.2890000000000001</v>
      </c>
      <c r="Q34" s="873">
        <v>2.4569999999999999</v>
      </c>
      <c r="R34" s="873">
        <v>2.5830000000000002</v>
      </c>
      <c r="T34" s="869">
        <v>24</v>
      </c>
      <c r="U34" s="872">
        <v>1.978</v>
      </c>
      <c r="V34" s="873">
        <v>2.6259999999999999</v>
      </c>
      <c r="W34" s="873">
        <v>2.9</v>
      </c>
      <c r="X34" s="873">
        <v>3.0819999999999999</v>
      </c>
      <c r="Y34" s="873">
        <v>3.2170000000000001</v>
      </c>
    </row>
    <row r="35" spans="1:25">
      <c r="F35" s="869">
        <v>30</v>
      </c>
      <c r="G35" s="872">
        <v>1.2</v>
      </c>
      <c r="H35" s="873">
        <v>1.7450000000000001</v>
      </c>
      <c r="I35" s="873">
        <v>1.9790000000000001</v>
      </c>
      <c r="J35" s="873">
        <v>2.141</v>
      </c>
      <c r="K35" s="873">
        <v>2.2629999999999999</v>
      </c>
      <c r="M35" s="869">
        <v>30</v>
      </c>
      <c r="N35" s="872">
        <v>1.444</v>
      </c>
      <c r="O35" s="873">
        <v>2.0169999999999999</v>
      </c>
      <c r="P35" s="873">
        <v>2.2570000000000001</v>
      </c>
      <c r="Q35" s="873">
        <v>2.42</v>
      </c>
      <c r="R35" s="873">
        <v>2.5430000000000001</v>
      </c>
      <c r="T35" s="869">
        <v>30</v>
      </c>
      <c r="U35" s="872">
        <v>1.9450000000000001</v>
      </c>
      <c r="V35" s="873">
        <v>2.573</v>
      </c>
      <c r="W35" s="873">
        <v>2.8370000000000002</v>
      </c>
      <c r="X35" s="873">
        <v>3.0129999999999999</v>
      </c>
      <c r="Y35" s="873">
        <v>3.1419999999999999</v>
      </c>
    </row>
    <row r="36" spans="1:25">
      <c r="F36" s="869">
        <v>40</v>
      </c>
      <c r="G36" s="872">
        <v>1.1910000000000001</v>
      </c>
      <c r="H36" s="873">
        <v>1.728</v>
      </c>
      <c r="I36" s="873">
        <v>1.958</v>
      </c>
      <c r="J36" s="873">
        <v>2.1160000000000001</v>
      </c>
      <c r="K36" s="873">
        <v>2.2349999999999999</v>
      </c>
      <c r="M36" s="869">
        <v>40</v>
      </c>
      <c r="N36" s="872">
        <v>1.429</v>
      </c>
      <c r="O36" s="873">
        <v>1.9910000000000001</v>
      </c>
      <c r="P36" s="873">
        <v>2.2250000000000001</v>
      </c>
      <c r="Q36" s="873">
        <v>2.3839999999999999</v>
      </c>
      <c r="R36" s="873">
        <v>2.5030000000000001</v>
      </c>
      <c r="T36" s="869">
        <v>40</v>
      </c>
      <c r="U36" s="872">
        <v>1.9119999999999999</v>
      </c>
      <c r="V36" s="873">
        <v>2.5209999999999999</v>
      </c>
      <c r="W36" s="873">
        <v>2.7759999999999998</v>
      </c>
      <c r="X36" s="873">
        <v>2.9449999999999998</v>
      </c>
      <c r="Y36" s="873">
        <v>3.069</v>
      </c>
    </row>
    <row r="37" spans="1:25">
      <c r="F37" s="869">
        <v>60</v>
      </c>
      <c r="G37" s="872">
        <v>1.181</v>
      </c>
      <c r="H37" s="873">
        <v>1.7110000000000001</v>
      </c>
      <c r="I37" s="873">
        <v>1.9370000000000001</v>
      </c>
      <c r="J37" s="873">
        <v>2.0920000000000001</v>
      </c>
      <c r="K37" s="873">
        <v>2.2069999999999999</v>
      </c>
      <c r="M37" s="869">
        <v>60</v>
      </c>
      <c r="N37" s="872">
        <v>1.4139999999999999</v>
      </c>
      <c r="O37" s="873">
        <v>1.996</v>
      </c>
      <c r="P37" s="873">
        <v>2.194</v>
      </c>
      <c r="Q37" s="873">
        <v>2.3490000000000002</v>
      </c>
      <c r="R37" s="873">
        <v>2.464</v>
      </c>
      <c r="T37" s="869">
        <v>60</v>
      </c>
      <c r="U37" s="872">
        <v>1.881</v>
      </c>
      <c r="V37" s="873">
        <v>2.4710000000000001</v>
      </c>
      <c r="W37" s="873">
        <v>2.7170000000000001</v>
      </c>
      <c r="X37" s="873">
        <v>2.88</v>
      </c>
      <c r="Y37" s="873">
        <v>2.9980000000000002</v>
      </c>
    </row>
    <row r="38" spans="1:25">
      <c r="F38" s="869">
        <v>120</v>
      </c>
      <c r="G38" s="872">
        <v>1.1719999999999999</v>
      </c>
      <c r="H38" s="873">
        <v>1.6950000000000001</v>
      </c>
      <c r="I38" s="873">
        <v>1.9159999999999999</v>
      </c>
      <c r="J38" s="873">
        <v>2.0670000000000002</v>
      </c>
      <c r="K38" s="873">
        <v>2.1800000000000002</v>
      </c>
      <c r="M38" s="869">
        <v>120</v>
      </c>
      <c r="N38" s="872">
        <v>1.4</v>
      </c>
      <c r="O38" s="873">
        <v>1.9410000000000001</v>
      </c>
      <c r="P38" s="873">
        <v>2.1640000000000001</v>
      </c>
      <c r="Q38" s="873">
        <v>2.3140000000000001</v>
      </c>
      <c r="R38" s="873">
        <v>2.4260000000000002</v>
      </c>
      <c r="T38" s="869">
        <v>120</v>
      </c>
      <c r="U38" s="872">
        <v>1.851</v>
      </c>
      <c r="V38" s="873">
        <v>2.4209999999999998</v>
      </c>
      <c r="W38" s="873">
        <v>2.66</v>
      </c>
      <c r="X38" s="873">
        <v>2.8159999999999998</v>
      </c>
      <c r="Y38" s="873">
        <v>2.93</v>
      </c>
    </row>
    <row r="39" spans="1:25">
      <c r="E39" s="874" t="s">
        <v>462</v>
      </c>
      <c r="F39" s="869">
        <v>121</v>
      </c>
      <c r="G39" s="872">
        <v>1.163</v>
      </c>
      <c r="H39" s="873">
        <v>1.679</v>
      </c>
      <c r="I39" s="873">
        <v>1.8959999999999999</v>
      </c>
      <c r="J39" s="873">
        <v>2.0430000000000001</v>
      </c>
      <c r="K39" s="873">
        <v>2.1539999999999999</v>
      </c>
      <c r="L39" s="874" t="s">
        <v>462</v>
      </c>
      <c r="M39" s="869">
        <v>121</v>
      </c>
      <c r="N39" s="872">
        <v>1.3859999999999999</v>
      </c>
      <c r="O39" s="873">
        <v>1.917</v>
      </c>
      <c r="P39" s="873">
        <v>2.1339999999999999</v>
      </c>
      <c r="Q39" s="873">
        <v>2.2799999999999998</v>
      </c>
      <c r="R39" s="873">
        <v>2.3879999999999999</v>
      </c>
      <c r="S39" s="874" t="s">
        <v>462</v>
      </c>
      <c r="T39" s="869">
        <v>121</v>
      </c>
      <c r="U39" s="872">
        <v>1.821</v>
      </c>
      <c r="V39" s="873">
        <v>2.3740000000000001</v>
      </c>
      <c r="W39" s="873">
        <v>2.6040000000000001</v>
      </c>
      <c r="X39" s="873">
        <v>2.7549999999999999</v>
      </c>
      <c r="Y39" s="873">
        <v>2.8639999999999999</v>
      </c>
    </row>
    <row r="40" spans="1:25">
      <c r="A40" s="1527" t="s">
        <v>1080</v>
      </c>
      <c r="B40" s="1527"/>
      <c r="C40" s="1527"/>
      <c r="D40" s="1527"/>
      <c r="E40" s="1527"/>
    </row>
    <row r="41" spans="1:25">
      <c r="B41" s="1525" t="s">
        <v>460</v>
      </c>
      <c r="C41" s="1525"/>
      <c r="D41" s="1525"/>
    </row>
    <row r="42" spans="1:25" ht="13.5" thickBot="1">
      <c r="A42" s="867" t="s">
        <v>457</v>
      </c>
      <c r="B42" s="868">
        <v>0.01</v>
      </c>
      <c r="C42" s="868">
        <v>0.05</v>
      </c>
      <c r="D42" s="868">
        <v>0.1</v>
      </c>
    </row>
    <row r="43" spans="1:25" ht="13.5" thickTop="1">
      <c r="A43" s="875">
        <v>2</v>
      </c>
      <c r="B43" s="872">
        <v>1.82</v>
      </c>
      <c r="C43" s="873">
        <v>1.39</v>
      </c>
      <c r="D43" s="873">
        <v>1.1599999999999999</v>
      </c>
    </row>
    <row r="44" spans="1:25">
      <c r="A44" s="875">
        <v>3</v>
      </c>
      <c r="B44" s="872">
        <v>2.38</v>
      </c>
      <c r="C44" s="873">
        <v>1.91</v>
      </c>
      <c r="D44" s="873">
        <v>1.67</v>
      </c>
    </row>
    <row r="45" spans="1:25">
      <c r="A45" s="875">
        <v>4</v>
      </c>
      <c r="B45" s="872">
        <v>2.61</v>
      </c>
      <c r="C45" s="873">
        <v>2.14</v>
      </c>
      <c r="D45" s="873">
        <v>1.9</v>
      </c>
    </row>
    <row r="46" spans="1:25">
      <c r="A46" s="875">
        <v>5</v>
      </c>
      <c r="B46" s="872">
        <v>2.75</v>
      </c>
      <c r="C46" s="873">
        <v>2.29</v>
      </c>
      <c r="D46" s="873">
        <v>2.0499999999999998</v>
      </c>
    </row>
    <row r="47" spans="1:25">
      <c r="A47" s="875">
        <v>6</v>
      </c>
      <c r="B47" s="872">
        <v>2.87</v>
      </c>
      <c r="C47" s="873">
        <v>2.39</v>
      </c>
      <c r="D47" s="873">
        <v>2.15</v>
      </c>
    </row>
    <row r="48" spans="1:25">
      <c r="A48" s="875">
        <v>7</v>
      </c>
      <c r="B48" s="872">
        <v>2.94</v>
      </c>
      <c r="C48" s="873">
        <v>2.48</v>
      </c>
      <c r="D48" s="873">
        <v>2.2400000000000002</v>
      </c>
    </row>
    <row r="49" spans="1:7">
      <c r="A49" s="875">
        <v>8</v>
      </c>
      <c r="B49" s="872">
        <v>3.01</v>
      </c>
      <c r="C49" s="873">
        <v>2.54</v>
      </c>
      <c r="D49" s="873">
        <v>2.31</v>
      </c>
    </row>
    <row r="50" spans="1:7">
      <c r="A50" s="875">
        <v>9</v>
      </c>
      <c r="B50" s="872">
        <v>3.07</v>
      </c>
      <c r="C50" s="873">
        <v>2.6</v>
      </c>
      <c r="D50" s="873">
        <v>2.38</v>
      </c>
    </row>
    <row r="51" spans="1:7">
      <c r="A51" s="875">
        <v>10</v>
      </c>
      <c r="B51" s="872">
        <v>3.12</v>
      </c>
      <c r="C51" s="873">
        <v>2.66</v>
      </c>
      <c r="D51" s="873">
        <v>2.42</v>
      </c>
    </row>
    <row r="52" spans="1:7">
      <c r="A52" s="875">
        <v>15</v>
      </c>
      <c r="B52" s="872">
        <v>3.28</v>
      </c>
      <c r="C52" s="873">
        <v>2.83</v>
      </c>
      <c r="D52" s="873">
        <v>2.6</v>
      </c>
    </row>
    <row r="53" spans="1:7">
      <c r="A53" s="875">
        <v>20</v>
      </c>
      <c r="B53" s="872">
        <v>3.39</v>
      </c>
      <c r="C53" s="873">
        <v>2.64</v>
      </c>
      <c r="D53" s="873">
        <v>2.72</v>
      </c>
    </row>
    <row r="54" spans="1:7">
      <c r="A54"/>
      <c r="B54"/>
      <c r="C54"/>
      <c r="D54"/>
    </row>
    <row r="55" spans="1:7">
      <c r="A55"/>
      <c r="B55"/>
      <c r="C55"/>
      <c r="D55"/>
      <c r="G55" s="866">
        <v>4</v>
      </c>
    </row>
    <row r="56" spans="1:7">
      <c r="A56" s="1139" t="s">
        <v>453</v>
      </c>
      <c r="B56" s="1139" t="s">
        <v>1354</v>
      </c>
      <c r="C56" s="1139" t="s">
        <v>1355</v>
      </c>
      <c r="D56"/>
      <c r="G56" s="1140">
        <f>VLOOKUP(G55,A57:C61,2,FALSE)</f>
        <v>2.282</v>
      </c>
    </row>
    <row r="57" spans="1:7">
      <c r="A57" s="1137">
        <v>2</v>
      </c>
      <c r="B57" s="1138">
        <v>3.2669999999999999</v>
      </c>
      <c r="C57" s="1138">
        <v>1.28</v>
      </c>
      <c r="D57"/>
    </row>
    <row r="58" spans="1:7">
      <c r="A58" s="1137">
        <v>3</v>
      </c>
      <c r="B58" s="1138">
        <v>2.5750000000000002</v>
      </c>
      <c r="C58" s="1138">
        <v>1.81</v>
      </c>
    </row>
    <row r="59" spans="1:7">
      <c r="A59" s="1137">
        <v>4</v>
      </c>
      <c r="B59" s="1138">
        <v>2.282</v>
      </c>
      <c r="C59" s="1138">
        <v>2.15</v>
      </c>
    </row>
    <row r="60" spans="1:7">
      <c r="A60" s="1137">
        <v>5</v>
      </c>
      <c r="B60" s="1138">
        <v>2.1150000000000002</v>
      </c>
      <c r="C60" s="1138">
        <v>2.4</v>
      </c>
    </row>
    <row r="61" spans="1:7">
      <c r="A61" s="1137">
        <v>6</v>
      </c>
      <c r="B61" s="1138">
        <v>2.004</v>
      </c>
      <c r="C61" s="1138">
        <v>2.6</v>
      </c>
    </row>
  </sheetData>
  <sheetProtection password="CC08" sheet="1" objects="1" scenarios="1"/>
  <mergeCells count="10">
    <mergeCell ref="B41:D41"/>
    <mergeCell ref="B2:Y2"/>
    <mergeCell ref="B13:D13"/>
    <mergeCell ref="G13:K13"/>
    <mergeCell ref="G12:K12"/>
    <mergeCell ref="N12:R12"/>
    <mergeCell ref="N13:R13"/>
    <mergeCell ref="U12:Y12"/>
    <mergeCell ref="U13:Y13"/>
    <mergeCell ref="A40:E40"/>
  </mergeCells>
  <phoneticPr fontId="0" type="noConversion"/>
  <pageMargins left="0.75" right="0.75" top="1" bottom="1" header="0.5" footer="0.5"/>
  <pageSetup orientation="portrait" r:id="rId1"/>
  <headerFooter alignWithMargins="0"/>
  <legacyDrawing r:id="rId2"/>
  <controls>
    <control shapeId="87041" r:id="rId3" name="MainMenu"/>
  </controls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9"/>
  <dimension ref="A1:AF870"/>
  <sheetViews>
    <sheetView showGridLines="0" workbookViewId="0">
      <selection activeCell="A2" sqref="A2"/>
    </sheetView>
  </sheetViews>
  <sheetFormatPr defaultRowHeight="12.75"/>
  <cols>
    <col min="1" max="1" width="19.42578125" style="455" customWidth="1"/>
    <col min="2" max="7" width="9" style="455" customWidth="1"/>
    <col min="8" max="8" width="9" style="484" customWidth="1"/>
    <col min="9" max="16" width="9.140625" style="455"/>
    <col min="17" max="17" width="9" style="455" customWidth="1"/>
    <col min="18" max="21" width="9.140625" style="455"/>
    <col min="23" max="27" width="9.140625" style="455" customWidth="1"/>
    <col min="28" max="28" width="12.140625" style="455" customWidth="1"/>
    <col min="29" max="29" width="9.140625" style="455" customWidth="1"/>
    <col min="30" max="16384" width="9.140625" style="455"/>
  </cols>
  <sheetData>
    <row r="1" spans="1:32" ht="15.75">
      <c r="A1" s="481" t="str">
        <f>"Assembly - Disassembly Trend Analysis "&amp;"For "&amp;B3</f>
        <v xml:space="preserve">Assembly - Disassembly Trend Analysis For </v>
      </c>
      <c r="B1" s="482"/>
      <c r="C1" s="482"/>
      <c r="D1" s="482"/>
      <c r="E1" s="482"/>
      <c r="F1" s="482"/>
      <c r="G1" s="482"/>
      <c r="H1" s="483"/>
      <c r="X1" s="1523" t="str">
        <f>IF(B3="","",A1)</f>
        <v/>
      </c>
      <c r="Y1" s="1523"/>
      <c r="Z1" s="1523"/>
      <c r="AA1" s="1523"/>
      <c r="AB1" s="1523"/>
      <c r="AC1" s="1523"/>
      <c r="AD1" s="1523"/>
      <c r="AE1" s="1523"/>
      <c r="AF1" s="1523"/>
    </row>
    <row r="2" spans="1:32">
      <c r="Y2" s="1524" t="str">
        <f>IF(B4="","","The Y = "&amp;B4)</f>
        <v/>
      </c>
      <c r="Z2" s="1524"/>
      <c r="AA2" s="1524"/>
      <c r="AB2" s="1524"/>
      <c r="AC2" s="1524"/>
      <c r="AD2" s="1524"/>
      <c r="AE2" s="1524"/>
    </row>
    <row r="3" spans="1:32">
      <c r="A3" s="486" t="s">
        <v>762</v>
      </c>
      <c r="B3" s="1528"/>
      <c r="C3" s="1529"/>
      <c r="D3" s="1529"/>
      <c r="E3" s="1530"/>
      <c r="F3" s="486" t="s">
        <v>763</v>
      </c>
      <c r="G3" s="1528"/>
      <c r="H3" s="1530"/>
      <c r="AB3" s="485" t="str">
        <f>"n = "&amp;B18&amp;" Passing Units &amp; "&amp;C18&amp;" Failing Units"</f>
        <v>n = 0 Passing Units &amp; 0 Failing Units</v>
      </c>
    </row>
    <row r="4" spans="1:32">
      <c r="A4" s="486" t="s">
        <v>445</v>
      </c>
      <c r="B4" s="1528"/>
      <c r="C4" s="1529"/>
      <c r="D4" s="1529"/>
      <c r="E4" s="1530"/>
      <c r="F4" s="486" t="s">
        <v>764</v>
      </c>
      <c r="G4" s="545"/>
      <c r="AB4" s="485" t="str">
        <f>IF(G3="","",G3)</f>
        <v/>
      </c>
    </row>
    <row r="5" spans="1:32">
      <c r="E5" s="43"/>
      <c r="F5" s="43"/>
      <c r="G5" s="43"/>
      <c r="AB5" s="546" t="str">
        <f>IF(G4="","",G4)</f>
        <v/>
      </c>
    </row>
    <row r="6" spans="1:32" ht="13.5">
      <c r="B6" s="1521" t="s">
        <v>765</v>
      </c>
      <c r="C6" s="1522"/>
      <c r="D6" s="547" t="s">
        <v>809</v>
      </c>
      <c r="E6" s="43"/>
      <c r="F6" s="43"/>
      <c r="G6" s="43"/>
    </row>
    <row r="7" spans="1:32" ht="25.5">
      <c r="B7" s="548" t="s">
        <v>806</v>
      </c>
      <c r="C7" s="548" t="s">
        <v>807</v>
      </c>
      <c r="E7"/>
      <c r="F7"/>
      <c r="G7" s="43"/>
    </row>
    <row r="8" spans="1:32" ht="13.5">
      <c r="A8" s="496">
        <v>1</v>
      </c>
      <c r="B8" s="549"/>
      <c r="C8" s="549"/>
      <c r="D8" s="547" t="s">
        <v>810</v>
      </c>
      <c r="F8"/>
      <c r="G8" s="43"/>
      <c r="H8" s="455"/>
    </row>
    <row r="9" spans="1:32" ht="13.5">
      <c r="A9" s="496">
        <v>2</v>
      </c>
      <c r="B9" s="549"/>
      <c r="C9" s="549"/>
      <c r="D9" s="547" t="s">
        <v>811</v>
      </c>
      <c r="E9"/>
      <c r="F9"/>
      <c r="G9" s="43"/>
      <c r="H9" s="455"/>
    </row>
    <row r="10" spans="1:32">
      <c r="A10" s="496">
        <v>3</v>
      </c>
      <c r="B10" s="549"/>
      <c r="C10" s="549"/>
      <c r="D10" s="500"/>
      <c r="E10"/>
      <c r="F10"/>
    </row>
    <row r="11" spans="1:32">
      <c r="A11" s="496">
        <v>4</v>
      </c>
      <c r="B11" s="498"/>
      <c r="C11" s="498"/>
      <c r="D11" s="500"/>
      <c r="E11"/>
      <c r="F11"/>
    </row>
    <row r="12" spans="1:32">
      <c r="A12" s="496">
        <v>5</v>
      </c>
      <c r="B12" s="498"/>
      <c r="C12" s="498"/>
      <c r="D12" s="500"/>
      <c r="E12"/>
      <c r="F12"/>
    </row>
    <row r="13" spans="1:32">
      <c r="A13" s="496">
        <v>6</v>
      </c>
      <c r="B13" s="550"/>
      <c r="C13" s="550"/>
      <c r="D13" s="500"/>
      <c r="E13"/>
      <c r="F13"/>
    </row>
    <row r="14" spans="1:32">
      <c r="A14" s="496">
        <v>7</v>
      </c>
      <c r="B14" s="550"/>
      <c r="C14" s="550"/>
      <c r="D14" s="500"/>
      <c r="E14"/>
      <c r="F14"/>
    </row>
    <row r="15" spans="1:32">
      <c r="A15" s="496">
        <v>8</v>
      </c>
      <c r="B15" s="550"/>
      <c r="C15" s="550"/>
      <c r="D15" s="500"/>
      <c r="E15"/>
      <c r="F15"/>
    </row>
    <row r="16" spans="1:32">
      <c r="A16" s="496">
        <v>9</v>
      </c>
      <c r="B16" s="550"/>
      <c r="C16" s="550"/>
      <c r="D16" s="500"/>
      <c r="E16"/>
      <c r="F16"/>
    </row>
    <row r="17" spans="1:28" ht="13.5" thickBot="1">
      <c r="A17" s="496">
        <v>10</v>
      </c>
      <c r="B17" s="503"/>
      <c r="C17" s="503"/>
      <c r="D17" s="500"/>
      <c r="E17"/>
      <c r="F17"/>
      <c r="G17"/>
      <c r="H17"/>
      <c r="I17"/>
    </row>
    <row r="18" spans="1:28" ht="13.5" thickTop="1">
      <c r="B18" s="455">
        <f>COUNTA(B8:B17)</f>
        <v>0</v>
      </c>
      <c r="C18" s="455">
        <f>COUNTA(C8:C17)</f>
        <v>0</v>
      </c>
      <c r="F18"/>
      <c r="G18"/>
      <c r="H18"/>
      <c r="I18"/>
    </row>
    <row r="19" spans="1:28">
      <c r="F19"/>
      <c r="G19"/>
      <c r="H19"/>
      <c r="I19"/>
    </row>
    <row r="20" spans="1:28">
      <c r="F20"/>
      <c r="G20"/>
      <c r="H20"/>
      <c r="I20"/>
    </row>
    <row r="21" spans="1:28">
      <c r="F21"/>
      <c r="G21"/>
      <c r="H21"/>
      <c r="I21"/>
    </row>
    <row r="22" spans="1:28">
      <c r="A22" s="496"/>
      <c r="B22" s="506"/>
    </row>
    <row r="23" spans="1:28">
      <c r="B23" s="551" t="s">
        <v>808</v>
      </c>
      <c r="H23" s="455"/>
      <c r="N23"/>
      <c r="O23"/>
      <c r="P23"/>
      <c r="Q23"/>
      <c r="R23"/>
      <c r="S23"/>
    </row>
    <row r="24" spans="1:28" ht="14.25">
      <c r="A24" s="512" t="s">
        <v>775</v>
      </c>
      <c r="B24" s="513" t="s">
        <v>817</v>
      </c>
      <c r="C24" s="513" t="s">
        <v>818</v>
      </c>
      <c r="D24" s="513" t="s">
        <v>819</v>
      </c>
      <c r="E24" s="513" t="s">
        <v>820</v>
      </c>
      <c r="F24" s="513" t="s">
        <v>821</v>
      </c>
      <c r="G24" s="513" t="s">
        <v>822</v>
      </c>
      <c r="H24" s="513" t="s">
        <v>823</v>
      </c>
      <c r="I24" s="513" t="s">
        <v>824</v>
      </c>
      <c r="J24" s="513" t="s">
        <v>825</v>
      </c>
      <c r="K24" s="513" t="s">
        <v>826</v>
      </c>
      <c r="L24" s="515" t="s">
        <v>827</v>
      </c>
      <c r="M24" s="515" t="s">
        <v>828</v>
      </c>
      <c r="N24" s="515" t="s">
        <v>829</v>
      </c>
      <c r="O24" s="515" t="s">
        <v>830</v>
      </c>
      <c r="P24" s="515" t="s">
        <v>831</v>
      </c>
      <c r="Q24" s="515" t="s">
        <v>832</v>
      </c>
      <c r="R24" s="515" t="s">
        <v>833</v>
      </c>
      <c r="S24" s="515" t="s">
        <v>834</v>
      </c>
      <c r="T24" s="515" t="s">
        <v>835</v>
      </c>
      <c r="U24" s="515" t="s">
        <v>836</v>
      </c>
      <c r="W24"/>
      <c r="X24"/>
      <c r="Y24"/>
      <c r="Z24"/>
      <c r="AA24"/>
      <c r="AB24"/>
    </row>
    <row r="25" spans="1:28">
      <c r="A25" s="517"/>
      <c r="B25" s="518"/>
      <c r="C25" s="519"/>
      <c r="D25" s="519"/>
      <c r="E25" s="519"/>
      <c r="F25" s="519"/>
      <c r="G25" s="520"/>
      <c r="H25" s="520"/>
      <c r="I25" s="520"/>
      <c r="J25" s="520"/>
      <c r="K25" s="520"/>
      <c r="L25" s="521"/>
      <c r="M25" s="519"/>
      <c r="N25" s="519"/>
      <c r="O25" s="519"/>
      <c r="P25" s="519"/>
      <c r="Q25" s="519"/>
      <c r="R25" s="519"/>
      <c r="S25" s="519"/>
      <c r="T25" s="519"/>
      <c r="U25" s="519"/>
      <c r="W25"/>
      <c r="X25"/>
      <c r="Y25"/>
      <c r="Z25"/>
      <c r="AA25"/>
      <c r="AB25"/>
    </row>
    <row r="26" spans="1:28">
      <c r="A26" s="505" t="s">
        <v>778</v>
      </c>
      <c r="B26" s="525" t="str">
        <f>IF(B8="","",B8)</f>
        <v/>
      </c>
      <c r="C26" s="525" t="str">
        <f>IF(B9="","",B9)</f>
        <v/>
      </c>
      <c r="D26" s="525" t="str">
        <f>IF(B10="","",B10)</f>
        <v/>
      </c>
      <c r="E26" s="525" t="str">
        <f>IF(B11="","",B11)</f>
        <v/>
      </c>
      <c r="F26" s="526" t="str">
        <f>IF(B12="","",B12)</f>
        <v/>
      </c>
      <c r="G26" s="526" t="str">
        <f>IF(B13="","",B13)</f>
        <v/>
      </c>
      <c r="H26" s="525" t="str">
        <f>IF(B14="","",B14)</f>
        <v/>
      </c>
      <c r="I26" s="526" t="str">
        <f>IF(B15="","",B15)</f>
        <v/>
      </c>
      <c r="J26" s="526" t="str">
        <f>IF(B16="","",B16)</f>
        <v/>
      </c>
      <c r="K26" s="525" t="str">
        <f>IF(B17="","",B17)</f>
        <v/>
      </c>
      <c r="L26" s="525" t="str">
        <f>IF(C8="","",C8)</f>
        <v/>
      </c>
      <c r="M26" s="525" t="str">
        <f>IF(C9="","",C9)</f>
        <v/>
      </c>
      <c r="N26" s="525" t="str">
        <f>IF(C10="","",C10)</f>
        <v/>
      </c>
      <c r="O26" s="525" t="str">
        <f>IF(C11="","",C11)</f>
        <v/>
      </c>
      <c r="P26" s="526" t="str">
        <f>IF(C12="","",C12)</f>
        <v/>
      </c>
      <c r="Q26" s="526" t="str">
        <f>IF(C13="","",C13)</f>
        <v/>
      </c>
      <c r="R26" s="525" t="str">
        <f>IF(C14="","",C14)</f>
        <v/>
      </c>
      <c r="S26" s="526" t="str">
        <f>IF(C15="","",C15)</f>
        <v/>
      </c>
      <c r="T26" s="526" t="str">
        <f>IF(C16="","",C16)</f>
        <v/>
      </c>
      <c r="U26" s="525" t="str">
        <f>IF(C17="","",C17)</f>
        <v/>
      </c>
      <c r="W26"/>
      <c r="X26"/>
      <c r="Y26"/>
      <c r="Z26"/>
      <c r="AA26"/>
      <c r="AB26"/>
    </row>
    <row r="27" spans="1:28">
      <c r="A27" s="529" t="s">
        <v>779</v>
      </c>
      <c r="B27" s="530"/>
      <c r="C27" s="530"/>
      <c r="D27" s="530"/>
      <c r="E27" s="530"/>
      <c r="F27" s="530"/>
      <c r="G27" s="530"/>
      <c r="H27" s="530"/>
      <c r="I27" s="530"/>
      <c r="J27" s="530"/>
      <c r="K27" s="531"/>
      <c r="L27" s="536"/>
      <c r="M27" s="530"/>
      <c r="N27" s="530"/>
      <c r="O27" s="530"/>
      <c r="P27" s="530"/>
      <c r="Q27" s="530"/>
      <c r="R27" s="530"/>
      <c r="S27" s="530"/>
      <c r="T27" s="530"/>
      <c r="U27" s="552"/>
      <c r="W27"/>
      <c r="X27"/>
      <c r="Y27"/>
      <c r="Z27"/>
      <c r="AA27"/>
      <c r="AB27"/>
    </row>
    <row r="28" spans="1:28">
      <c r="A28" s="529" t="s">
        <v>780</v>
      </c>
      <c r="B28" s="530"/>
      <c r="C28" s="530"/>
      <c r="D28" s="530"/>
      <c r="E28" s="530"/>
      <c r="F28" s="530"/>
      <c r="G28" s="530"/>
      <c r="H28" s="530"/>
      <c r="I28" s="530"/>
      <c r="J28" s="530"/>
      <c r="K28" s="531"/>
      <c r="L28" s="536"/>
      <c r="M28" s="530"/>
      <c r="N28" s="530"/>
      <c r="O28" s="530"/>
      <c r="P28" s="530"/>
      <c r="Q28" s="530"/>
      <c r="R28" s="530"/>
      <c r="S28" s="530"/>
      <c r="T28" s="530"/>
      <c r="U28" s="552"/>
      <c r="W28"/>
      <c r="X28"/>
      <c r="Y28"/>
      <c r="Z28"/>
      <c r="AA28"/>
      <c r="AB28"/>
    </row>
    <row r="29" spans="1:28">
      <c r="A29" s="533" t="s">
        <v>781</v>
      </c>
      <c r="B29" s="530"/>
      <c r="C29" s="530"/>
      <c r="D29" s="530"/>
      <c r="E29" s="530"/>
      <c r="F29" s="530"/>
      <c r="G29" s="530"/>
      <c r="H29" s="530"/>
      <c r="I29" s="530"/>
      <c r="J29" s="530"/>
      <c r="K29" s="531"/>
      <c r="L29" s="536"/>
      <c r="M29" s="530"/>
      <c r="N29" s="530"/>
      <c r="O29" s="530"/>
      <c r="P29" s="530"/>
      <c r="Q29" s="530"/>
      <c r="R29" s="530"/>
      <c r="S29" s="530"/>
      <c r="T29" s="530"/>
      <c r="U29" s="552"/>
      <c r="W29"/>
      <c r="X29"/>
      <c r="Y29"/>
      <c r="Z29"/>
      <c r="AA29"/>
      <c r="AB29"/>
    </row>
    <row r="30" spans="1:28">
      <c r="A30" s="533" t="s">
        <v>781</v>
      </c>
      <c r="B30" s="530"/>
      <c r="C30" s="530"/>
      <c r="D30" s="530"/>
      <c r="E30" s="530"/>
      <c r="F30" s="530"/>
      <c r="G30" s="530"/>
      <c r="H30" s="530"/>
      <c r="I30" s="530"/>
      <c r="J30" s="530"/>
      <c r="K30" s="531"/>
      <c r="L30" s="536"/>
      <c r="M30" s="530"/>
      <c r="N30" s="530"/>
      <c r="O30" s="530"/>
      <c r="P30" s="530"/>
      <c r="Q30" s="530"/>
      <c r="R30" s="530"/>
      <c r="S30" s="530"/>
      <c r="T30" s="530"/>
      <c r="U30" s="552"/>
      <c r="W30"/>
      <c r="X30"/>
      <c r="Y30"/>
      <c r="Z30"/>
      <c r="AA30"/>
      <c r="AB30"/>
    </row>
    <row r="31" spans="1:28">
      <c r="A31" s="533" t="s">
        <v>781</v>
      </c>
      <c r="B31" s="530"/>
      <c r="C31" s="530"/>
      <c r="D31" s="530"/>
      <c r="E31" s="530"/>
      <c r="F31" s="530"/>
      <c r="G31" s="530"/>
      <c r="H31" s="530"/>
      <c r="I31" s="530"/>
      <c r="J31" s="530"/>
      <c r="K31" s="531"/>
      <c r="L31" s="536"/>
      <c r="M31" s="530"/>
      <c r="N31" s="530"/>
      <c r="O31" s="530"/>
      <c r="P31" s="530"/>
      <c r="Q31" s="530"/>
      <c r="R31" s="530"/>
      <c r="S31" s="530"/>
      <c r="T31" s="530"/>
      <c r="U31" s="552"/>
      <c r="W31"/>
      <c r="X31"/>
      <c r="Y31"/>
      <c r="Z31"/>
      <c r="AA31"/>
      <c r="AB31"/>
    </row>
    <row r="32" spans="1:28">
      <c r="A32" s="533" t="s">
        <v>781</v>
      </c>
      <c r="B32" s="534"/>
      <c r="C32" s="534"/>
      <c r="D32" s="534"/>
      <c r="E32" s="534"/>
      <c r="F32" s="534"/>
      <c r="G32" s="535"/>
      <c r="H32" s="535"/>
      <c r="I32" s="535"/>
      <c r="J32" s="535"/>
      <c r="K32" s="535"/>
      <c r="L32" s="536"/>
      <c r="M32" s="534"/>
      <c r="N32" s="534"/>
      <c r="O32" s="534"/>
      <c r="P32" s="534"/>
      <c r="Q32" s="534"/>
      <c r="R32" s="534"/>
      <c r="S32" s="534"/>
      <c r="T32" s="534"/>
      <c r="U32" s="534"/>
      <c r="W32"/>
      <c r="X32"/>
      <c r="Y32"/>
      <c r="Z32"/>
      <c r="AA32"/>
      <c r="AB32"/>
    </row>
    <row r="33" spans="1:28">
      <c r="A33" s="533" t="s">
        <v>781</v>
      </c>
      <c r="B33" s="534"/>
      <c r="C33" s="534"/>
      <c r="D33" s="534"/>
      <c r="E33" s="534"/>
      <c r="F33" s="534"/>
      <c r="G33" s="535"/>
      <c r="H33" s="535"/>
      <c r="I33" s="535"/>
      <c r="J33" s="535"/>
      <c r="K33" s="535"/>
      <c r="L33" s="536"/>
      <c r="M33" s="534"/>
      <c r="N33" s="534"/>
      <c r="O33" s="534"/>
      <c r="P33" s="534"/>
      <c r="Q33" s="534"/>
      <c r="R33" s="534"/>
      <c r="S33" s="534"/>
      <c r="T33" s="534"/>
      <c r="U33" s="534"/>
      <c r="W33"/>
      <c r="X33"/>
      <c r="Y33"/>
      <c r="Z33"/>
      <c r="AA33"/>
      <c r="AB33"/>
    </row>
    <row r="34" spans="1:28">
      <c r="A34" s="533" t="s">
        <v>781</v>
      </c>
      <c r="B34" s="534"/>
      <c r="C34" s="534"/>
      <c r="D34" s="534"/>
      <c r="E34" s="534"/>
      <c r="F34" s="534"/>
      <c r="G34" s="535"/>
      <c r="H34" s="535"/>
      <c r="I34" s="535"/>
      <c r="J34" s="535"/>
      <c r="K34" s="535"/>
      <c r="L34" s="536"/>
      <c r="M34" s="534"/>
      <c r="N34" s="534"/>
      <c r="O34" s="534"/>
      <c r="P34" s="534"/>
      <c r="Q34" s="534"/>
      <c r="R34" s="534"/>
      <c r="S34" s="534"/>
      <c r="T34" s="534"/>
      <c r="U34" s="534"/>
      <c r="W34"/>
      <c r="X34"/>
      <c r="Y34"/>
      <c r="Z34"/>
      <c r="AA34"/>
      <c r="AB34"/>
    </row>
    <row r="35" spans="1:28">
      <c r="A35" s="533" t="s">
        <v>781</v>
      </c>
      <c r="B35" s="534"/>
      <c r="C35" s="534"/>
      <c r="D35" s="534"/>
      <c r="E35" s="534"/>
      <c r="F35" s="534"/>
      <c r="G35" s="535"/>
      <c r="H35" s="535"/>
      <c r="I35" s="535"/>
      <c r="J35" s="535"/>
      <c r="K35" s="535"/>
      <c r="L35" s="536"/>
      <c r="M35" s="534"/>
      <c r="N35" s="534"/>
      <c r="O35" s="534"/>
      <c r="P35" s="534"/>
      <c r="Q35" s="534"/>
      <c r="R35" s="534"/>
      <c r="S35" s="534"/>
      <c r="T35" s="534"/>
      <c r="U35" s="534"/>
      <c r="W35"/>
      <c r="X35"/>
      <c r="Y35"/>
      <c r="Z35"/>
      <c r="AA35"/>
      <c r="AB35"/>
    </row>
    <row r="36" spans="1:28">
      <c r="A36" s="533" t="s">
        <v>781</v>
      </c>
      <c r="B36" s="534"/>
      <c r="C36" s="534"/>
      <c r="D36" s="534"/>
      <c r="E36" s="534"/>
      <c r="F36" s="534"/>
      <c r="G36" s="535"/>
      <c r="H36" s="535"/>
      <c r="I36" s="535"/>
      <c r="J36" s="535"/>
      <c r="K36" s="535"/>
      <c r="L36" s="536"/>
      <c r="M36" s="534"/>
      <c r="N36" s="534"/>
      <c r="O36" s="534"/>
      <c r="P36" s="534"/>
      <c r="Q36" s="534"/>
      <c r="R36" s="534"/>
      <c r="S36" s="534"/>
      <c r="T36" s="534"/>
      <c r="U36" s="534"/>
      <c r="W36"/>
      <c r="X36"/>
      <c r="Y36"/>
      <c r="Z36"/>
      <c r="AA36"/>
      <c r="AB36"/>
    </row>
    <row r="37" spans="1:28">
      <c r="A37" s="537" t="s">
        <v>782</v>
      </c>
      <c r="B37" s="534"/>
      <c r="C37" s="534"/>
      <c r="D37" s="534"/>
      <c r="E37" s="534"/>
      <c r="F37" s="534"/>
      <c r="G37" s="535"/>
      <c r="H37" s="535"/>
      <c r="I37" s="535"/>
      <c r="J37" s="535"/>
      <c r="K37" s="535"/>
      <c r="L37" s="536"/>
      <c r="M37" s="534"/>
      <c r="N37" s="534"/>
      <c r="O37" s="534"/>
      <c r="P37" s="534"/>
      <c r="Q37" s="534"/>
      <c r="R37" s="534"/>
      <c r="S37" s="534"/>
      <c r="T37" s="534"/>
      <c r="U37" s="534"/>
      <c r="W37"/>
      <c r="X37"/>
      <c r="Y37"/>
      <c r="Z37"/>
      <c r="AA37"/>
      <c r="AB37"/>
    </row>
    <row r="38" spans="1:28">
      <c r="A38" s="496"/>
      <c r="B38" s="496"/>
      <c r="C38" s="496"/>
      <c r="D38" s="496"/>
      <c r="E38" s="496"/>
      <c r="F38" s="496"/>
      <c r="G38" s="496"/>
      <c r="H38" s="496"/>
      <c r="I38" s="496"/>
      <c r="J38" s="496"/>
      <c r="K38" s="496"/>
      <c r="L38" s="496"/>
      <c r="M38" s="496"/>
      <c r="N38"/>
      <c r="O38"/>
      <c r="P38"/>
      <c r="Q38"/>
      <c r="R38"/>
      <c r="S38"/>
    </row>
    <row r="39" spans="1:28">
      <c r="H39" s="455"/>
      <c r="P39" s="510"/>
      <c r="Q39" s="510"/>
      <c r="R39" s="510"/>
      <c r="S39" s="510"/>
    </row>
    <row r="40" spans="1:28" ht="13.5">
      <c r="B40" s="553" t="s">
        <v>837</v>
      </c>
      <c r="H40" s="455"/>
    </row>
    <row r="41" spans="1:28">
      <c r="H41" s="455"/>
    </row>
    <row r="42" spans="1:28">
      <c r="H42" s="455"/>
    </row>
    <row r="43" spans="1:28" ht="14.25">
      <c r="A43" s="512" t="s">
        <v>775</v>
      </c>
      <c r="B43" s="513" t="s">
        <v>817</v>
      </c>
      <c r="C43" s="513" t="s">
        <v>818</v>
      </c>
      <c r="D43" s="513" t="s">
        <v>819</v>
      </c>
      <c r="E43" s="513" t="s">
        <v>820</v>
      </c>
      <c r="F43" s="513" t="s">
        <v>821</v>
      </c>
      <c r="G43" s="513" t="s">
        <v>822</v>
      </c>
      <c r="H43" s="513" t="s">
        <v>823</v>
      </c>
      <c r="I43" s="513" t="s">
        <v>824</v>
      </c>
      <c r="J43" s="513" t="s">
        <v>825</v>
      </c>
      <c r="K43" s="513" t="s">
        <v>826</v>
      </c>
      <c r="L43" s="554" t="s">
        <v>827</v>
      </c>
      <c r="M43" s="555" t="s">
        <v>828</v>
      </c>
      <c r="N43" s="555" t="s">
        <v>829</v>
      </c>
      <c r="O43" s="555" t="s">
        <v>830</v>
      </c>
      <c r="P43" s="555" t="s">
        <v>831</v>
      </c>
      <c r="Q43" s="555" t="s">
        <v>832</v>
      </c>
      <c r="R43" s="555" t="s">
        <v>833</v>
      </c>
      <c r="S43" s="555" t="s">
        <v>834</v>
      </c>
      <c r="T43" s="555" t="s">
        <v>835</v>
      </c>
      <c r="U43" s="555" t="s">
        <v>836</v>
      </c>
    </row>
    <row r="44" spans="1:28">
      <c r="A44" s="505" t="s">
        <v>778</v>
      </c>
      <c r="B44" s="525" t="str">
        <f>IF(B8="","",0.05)</f>
        <v/>
      </c>
      <c r="C44" s="525" t="str">
        <f>IF(B9="","",B44+0.05)</f>
        <v/>
      </c>
      <c r="D44" s="525" t="str">
        <f>IF(B10="","",C44+0.05)</f>
        <v/>
      </c>
      <c r="E44" s="525" t="str">
        <f>IF(B11="","",D44+0.05)</f>
        <v/>
      </c>
      <c r="F44" s="526" t="str">
        <f>IF(B12="","",E44+0.05)</f>
        <v/>
      </c>
      <c r="G44" s="526" t="str">
        <f>IF(B13="","",F44+0.05)</f>
        <v/>
      </c>
      <c r="H44" s="525" t="str">
        <f>IF(B14="","",G44+0.05)</f>
        <v/>
      </c>
      <c r="I44" s="526" t="str">
        <f>IF(B15="","",H44+0.05)</f>
        <v/>
      </c>
      <c r="J44" s="526" t="str">
        <f>IF(B16="","",I44+0.05)</f>
        <v/>
      </c>
      <c r="K44" s="556" t="str">
        <f>IF(B17="","",J44+0.05)</f>
        <v/>
      </c>
      <c r="L44" s="525" t="str">
        <f>IF(C8="","",0.05)</f>
        <v/>
      </c>
      <c r="M44" s="525" t="str">
        <f>IF(C9="","",L44+0.05)</f>
        <v/>
      </c>
      <c r="N44" s="525" t="str">
        <f>IF(C10="","",M44+0.05)</f>
        <v/>
      </c>
      <c r="O44" s="525" t="str">
        <f>IF(C11="","",N44+0.05)</f>
        <v/>
      </c>
      <c r="P44" s="526" t="str">
        <f>IF(C12="","",O44+0.05)</f>
        <v/>
      </c>
      <c r="Q44" s="526" t="str">
        <f>IF(C13="","",P44+0.05)</f>
        <v/>
      </c>
      <c r="R44" s="525" t="str">
        <f>IF(C14="","",Q44+0.05)</f>
        <v/>
      </c>
      <c r="S44" s="526" t="str">
        <f>IF(C15="","",R44+0.05)</f>
        <v/>
      </c>
      <c r="T44" s="526" t="str">
        <f>IF(C16="","",S44+0.05)</f>
        <v/>
      </c>
      <c r="U44" s="525" t="str">
        <f>IF(C17="","",T44+0.05)</f>
        <v/>
      </c>
    </row>
    <row r="45" spans="1:28">
      <c r="A45" s="557" t="str">
        <f t="shared" ref="A45:A55" si="0">A27</f>
        <v>1st Disassembly</v>
      </c>
      <c r="B45" s="544" t="str">
        <f t="shared" ref="B45:B55" si="1">IF(B27="","",B27+(B44-1))</f>
        <v/>
      </c>
      <c r="C45" s="544" t="str">
        <f t="shared" ref="C45:C55" si="2">IF(C27="","",C27+(C44-1))</f>
        <v/>
      </c>
      <c r="D45" s="544" t="str">
        <f t="shared" ref="D45:D55" si="3">IF(D27="","",D27+(D44-1))</f>
        <v/>
      </c>
      <c r="E45" s="544" t="str">
        <f t="shared" ref="E45:E55" si="4">IF(E27="","",E27+(E44-1))</f>
        <v/>
      </c>
      <c r="F45" s="544" t="str">
        <f t="shared" ref="F45:F55" si="5">IF(F27="","",F27+(F44-1))</f>
        <v/>
      </c>
      <c r="G45" s="544" t="str">
        <f t="shared" ref="G45:G55" si="6">IF(G27="","",G27+(G44-1))</f>
        <v/>
      </c>
      <c r="H45" s="544" t="str">
        <f t="shared" ref="H45:H55" si="7">IF(H27="","",H27+(H44-1))</f>
        <v/>
      </c>
      <c r="I45" s="544" t="str">
        <f t="shared" ref="I45:I55" si="8">IF(I27="","",I27+(I44-1))</f>
        <v/>
      </c>
      <c r="J45" s="544" t="str">
        <f t="shared" ref="J45:J55" si="9">IF(J27="","",J27+(J44-1))</f>
        <v/>
      </c>
      <c r="K45" s="558" t="str">
        <f t="shared" ref="K45:K55" si="10">IF(K27="","",K27+(K44-1))</f>
        <v/>
      </c>
      <c r="L45" s="559" t="str">
        <f t="shared" ref="L45:L55" si="11">IF(L27="","",L27+(L44-2))</f>
        <v/>
      </c>
      <c r="M45" s="544" t="str">
        <f t="shared" ref="M45:M55" si="12">IF(M27="","",M27+(M44-2))</f>
        <v/>
      </c>
      <c r="N45" s="544" t="str">
        <f t="shared" ref="N45:N55" si="13">IF(N27="","",N27+(N44-2))</f>
        <v/>
      </c>
      <c r="O45" s="544" t="str">
        <f t="shared" ref="O45:O55" si="14">IF(O27="","",O27+(O44-2))</f>
        <v/>
      </c>
      <c r="P45" s="544" t="str">
        <f t="shared" ref="P45:P55" si="15">IF(P27="","",P27+(P44-2))</f>
        <v/>
      </c>
      <c r="Q45" s="544" t="str">
        <f t="shared" ref="Q45:Q55" si="16">IF(Q27="","",Q27+(Q44-2))</f>
        <v/>
      </c>
      <c r="R45" s="544" t="str">
        <f t="shared" ref="R45:R55" si="17">IF(R27="","",R27+(R44-2))</f>
        <v/>
      </c>
      <c r="S45" s="544" t="str">
        <f t="shared" ref="S45:S55" si="18">IF(S27="","",S27+(S44-2))</f>
        <v/>
      </c>
      <c r="T45" s="544" t="str">
        <f t="shared" ref="T45:T55" si="19">IF(T27="","",T27+(T44-2))</f>
        <v/>
      </c>
      <c r="U45" s="544" t="str">
        <f t="shared" ref="U45:U55" si="20">IF(U27="","",U27+(U44-2))</f>
        <v/>
      </c>
    </row>
    <row r="46" spans="1:28">
      <c r="A46" s="557" t="str">
        <f t="shared" si="0"/>
        <v>2nd Disassembly</v>
      </c>
      <c r="B46" s="544" t="str">
        <f t="shared" si="1"/>
        <v/>
      </c>
      <c r="C46" s="544" t="str">
        <f t="shared" si="2"/>
        <v/>
      </c>
      <c r="D46" s="544" t="str">
        <f t="shared" si="3"/>
        <v/>
      </c>
      <c r="E46" s="544" t="str">
        <f t="shared" si="4"/>
        <v/>
      </c>
      <c r="F46" s="544" t="str">
        <f t="shared" si="5"/>
        <v/>
      </c>
      <c r="G46" s="544" t="str">
        <f t="shared" si="6"/>
        <v/>
      </c>
      <c r="H46" s="544" t="str">
        <f t="shared" si="7"/>
        <v/>
      </c>
      <c r="I46" s="544" t="str">
        <f t="shared" si="8"/>
        <v/>
      </c>
      <c r="J46" s="544" t="str">
        <f t="shared" si="9"/>
        <v/>
      </c>
      <c r="K46" s="558" t="str">
        <f t="shared" si="10"/>
        <v/>
      </c>
      <c r="L46" s="559" t="str">
        <f t="shared" si="11"/>
        <v/>
      </c>
      <c r="M46" s="544" t="str">
        <f t="shared" si="12"/>
        <v/>
      </c>
      <c r="N46" s="544" t="str">
        <f t="shared" si="13"/>
        <v/>
      </c>
      <c r="O46" s="544" t="str">
        <f t="shared" si="14"/>
        <v/>
      </c>
      <c r="P46" s="544" t="str">
        <f t="shared" si="15"/>
        <v/>
      </c>
      <c r="Q46" s="544" t="str">
        <f t="shared" si="16"/>
        <v/>
      </c>
      <c r="R46" s="544" t="str">
        <f t="shared" si="17"/>
        <v/>
      </c>
      <c r="S46" s="544" t="str">
        <f t="shared" si="18"/>
        <v/>
      </c>
      <c r="T46" s="544" t="str">
        <f t="shared" si="19"/>
        <v/>
      </c>
      <c r="U46" s="544" t="str">
        <f t="shared" si="20"/>
        <v/>
      </c>
    </row>
    <row r="47" spans="1:28">
      <c r="A47" s="557" t="str">
        <f t="shared" si="0"/>
        <v>Part Name</v>
      </c>
      <c r="B47" s="544" t="str">
        <f t="shared" si="1"/>
        <v/>
      </c>
      <c r="C47" s="544" t="str">
        <f t="shared" si="2"/>
        <v/>
      </c>
      <c r="D47" s="544" t="str">
        <f t="shared" si="3"/>
        <v/>
      </c>
      <c r="E47" s="544" t="str">
        <f t="shared" si="4"/>
        <v/>
      </c>
      <c r="F47" s="544" t="str">
        <f t="shared" si="5"/>
        <v/>
      </c>
      <c r="G47" s="544" t="str">
        <f t="shared" si="6"/>
        <v/>
      </c>
      <c r="H47" s="544" t="str">
        <f t="shared" si="7"/>
        <v/>
      </c>
      <c r="I47" s="544" t="str">
        <f t="shared" si="8"/>
        <v/>
      </c>
      <c r="J47" s="544" t="str">
        <f t="shared" si="9"/>
        <v/>
      </c>
      <c r="K47" s="558" t="str">
        <f t="shared" si="10"/>
        <v/>
      </c>
      <c r="L47" s="559" t="str">
        <f t="shared" si="11"/>
        <v/>
      </c>
      <c r="M47" s="544" t="str">
        <f t="shared" si="12"/>
        <v/>
      </c>
      <c r="N47" s="544" t="str">
        <f t="shared" si="13"/>
        <v/>
      </c>
      <c r="O47" s="544" t="str">
        <f t="shared" si="14"/>
        <v/>
      </c>
      <c r="P47" s="544" t="str">
        <f t="shared" si="15"/>
        <v/>
      </c>
      <c r="Q47" s="544" t="str">
        <f t="shared" si="16"/>
        <v/>
      </c>
      <c r="R47" s="544" t="str">
        <f t="shared" si="17"/>
        <v/>
      </c>
      <c r="S47" s="544" t="str">
        <f t="shared" si="18"/>
        <v/>
      </c>
      <c r="T47" s="544" t="str">
        <f t="shared" si="19"/>
        <v/>
      </c>
      <c r="U47" s="544" t="str">
        <f t="shared" si="20"/>
        <v/>
      </c>
    </row>
    <row r="48" spans="1:28">
      <c r="A48" s="557" t="str">
        <f t="shared" si="0"/>
        <v>Part Name</v>
      </c>
      <c r="B48" s="544" t="str">
        <f t="shared" si="1"/>
        <v/>
      </c>
      <c r="C48" s="544" t="str">
        <f t="shared" si="2"/>
        <v/>
      </c>
      <c r="D48" s="544" t="str">
        <f t="shared" si="3"/>
        <v/>
      </c>
      <c r="E48" s="544" t="str">
        <f t="shared" si="4"/>
        <v/>
      </c>
      <c r="F48" s="544" t="str">
        <f t="shared" si="5"/>
        <v/>
      </c>
      <c r="G48" s="544" t="str">
        <f t="shared" si="6"/>
        <v/>
      </c>
      <c r="H48" s="544" t="str">
        <f t="shared" si="7"/>
        <v/>
      </c>
      <c r="I48" s="544" t="str">
        <f t="shared" si="8"/>
        <v/>
      </c>
      <c r="J48" s="544" t="str">
        <f t="shared" si="9"/>
        <v/>
      </c>
      <c r="K48" s="558" t="str">
        <f t="shared" si="10"/>
        <v/>
      </c>
      <c r="L48" s="559" t="str">
        <f t="shared" si="11"/>
        <v/>
      </c>
      <c r="M48" s="544" t="str">
        <f t="shared" si="12"/>
        <v/>
      </c>
      <c r="N48" s="544" t="str">
        <f t="shared" si="13"/>
        <v/>
      </c>
      <c r="O48" s="544" t="str">
        <f t="shared" si="14"/>
        <v/>
      </c>
      <c r="P48" s="544" t="str">
        <f t="shared" si="15"/>
        <v/>
      </c>
      <c r="Q48" s="544" t="str">
        <f t="shared" si="16"/>
        <v/>
      </c>
      <c r="R48" s="544" t="str">
        <f t="shared" si="17"/>
        <v/>
      </c>
      <c r="S48" s="544" t="str">
        <f t="shared" si="18"/>
        <v/>
      </c>
      <c r="T48" s="544" t="str">
        <f t="shared" si="19"/>
        <v/>
      </c>
      <c r="U48" s="544" t="str">
        <f t="shared" si="20"/>
        <v/>
      </c>
    </row>
    <row r="49" spans="1:21">
      <c r="A49" s="557" t="str">
        <f t="shared" si="0"/>
        <v>Part Name</v>
      </c>
      <c r="B49" s="544" t="str">
        <f t="shared" si="1"/>
        <v/>
      </c>
      <c r="C49" s="544" t="str">
        <f t="shared" si="2"/>
        <v/>
      </c>
      <c r="D49" s="544" t="str">
        <f t="shared" si="3"/>
        <v/>
      </c>
      <c r="E49" s="544" t="str">
        <f t="shared" si="4"/>
        <v/>
      </c>
      <c r="F49" s="544" t="str">
        <f t="shared" si="5"/>
        <v/>
      </c>
      <c r="G49" s="544" t="str">
        <f t="shared" si="6"/>
        <v/>
      </c>
      <c r="H49" s="544" t="str">
        <f t="shared" si="7"/>
        <v/>
      </c>
      <c r="I49" s="544" t="str">
        <f t="shared" si="8"/>
        <v/>
      </c>
      <c r="J49" s="544" t="str">
        <f t="shared" si="9"/>
        <v/>
      </c>
      <c r="K49" s="558" t="str">
        <f t="shared" si="10"/>
        <v/>
      </c>
      <c r="L49" s="559" t="str">
        <f t="shared" si="11"/>
        <v/>
      </c>
      <c r="M49" s="544" t="str">
        <f t="shared" si="12"/>
        <v/>
      </c>
      <c r="N49" s="544" t="str">
        <f t="shared" si="13"/>
        <v/>
      </c>
      <c r="O49" s="544" t="str">
        <f t="shared" si="14"/>
        <v/>
      </c>
      <c r="P49" s="544" t="str">
        <f t="shared" si="15"/>
        <v/>
      </c>
      <c r="Q49" s="544" t="str">
        <f t="shared" si="16"/>
        <v/>
      </c>
      <c r="R49" s="544" t="str">
        <f t="shared" si="17"/>
        <v/>
      </c>
      <c r="S49" s="544" t="str">
        <f t="shared" si="18"/>
        <v/>
      </c>
      <c r="T49" s="544" t="str">
        <f t="shared" si="19"/>
        <v/>
      </c>
      <c r="U49" s="544" t="str">
        <f t="shared" si="20"/>
        <v/>
      </c>
    </row>
    <row r="50" spans="1:21">
      <c r="A50" s="557" t="str">
        <f t="shared" si="0"/>
        <v>Part Name</v>
      </c>
      <c r="B50" s="544" t="str">
        <f t="shared" si="1"/>
        <v/>
      </c>
      <c r="C50" s="544" t="str">
        <f t="shared" si="2"/>
        <v/>
      </c>
      <c r="D50" s="544" t="str">
        <f t="shared" si="3"/>
        <v/>
      </c>
      <c r="E50" s="544" t="str">
        <f t="shared" si="4"/>
        <v/>
      </c>
      <c r="F50" s="544" t="str">
        <f t="shared" si="5"/>
        <v/>
      </c>
      <c r="G50" s="544" t="str">
        <f t="shared" si="6"/>
        <v/>
      </c>
      <c r="H50" s="544" t="str">
        <f t="shared" si="7"/>
        <v/>
      </c>
      <c r="I50" s="544" t="str">
        <f t="shared" si="8"/>
        <v/>
      </c>
      <c r="J50" s="544" t="str">
        <f t="shared" si="9"/>
        <v/>
      </c>
      <c r="K50" s="558" t="str">
        <f t="shared" si="10"/>
        <v/>
      </c>
      <c r="L50" s="559" t="str">
        <f t="shared" si="11"/>
        <v/>
      </c>
      <c r="M50" s="544" t="str">
        <f t="shared" si="12"/>
        <v/>
      </c>
      <c r="N50" s="544" t="str">
        <f t="shared" si="13"/>
        <v/>
      </c>
      <c r="O50" s="544" t="str">
        <f t="shared" si="14"/>
        <v/>
      </c>
      <c r="P50" s="544" t="str">
        <f t="shared" si="15"/>
        <v/>
      </c>
      <c r="Q50" s="544" t="str">
        <f t="shared" si="16"/>
        <v/>
      </c>
      <c r="R50" s="544" t="str">
        <f t="shared" si="17"/>
        <v/>
      </c>
      <c r="S50" s="544" t="str">
        <f t="shared" si="18"/>
        <v/>
      </c>
      <c r="T50" s="544" t="str">
        <f t="shared" si="19"/>
        <v/>
      </c>
      <c r="U50" s="544" t="str">
        <f t="shared" si="20"/>
        <v/>
      </c>
    </row>
    <row r="51" spans="1:21">
      <c r="A51" s="557" t="str">
        <f t="shared" si="0"/>
        <v>Part Name</v>
      </c>
      <c r="B51" s="544" t="str">
        <f t="shared" si="1"/>
        <v/>
      </c>
      <c r="C51" s="544" t="str">
        <f t="shared" si="2"/>
        <v/>
      </c>
      <c r="D51" s="544" t="str">
        <f t="shared" si="3"/>
        <v/>
      </c>
      <c r="E51" s="544" t="str">
        <f t="shared" si="4"/>
        <v/>
      </c>
      <c r="F51" s="544" t="str">
        <f t="shared" si="5"/>
        <v/>
      </c>
      <c r="G51" s="544" t="str">
        <f t="shared" si="6"/>
        <v/>
      </c>
      <c r="H51" s="544" t="str">
        <f t="shared" si="7"/>
        <v/>
      </c>
      <c r="I51" s="544" t="str">
        <f t="shared" si="8"/>
        <v/>
      </c>
      <c r="J51" s="544" t="str">
        <f t="shared" si="9"/>
        <v/>
      </c>
      <c r="K51" s="558" t="str">
        <f t="shared" si="10"/>
        <v/>
      </c>
      <c r="L51" s="559" t="str">
        <f t="shared" si="11"/>
        <v/>
      </c>
      <c r="M51" s="544" t="str">
        <f t="shared" si="12"/>
        <v/>
      </c>
      <c r="N51" s="544" t="str">
        <f t="shared" si="13"/>
        <v/>
      </c>
      <c r="O51" s="544" t="str">
        <f t="shared" si="14"/>
        <v/>
      </c>
      <c r="P51" s="544" t="str">
        <f t="shared" si="15"/>
        <v/>
      </c>
      <c r="Q51" s="544" t="str">
        <f t="shared" si="16"/>
        <v/>
      </c>
      <c r="R51" s="544" t="str">
        <f t="shared" si="17"/>
        <v/>
      </c>
      <c r="S51" s="544" t="str">
        <f t="shared" si="18"/>
        <v/>
      </c>
      <c r="T51" s="544" t="str">
        <f t="shared" si="19"/>
        <v/>
      </c>
      <c r="U51" s="544" t="str">
        <f t="shared" si="20"/>
        <v/>
      </c>
    </row>
    <row r="52" spans="1:21">
      <c r="A52" s="557" t="str">
        <f t="shared" si="0"/>
        <v>Part Name</v>
      </c>
      <c r="B52" s="544" t="str">
        <f t="shared" si="1"/>
        <v/>
      </c>
      <c r="C52" s="544" t="str">
        <f t="shared" si="2"/>
        <v/>
      </c>
      <c r="D52" s="544" t="str">
        <f t="shared" si="3"/>
        <v/>
      </c>
      <c r="E52" s="544" t="str">
        <f t="shared" si="4"/>
        <v/>
      </c>
      <c r="F52" s="544" t="str">
        <f t="shared" si="5"/>
        <v/>
      </c>
      <c r="G52" s="544" t="str">
        <f t="shared" si="6"/>
        <v/>
      </c>
      <c r="H52" s="544" t="str">
        <f t="shared" si="7"/>
        <v/>
      </c>
      <c r="I52" s="544" t="str">
        <f t="shared" si="8"/>
        <v/>
      </c>
      <c r="J52" s="544" t="str">
        <f t="shared" si="9"/>
        <v/>
      </c>
      <c r="K52" s="558" t="str">
        <f t="shared" si="10"/>
        <v/>
      </c>
      <c r="L52" s="559" t="str">
        <f t="shared" si="11"/>
        <v/>
      </c>
      <c r="M52" s="544" t="str">
        <f t="shared" si="12"/>
        <v/>
      </c>
      <c r="N52" s="544" t="str">
        <f t="shared" si="13"/>
        <v/>
      </c>
      <c r="O52" s="544" t="str">
        <f t="shared" si="14"/>
        <v/>
      </c>
      <c r="P52" s="544" t="str">
        <f t="shared" si="15"/>
        <v/>
      </c>
      <c r="Q52" s="544" t="str">
        <f t="shared" si="16"/>
        <v/>
      </c>
      <c r="R52" s="544" t="str">
        <f t="shared" si="17"/>
        <v/>
      </c>
      <c r="S52" s="544" t="str">
        <f t="shared" si="18"/>
        <v/>
      </c>
      <c r="T52" s="544" t="str">
        <f t="shared" si="19"/>
        <v/>
      </c>
      <c r="U52" s="544" t="str">
        <f t="shared" si="20"/>
        <v/>
      </c>
    </row>
    <row r="53" spans="1:21">
      <c r="A53" s="557" t="str">
        <f t="shared" si="0"/>
        <v>Part Name</v>
      </c>
      <c r="B53" s="544" t="str">
        <f t="shared" si="1"/>
        <v/>
      </c>
      <c r="C53" s="544" t="str">
        <f t="shared" si="2"/>
        <v/>
      </c>
      <c r="D53" s="544" t="str">
        <f t="shared" si="3"/>
        <v/>
      </c>
      <c r="E53" s="544" t="str">
        <f t="shared" si="4"/>
        <v/>
      </c>
      <c r="F53" s="544" t="str">
        <f t="shared" si="5"/>
        <v/>
      </c>
      <c r="G53" s="544" t="str">
        <f t="shared" si="6"/>
        <v/>
      </c>
      <c r="H53" s="544" t="str">
        <f t="shared" si="7"/>
        <v/>
      </c>
      <c r="I53" s="544" t="str">
        <f t="shared" si="8"/>
        <v/>
      </c>
      <c r="J53" s="544" t="str">
        <f t="shared" si="9"/>
        <v/>
      </c>
      <c r="K53" s="558" t="str">
        <f t="shared" si="10"/>
        <v/>
      </c>
      <c r="L53" s="559" t="str">
        <f t="shared" si="11"/>
        <v/>
      </c>
      <c r="M53" s="544" t="str">
        <f t="shared" si="12"/>
        <v/>
      </c>
      <c r="N53" s="544" t="str">
        <f t="shared" si="13"/>
        <v/>
      </c>
      <c r="O53" s="544" t="str">
        <f t="shared" si="14"/>
        <v/>
      </c>
      <c r="P53" s="544" t="str">
        <f t="shared" si="15"/>
        <v/>
      </c>
      <c r="Q53" s="544" t="str">
        <f t="shared" si="16"/>
        <v/>
      </c>
      <c r="R53" s="544" t="str">
        <f t="shared" si="17"/>
        <v/>
      </c>
      <c r="S53" s="544" t="str">
        <f t="shared" si="18"/>
        <v/>
      </c>
      <c r="T53" s="544" t="str">
        <f t="shared" si="19"/>
        <v/>
      </c>
      <c r="U53" s="544" t="str">
        <f t="shared" si="20"/>
        <v/>
      </c>
    </row>
    <row r="54" spans="1:21">
      <c r="A54" s="557" t="str">
        <f t="shared" si="0"/>
        <v>Part Name</v>
      </c>
      <c r="B54" s="544" t="str">
        <f t="shared" si="1"/>
        <v/>
      </c>
      <c r="C54" s="544" t="str">
        <f t="shared" si="2"/>
        <v/>
      </c>
      <c r="D54" s="544" t="str">
        <f t="shared" si="3"/>
        <v/>
      </c>
      <c r="E54" s="544" t="str">
        <f t="shared" si="4"/>
        <v/>
      </c>
      <c r="F54" s="544" t="str">
        <f t="shared" si="5"/>
        <v/>
      </c>
      <c r="G54" s="544" t="str">
        <f t="shared" si="6"/>
        <v/>
      </c>
      <c r="H54" s="544" t="str">
        <f t="shared" si="7"/>
        <v/>
      </c>
      <c r="I54" s="544" t="str">
        <f t="shared" si="8"/>
        <v/>
      </c>
      <c r="J54" s="544" t="str">
        <f t="shared" si="9"/>
        <v/>
      </c>
      <c r="K54" s="558" t="str">
        <f t="shared" si="10"/>
        <v/>
      </c>
      <c r="L54" s="559" t="str">
        <f t="shared" si="11"/>
        <v/>
      </c>
      <c r="M54" s="544" t="str">
        <f t="shared" si="12"/>
        <v/>
      </c>
      <c r="N54" s="544" t="str">
        <f t="shared" si="13"/>
        <v/>
      </c>
      <c r="O54" s="544" t="str">
        <f t="shared" si="14"/>
        <v/>
      </c>
      <c r="P54" s="544" t="str">
        <f t="shared" si="15"/>
        <v/>
      </c>
      <c r="Q54" s="544" t="str">
        <f t="shared" si="16"/>
        <v/>
      </c>
      <c r="R54" s="544" t="str">
        <f t="shared" si="17"/>
        <v/>
      </c>
      <c r="S54" s="544" t="str">
        <f t="shared" si="18"/>
        <v/>
      </c>
      <c r="T54" s="544" t="str">
        <f t="shared" si="19"/>
        <v/>
      </c>
      <c r="U54" s="544" t="str">
        <f t="shared" si="20"/>
        <v/>
      </c>
    </row>
    <row r="55" spans="1:21">
      <c r="A55" s="557" t="str">
        <f t="shared" si="0"/>
        <v>Capping Run Name</v>
      </c>
      <c r="B55" s="544" t="str">
        <f t="shared" si="1"/>
        <v/>
      </c>
      <c r="C55" s="544" t="str">
        <f t="shared" si="2"/>
        <v/>
      </c>
      <c r="D55" s="544" t="str">
        <f t="shared" si="3"/>
        <v/>
      </c>
      <c r="E55" s="544" t="str">
        <f t="shared" si="4"/>
        <v/>
      </c>
      <c r="F55" s="544" t="str">
        <f t="shared" si="5"/>
        <v/>
      </c>
      <c r="G55" s="544" t="str">
        <f t="shared" si="6"/>
        <v/>
      </c>
      <c r="H55" s="544" t="str">
        <f t="shared" si="7"/>
        <v/>
      </c>
      <c r="I55" s="544" t="str">
        <f t="shared" si="8"/>
        <v/>
      </c>
      <c r="J55" s="544" t="str">
        <f t="shared" si="9"/>
        <v/>
      </c>
      <c r="K55" s="558" t="str">
        <f t="shared" si="10"/>
        <v/>
      </c>
      <c r="L55" s="559" t="str">
        <f t="shared" si="11"/>
        <v/>
      </c>
      <c r="M55" s="544" t="str">
        <f t="shared" si="12"/>
        <v/>
      </c>
      <c r="N55" s="544" t="str">
        <f t="shared" si="13"/>
        <v/>
      </c>
      <c r="O55" s="544" t="str">
        <f t="shared" si="14"/>
        <v/>
      </c>
      <c r="P55" s="544" t="str">
        <f t="shared" si="15"/>
        <v/>
      </c>
      <c r="Q55" s="544" t="str">
        <f t="shared" si="16"/>
        <v/>
      </c>
      <c r="R55" s="544" t="str">
        <f t="shared" si="17"/>
        <v/>
      </c>
      <c r="S55" s="544" t="str">
        <f t="shared" si="18"/>
        <v/>
      </c>
      <c r="T55" s="544" t="str">
        <f t="shared" si="19"/>
        <v/>
      </c>
      <c r="U55" s="544" t="str">
        <f t="shared" si="20"/>
        <v/>
      </c>
    </row>
    <row r="56" spans="1:21">
      <c r="H56" s="455"/>
    </row>
    <row r="57" spans="1:21">
      <c r="H57" s="455"/>
    </row>
    <row r="58" spans="1:21">
      <c r="H58" s="455"/>
    </row>
    <row r="59" spans="1:21">
      <c r="H59" s="455"/>
    </row>
    <row r="60" spans="1:21">
      <c r="H60" s="455"/>
    </row>
    <row r="61" spans="1:21">
      <c r="H61" s="455"/>
      <c r="S61" s="484"/>
    </row>
    <row r="62" spans="1:21">
      <c r="H62" s="455"/>
      <c r="S62" s="484"/>
    </row>
    <row r="63" spans="1:21">
      <c r="H63" s="455"/>
      <c r="S63" s="484"/>
    </row>
    <row r="64" spans="1:21">
      <c r="H64" s="455"/>
      <c r="I64" s="484"/>
    </row>
    <row r="65" spans="8:9">
      <c r="H65" s="455"/>
      <c r="I65" s="484"/>
    </row>
    <row r="66" spans="8:9">
      <c r="H66" s="455"/>
      <c r="I66" s="484"/>
    </row>
    <row r="67" spans="8:9">
      <c r="H67" s="455"/>
      <c r="I67" s="484"/>
    </row>
    <row r="68" spans="8:9">
      <c r="H68" s="455"/>
      <c r="I68" s="484"/>
    </row>
    <row r="69" spans="8:9">
      <c r="H69" s="455"/>
      <c r="I69" s="484"/>
    </row>
    <row r="70" spans="8:9">
      <c r="H70" s="455"/>
      <c r="I70" s="484"/>
    </row>
    <row r="71" spans="8:9">
      <c r="H71" s="455"/>
      <c r="I71" s="484"/>
    </row>
    <row r="72" spans="8:9">
      <c r="H72" s="455"/>
      <c r="I72" s="484"/>
    </row>
    <row r="73" spans="8:9">
      <c r="H73" s="455"/>
      <c r="I73" s="484"/>
    </row>
    <row r="74" spans="8:9">
      <c r="H74" s="455"/>
      <c r="I74" s="484"/>
    </row>
    <row r="75" spans="8:9">
      <c r="H75" s="455"/>
      <c r="I75" s="484"/>
    </row>
    <row r="76" spans="8:9">
      <c r="H76" s="455"/>
      <c r="I76" s="484"/>
    </row>
    <row r="77" spans="8:9">
      <c r="H77" s="455"/>
      <c r="I77" s="484"/>
    </row>
    <row r="78" spans="8:9">
      <c r="H78" s="455"/>
      <c r="I78" s="484"/>
    </row>
    <row r="79" spans="8:9">
      <c r="H79" s="455"/>
      <c r="I79" s="484"/>
    </row>
    <row r="80" spans="8:9">
      <c r="H80" s="455"/>
      <c r="I80" s="484"/>
    </row>
    <row r="81" spans="8:9">
      <c r="H81" s="455"/>
      <c r="I81" s="484"/>
    </row>
    <row r="82" spans="8:9">
      <c r="H82" s="455"/>
      <c r="I82" s="484"/>
    </row>
    <row r="83" spans="8:9">
      <c r="H83" s="455"/>
      <c r="I83" s="484"/>
    </row>
    <row r="84" spans="8:9">
      <c r="H84" s="455"/>
      <c r="I84" s="484"/>
    </row>
    <row r="85" spans="8:9">
      <c r="H85" s="455"/>
      <c r="I85" s="484"/>
    </row>
    <row r="86" spans="8:9">
      <c r="H86" s="455"/>
      <c r="I86" s="484"/>
    </row>
    <row r="87" spans="8:9">
      <c r="H87" s="455"/>
      <c r="I87" s="484"/>
    </row>
    <row r="88" spans="8:9">
      <c r="H88" s="455"/>
      <c r="I88" s="484"/>
    </row>
    <row r="89" spans="8:9">
      <c r="H89" s="455"/>
      <c r="I89" s="484"/>
    </row>
    <row r="90" spans="8:9">
      <c r="H90" s="455"/>
      <c r="I90" s="484"/>
    </row>
    <row r="91" spans="8:9">
      <c r="H91" s="455"/>
      <c r="I91" s="484"/>
    </row>
    <row r="92" spans="8:9">
      <c r="H92" s="455"/>
      <c r="I92" s="484"/>
    </row>
    <row r="93" spans="8:9">
      <c r="H93" s="455"/>
      <c r="I93" s="484"/>
    </row>
    <row r="94" spans="8:9">
      <c r="H94" s="455"/>
      <c r="I94" s="484"/>
    </row>
    <row r="95" spans="8:9">
      <c r="H95" s="455"/>
      <c r="I95" s="484"/>
    </row>
    <row r="96" spans="8:9">
      <c r="H96" s="455"/>
      <c r="I96" s="484"/>
    </row>
    <row r="97" spans="8:9">
      <c r="H97" s="455"/>
      <c r="I97" s="484"/>
    </row>
    <row r="98" spans="8:9">
      <c r="H98" s="455"/>
      <c r="I98" s="484"/>
    </row>
    <row r="99" spans="8:9">
      <c r="H99" s="455"/>
      <c r="I99" s="484"/>
    </row>
    <row r="100" spans="8:9">
      <c r="H100" s="455"/>
      <c r="I100" s="484"/>
    </row>
    <row r="101" spans="8:9">
      <c r="H101" s="455"/>
      <c r="I101" s="484"/>
    </row>
    <row r="102" spans="8:9">
      <c r="H102" s="455"/>
      <c r="I102" s="484"/>
    </row>
    <row r="103" spans="8:9">
      <c r="H103" s="455"/>
      <c r="I103" s="484"/>
    </row>
    <row r="104" spans="8:9">
      <c r="H104" s="455"/>
      <c r="I104" s="484"/>
    </row>
    <row r="105" spans="8:9">
      <c r="H105" s="455"/>
      <c r="I105" s="484"/>
    </row>
    <row r="106" spans="8:9">
      <c r="H106" s="455"/>
      <c r="I106" s="484"/>
    </row>
    <row r="107" spans="8:9">
      <c r="H107" s="455"/>
      <c r="I107" s="484"/>
    </row>
    <row r="108" spans="8:9">
      <c r="H108" s="455"/>
      <c r="I108" s="484"/>
    </row>
    <row r="109" spans="8:9">
      <c r="H109" s="455"/>
      <c r="I109" s="484"/>
    </row>
    <row r="110" spans="8:9">
      <c r="H110" s="455"/>
      <c r="I110" s="484"/>
    </row>
    <row r="111" spans="8:9">
      <c r="H111" s="455"/>
      <c r="I111" s="484"/>
    </row>
    <row r="112" spans="8:9">
      <c r="H112" s="455"/>
      <c r="I112" s="484"/>
    </row>
    <row r="113" spans="8:9">
      <c r="H113" s="455"/>
      <c r="I113" s="484"/>
    </row>
    <row r="114" spans="8:9">
      <c r="H114" s="455"/>
      <c r="I114" s="484"/>
    </row>
    <row r="115" spans="8:9">
      <c r="H115" s="455"/>
      <c r="I115" s="484"/>
    </row>
    <row r="116" spans="8:9">
      <c r="H116" s="455"/>
      <c r="I116" s="484"/>
    </row>
    <row r="117" spans="8:9">
      <c r="H117" s="455"/>
      <c r="I117" s="484"/>
    </row>
    <row r="118" spans="8:9">
      <c r="H118" s="455"/>
      <c r="I118" s="484"/>
    </row>
    <row r="119" spans="8:9">
      <c r="H119" s="455"/>
      <c r="I119" s="484"/>
    </row>
    <row r="120" spans="8:9">
      <c r="H120" s="455"/>
      <c r="I120" s="484"/>
    </row>
    <row r="121" spans="8:9">
      <c r="H121" s="455"/>
      <c r="I121" s="484"/>
    </row>
    <row r="122" spans="8:9">
      <c r="H122" s="455"/>
      <c r="I122" s="484"/>
    </row>
    <row r="123" spans="8:9">
      <c r="H123" s="455"/>
      <c r="I123" s="484"/>
    </row>
    <row r="124" spans="8:9">
      <c r="H124" s="455"/>
      <c r="I124" s="484"/>
    </row>
    <row r="125" spans="8:9">
      <c r="H125" s="455"/>
      <c r="I125" s="484"/>
    </row>
    <row r="126" spans="8:9">
      <c r="H126" s="455"/>
      <c r="I126" s="484"/>
    </row>
    <row r="127" spans="8:9">
      <c r="H127" s="455"/>
      <c r="I127" s="484"/>
    </row>
    <row r="128" spans="8:9">
      <c r="H128" s="455"/>
      <c r="I128" s="484"/>
    </row>
    <row r="129" spans="8:9">
      <c r="H129" s="455"/>
      <c r="I129" s="484"/>
    </row>
    <row r="130" spans="8:9">
      <c r="H130" s="455"/>
      <c r="I130" s="484"/>
    </row>
    <row r="131" spans="8:9">
      <c r="H131" s="455"/>
      <c r="I131" s="484"/>
    </row>
    <row r="132" spans="8:9">
      <c r="H132" s="455"/>
      <c r="I132" s="484"/>
    </row>
    <row r="133" spans="8:9">
      <c r="H133" s="455"/>
      <c r="I133" s="484"/>
    </row>
    <row r="134" spans="8:9">
      <c r="H134" s="455"/>
      <c r="I134" s="484"/>
    </row>
    <row r="135" spans="8:9">
      <c r="H135" s="455"/>
      <c r="I135" s="484"/>
    </row>
    <row r="136" spans="8:9">
      <c r="H136" s="455"/>
      <c r="I136" s="484"/>
    </row>
    <row r="137" spans="8:9">
      <c r="H137" s="455"/>
      <c r="I137" s="484"/>
    </row>
    <row r="138" spans="8:9">
      <c r="H138" s="455"/>
      <c r="I138" s="484"/>
    </row>
    <row r="139" spans="8:9">
      <c r="H139" s="455"/>
      <c r="I139" s="484"/>
    </row>
    <row r="140" spans="8:9">
      <c r="H140" s="455"/>
      <c r="I140" s="484"/>
    </row>
    <row r="141" spans="8:9">
      <c r="H141" s="455"/>
      <c r="I141" s="484"/>
    </row>
    <row r="142" spans="8:9">
      <c r="H142" s="455"/>
      <c r="I142" s="484"/>
    </row>
    <row r="143" spans="8:9">
      <c r="H143" s="455"/>
      <c r="I143" s="484"/>
    </row>
    <row r="144" spans="8:9">
      <c r="H144" s="455"/>
      <c r="I144" s="484"/>
    </row>
    <row r="145" spans="8:9">
      <c r="H145" s="455"/>
      <c r="I145" s="484"/>
    </row>
    <row r="146" spans="8:9">
      <c r="H146" s="455"/>
      <c r="I146" s="484"/>
    </row>
    <row r="147" spans="8:9">
      <c r="H147" s="455"/>
      <c r="I147" s="484"/>
    </row>
    <row r="148" spans="8:9">
      <c r="H148" s="455"/>
      <c r="I148" s="484"/>
    </row>
    <row r="149" spans="8:9">
      <c r="H149" s="455"/>
      <c r="I149" s="484"/>
    </row>
    <row r="150" spans="8:9">
      <c r="H150" s="455"/>
      <c r="I150" s="484"/>
    </row>
    <row r="151" spans="8:9">
      <c r="H151" s="455"/>
      <c r="I151" s="484"/>
    </row>
    <row r="152" spans="8:9">
      <c r="H152" s="455"/>
      <c r="I152" s="484"/>
    </row>
    <row r="153" spans="8:9">
      <c r="H153" s="455"/>
      <c r="I153" s="484"/>
    </row>
    <row r="154" spans="8:9">
      <c r="H154" s="455"/>
      <c r="I154" s="484"/>
    </row>
    <row r="155" spans="8:9">
      <c r="H155" s="455"/>
      <c r="I155" s="484"/>
    </row>
    <row r="156" spans="8:9">
      <c r="H156" s="455"/>
      <c r="I156" s="484"/>
    </row>
    <row r="157" spans="8:9">
      <c r="H157" s="455"/>
      <c r="I157" s="484"/>
    </row>
    <row r="158" spans="8:9">
      <c r="H158" s="455"/>
      <c r="I158" s="484"/>
    </row>
    <row r="159" spans="8:9">
      <c r="H159" s="455"/>
      <c r="I159" s="484"/>
    </row>
    <row r="160" spans="8:9">
      <c r="H160" s="455"/>
      <c r="I160" s="484"/>
    </row>
    <row r="161" spans="8:9">
      <c r="H161" s="455"/>
      <c r="I161" s="484"/>
    </row>
    <row r="162" spans="8:9">
      <c r="H162" s="455"/>
      <c r="I162" s="484"/>
    </row>
    <row r="163" spans="8:9">
      <c r="H163" s="455"/>
      <c r="I163" s="484"/>
    </row>
    <row r="164" spans="8:9">
      <c r="H164" s="455"/>
      <c r="I164" s="484"/>
    </row>
    <row r="165" spans="8:9">
      <c r="H165" s="455"/>
      <c r="I165" s="484"/>
    </row>
    <row r="166" spans="8:9">
      <c r="H166" s="455"/>
      <c r="I166" s="484"/>
    </row>
    <row r="167" spans="8:9">
      <c r="H167" s="455"/>
      <c r="I167" s="484"/>
    </row>
    <row r="168" spans="8:9">
      <c r="H168" s="455"/>
      <c r="I168" s="484"/>
    </row>
    <row r="169" spans="8:9">
      <c r="H169" s="455"/>
      <c r="I169" s="484"/>
    </row>
    <row r="170" spans="8:9">
      <c r="H170" s="455"/>
      <c r="I170" s="484"/>
    </row>
    <row r="171" spans="8:9">
      <c r="H171" s="455"/>
      <c r="I171" s="484"/>
    </row>
    <row r="172" spans="8:9">
      <c r="H172" s="455"/>
      <c r="I172" s="484"/>
    </row>
    <row r="173" spans="8:9">
      <c r="H173" s="455"/>
      <c r="I173" s="484"/>
    </row>
    <row r="174" spans="8:9">
      <c r="H174" s="455"/>
      <c r="I174" s="484"/>
    </row>
    <row r="175" spans="8:9">
      <c r="H175" s="455"/>
      <c r="I175" s="484"/>
    </row>
    <row r="176" spans="8:9">
      <c r="H176" s="455"/>
      <c r="I176" s="484"/>
    </row>
    <row r="177" spans="8:9">
      <c r="H177" s="455"/>
      <c r="I177" s="484"/>
    </row>
    <row r="178" spans="8:9">
      <c r="H178" s="455"/>
      <c r="I178" s="484"/>
    </row>
    <row r="179" spans="8:9">
      <c r="H179" s="455"/>
      <c r="I179" s="484"/>
    </row>
    <row r="180" spans="8:9">
      <c r="H180" s="455"/>
      <c r="I180" s="484"/>
    </row>
    <row r="181" spans="8:9">
      <c r="H181" s="455"/>
      <c r="I181" s="484"/>
    </row>
    <row r="182" spans="8:9">
      <c r="H182" s="455"/>
      <c r="I182" s="484"/>
    </row>
    <row r="183" spans="8:9">
      <c r="H183" s="455"/>
      <c r="I183" s="484"/>
    </row>
    <row r="184" spans="8:9">
      <c r="H184" s="455"/>
      <c r="I184" s="484"/>
    </row>
    <row r="185" spans="8:9">
      <c r="H185" s="455"/>
      <c r="I185" s="484"/>
    </row>
    <row r="186" spans="8:9">
      <c r="H186" s="455"/>
      <c r="I186" s="484"/>
    </row>
    <row r="187" spans="8:9">
      <c r="H187" s="455"/>
      <c r="I187" s="484"/>
    </row>
    <row r="188" spans="8:9">
      <c r="H188" s="455"/>
      <c r="I188" s="484"/>
    </row>
    <row r="189" spans="8:9">
      <c r="H189" s="455"/>
      <c r="I189" s="484"/>
    </row>
    <row r="190" spans="8:9">
      <c r="H190" s="455"/>
      <c r="I190" s="484"/>
    </row>
    <row r="191" spans="8:9">
      <c r="H191" s="455"/>
      <c r="I191" s="484"/>
    </row>
    <row r="192" spans="8:9">
      <c r="H192" s="455"/>
      <c r="I192" s="484"/>
    </row>
    <row r="193" spans="8:9">
      <c r="H193" s="455"/>
      <c r="I193" s="484"/>
    </row>
    <row r="194" spans="8:9">
      <c r="H194" s="455"/>
      <c r="I194" s="484"/>
    </row>
    <row r="195" spans="8:9">
      <c r="H195" s="455"/>
      <c r="I195" s="484"/>
    </row>
    <row r="196" spans="8:9">
      <c r="H196" s="455"/>
      <c r="I196" s="484"/>
    </row>
    <row r="197" spans="8:9">
      <c r="H197" s="455"/>
      <c r="I197" s="484"/>
    </row>
    <row r="198" spans="8:9">
      <c r="H198" s="455"/>
      <c r="I198" s="484"/>
    </row>
    <row r="199" spans="8:9">
      <c r="H199" s="455"/>
      <c r="I199" s="484"/>
    </row>
    <row r="200" spans="8:9">
      <c r="H200" s="455"/>
      <c r="I200" s="484"/>
    </row>
    <row r="201" spans="8:9">
      <c r="H201" s="455"/>
      <c r="I201" s="484"/>
    </row>
    <row r="202" spans="8:9">
      <c r="H202" s="455"/>
      <c r="I202" s="484"/>
    </row>
    <row r="203" spans="8:9">
      <c r="H203" s="455"/>
      <c r="I203" s="484"/>
    </row>
    <row r="204" spans="8:9">
      <c r="H204" s="455"/>
      <c r="I204" s="484"/>
    </row>
    <row r="205" spans="8:9">
      <c r="H205" s="455"/>
      <c r="I205" s="484"/>
    </row>
    <row r="206" spans="8:9">
      <c r="H206" s="455"/>
      <c r="I206" s="484"/>
    </row>
    <row r="207" spans="8:9">
      <c r="H207" s="455"/>
      <c r="I207" s="484"/>
    </row>
    <row r="208" spans="8:9">
      <c r="H208" s="455"/>
      <c r="I208" s="484"/>
    </row>
    <row r="209" spans="8:9">
      <c r="H209" s="455"/>
      <c r="I209" s="484"/>
    </row>
    <row r="210" spans="8:9">
      <c r="H210" s="455"/>
      <c r="I210" s="484"/>
    </row>
    <row r="211" spans="8:9">
      <c r="H211" s="455"/>
      <c r="I211" s="484"/>
    </row>
    <row r="212" spans="8:9">
      <c r="H212" s="455"/>
      <c r="I212" s="484"/>
    </row>
    <row r="213" spans="8:9">
      <c r="H213" s="455"/>
      <c r="I213" s="484"/>
    </row>
    <row r="214" spans="8:9">
      <c r="H214" s="455"/>
      <c r="I214" s="484"/>
    </row>
    <row r="215" spans="8:9">
      <c r="H215" s="455"/>
      <c r="I215" s="484"/>
    </row>
    <row r="216" spans="8:9">
      <c r="H216" s="455"/>
      <c r="I216" s="484"/>
    </row>
    <row r="217" spans="8:9">
      <c r="H217" s="455"/>
      <c r="I217" s="484"/>
    </row>
    <row r="218" spans="8:9">
      <c r="H218" s="455"/>
      <c r="I218" s="484"/>
    </row>
    <row r="219" spans="8:9">
      <c r="H219" s="455"/>
      <c r="I219" s="484"/>
    </row>
    <row r="220" spans="8:9">
      <c r="H220" s="455"/>
      <c r="I220" s="484"/>
    </row>
    <row r="221" spans="8:9">
      <c r="H221" s="455"/>
      <c r="I221" s="484"/>
    </row>
    <row r="222" spans="8:9">
      <c r="H222" s="455"/>
      <c r="I222" s="484"/>
    </row>
    <row r="223" spans="8:9">
      <c r="H223" s="455"/>
      <c r="I223" s="484"/>
    </row>
    <row r="224" spans="8:9">
      <c r="H224" s="455"/>
      <c r="I224" s="484"/>
    </row>
    <row r="225" spans="8:9">
      <c r="H225" s="455"/>
      <c r="I225" s="484"/>
    </row>
    <row r="226" spans="8:9">
      <c r="H226" s="455"/>
      <c r="I226" s="484"/>
    </row>
    <row r="227" spans="8:9">
      <c r="H227" s="455"/>
      <c r="I227" s="484"/>
    </row>
    <row r="228" spans="8:9">
      <c r="H228" s="455"/>
      <c r="I228" s="484"/>
    </row>
    <row r="229" spans="8:9">
      <c r="H229" s="455"/>
      <c r="I229" s="484"/>
    </row>
    <row r="230" spans="8:9">
      <c r="H230" s="455"/>
      <c r="I230" s="484"/>
    </row>
    <row r="231" spans="8:9">
      <c r="H231" s="455"/>
      <c r="I231" s="484"/>
    </row>
    <row r="232" spans="8:9">
      <c r="H232" s="455"/>
      <c r="I232" s="484"/>
    </row>
    <row r="233" spans="8:9">
      <c r="H233" s="455"/>
      <c r="I233" s="484"/>
    </row>
    <row r="234" spans="8:9">
      <c r="H234" s="455"/>
      <c r="I234" s="484"/>
    </row>
    <row r="235" spans="8:9">
      <c r="H235" s="455"/>
      <c r="I235" s="484"/>
    </row>
    <row r="236" spans="8:9">
      <c r="H236" s="455"/>
      <c r="I236" s="484"/>
    </row>
    <row r="237" spans="8:9">
      <c r="H237" s="455"/>
      <c r="I237" s="484"/>
    </row>
    <row r="238" spans="8:9">
      <c r="H238" s="455"/>
      <c r="I238" s="484"/>
    </row>
    <row r="239" spans="8:9">
      <c r="H239" s="455"/>
      <c r="I239" s="484"/>
    </row>
    <row r="240" spans="8:9">
      <c r="H240" s="455"/>
      <c r="I240" s="484"/>
    </row>
    <row r="241" spans="8:9">
      <c r="H241" s="455"/>
      <c r="I241" s="484"/>
    </row>
    <row r="242" spans="8:9">
      <c r="H242" s="455"/>
      <c r="I242" s="484"/>
    </row>
    <row r="243" spans="8:9">
      <c r="H243" s="455"/>
      <c r="I243" s="484"/>
    </row>
    <row r="244" spans="8:9">
      <c r="H244" s="455"/>
      <c r="I244" s="484"/>
    </row>
    <row r="245" spans="8:9">
      <c r="H245" s="455"/>
      <c r="I245" s="484"/>
    </row>
    <row r="246" spans="8:9">
      <c r="H246" s="455"/>
      <c r="I246" s="484"/>
    </row>
    <row r="247" spans="8:9">
      <c r="H247" s="455"/>
      <c r="I247" s="484"/>
    </row>
    <row r="248" spans="8:9">
      <c r="H248" s="455"/>
      <c r="I248" s="484"/>
    </row>
    <row r="249" spans="8:9">
      <c r="H249" s="455"/>
      <c r="I249" s="484"/>
    </row>
    <row r="250" spans="8:9">
      <c r="H250" s="455"/>
      <c r="I250" s="484"/>
    </row>
    <row r="251" spans="8:9">
      <c r="H251" s="455"/>
      <c r="I251" s="484"/>
    </row>
    <row r="252" spans="8:9">
      <c r="H252" s="455"/>
      <c r="I252" s="484"/>
    </row>
    <row r="253" spans="8:9">
      <c r="H253" s="455"/>
      <c r="I253" s="484"/>
    </row>
    <row r="254" spans="8:9">
      <c r="H254" s="455"/>
      <c r="I254" s="484"/>
    </row>
    <row r="255" spans="8:9">
      <c r="H255" s="455"/>
      <c r="I255" s="484"/>
    </row>
    <row r="256" spans="8:9">
      <c r="H256" s="455"/>
      <c r="I256" s="484"/>
    </row>
    <row r="257" spans="8:9">
      <c r="H257" s="455"/>
      <c r="I257" s="484"/>
    </row>
    <row r="258" spans="8:9">
      <c r="H258" s="455"/>
      <c r="I258" s="484"/>
    </row>
    <row r="259" spans="8:9">
      <c r="H259" s="455"/>
      <c r="I259" s="484"/>
    </row>
    <row r="260" spans="8:9">
      <c r="H260" s="455"/>
      <c r="I260" s="484"/>
    </row>
    <row r="261" spans="8:9">
      <c r="H261" s="455"/>
      <c r="I261" s="484"/>
    </row>
    <row r="262" spans="8:9">
      <c r="H262" s="455"/>
      <c r="I262" s="484"/>
    </row>
    <row r="263" spans="8:9">
      <c r="H263" s="455"/>
      <c r="I263" s="484"/>
    </row>
    <row r="264" spans="8:9">
      <c r="H264" s="455"/>
      <c r="I264" s="484"/>
    </row>
    <row r="265" spans="8:9">
      <c r="H265" s="455"/>
      <c r="I265" s="484"/>
    </row>
    <row r="266" spans="8:9">
      <c r="H266" s="455"/>
      <c r="I266" s="484"/>
    </row>
    <row r="267" spans="8:9">
      <c r="H267" s="455"/>
      <c r="I267" s="484"/>
    </row>
    <row r="268" spans="8:9">
      <c r="H268" s="455"/>
      <c r="I268" s="484"/>
    </row>
    <row r="269" spans="8:9">
      <c r="H269" s="455"/>
      <c r="I269" s="484"/>
    </row>
    <row r="270" spans="8:9">
      <c r="H270" s="455"/>
      <c r="I270" s="484"/>
    </row>
    <row r="271" spans="8:9">
      <c r="H271" s="455"/>
      <c r="I271" s="484"/>
    </row>
    <row r="272" spans="8:9">
      <c r="H272" s="455"/>
      <c r="I272" s="484"/>
    </row>
    <row r="273" spans="8:9">
      <c r="H273" s="455"/>
      <c r="I273" s="484"/>
    </row>
    <row r="274" spans="8:9">
      <c r="H274" s="455"/>
      <c r="I274" s="484"/>
    </row>
    <row r="275" spans="8:9">
      <c r="H275" s="455"/>
      <c r="I275" s="484"/>
    </row>
    <row r="276" spans="8:9">
      <c r="H276" s="455"/>
      <c r="I276" s="484"/>
    </row>
    <row r="277" spans="8:9">
      <c r="H277" s="455"/>
      <c r="I277" s="484"/>
    </row>
    <row r="278" spans="8:9">
      <c r="H278" s="455"/>
      <c r="I278" s="484"/>
    </row>
    <row r="279" spans="8:9">
      <c r="H279" s="455"/>
      <c r="I279" s="484"/>
    </row>
    <row r="280" spans="8:9">
      <c r="H280" s="455"/>
      <c r="I280" s="484"/>
    </row>
    <row r="281" spans="8:9">
      <c r="H281" s="455"/>
      <c r="I281" s="484"/>
    </row>
    <row r="282" spans="8:9">
      <c r="H282" s="455"/>
      <c r="I282" s="484"/>
    </row>
    <row r="283" spans="8:9">
      <c r="H283" s="455"/>
      <c r="I283" s="484"/>
    </row>
    <row r="284" spans="8:9">
      <c r="H284" s="455"/>
      <c r="I284" s="484"/>
    </row>
    <row r="285" spans="8:9">
      <c r="H285" s="455"/>
      <c r="I285" s="484"/>
    </row>
    <row r="286" spans="8:9">
      <c r="H286" s="455"/>
      <c r="I286" s="484"/>
    </row>
    <row r="287" spans="8:9">
      <c r="H287" s="455"/>
      <c r="I287" s="484"/>
    </row>
    <row r="288" spans="8:9">
      <c r="H288" s="455"/>
      <c r="I288" s="484"/>
    </row>
    <row r="289" spans="8:9">
      <c r="H289" s="455"/>
      <c r="I289" s="484"/>
    </row>
    <row r="290" spans="8:9">
      <c r="H290" s="455"/>
      <c r="I290" s="484"/>
    </row>
    <row r="291" spans="8:9">
      <c r="H291" s="455"/>
      <c r="I291" s="484"/>
    </row>
    <row r="292" spans="8:9">
      <c r="H292" s="455"/>
      <c r="I292" s="484"/>
    </row>
    <row r="293" spans="8:9">
      <c r="H293" s="455"/>
      <c r="I293" s="484"/>
    </row>
    <row r="294" spans="8:9">
      <c r="H294" s="455"/>
      <c r="I294" s="484"/>
    </row>
    <row r="295" spans="8:9">
      <c r="H295" s="455"/>
      <c r="I295" s="484"/>
    </row>
    <row r="296" spans="8:9">
      <c r="H296" s="455"/>
      <c r="I296" s="484"/>
    </row>
    <row r="297" spans="8:9">
      <c r="H297" s="455"/>
      <c r="I297" s="484"/>
    </row>
    <row r="298" spans="8:9">
      <c r="H298" s="455"/>
      <c r="I298" s="484"/>
    </row>
    <row r="299" spans="8:9">
      <c r="H299" s="455"/>
      <c r="I299" s="484"/>
    </row>
    <row r="300" spans="8:9">
      <c r="H300" s="455"/>
      <c r="I300" s="484"/>
    </row>
    <row r="301" spans="8:9">
      <c r="H301" s="455"/>
      <c r="I301" s="484"/>
    </row>
    <row r="302" spans="8:9">
      <c r="H302" s="455"/>
      <c r="I302" s="484"/>
    </row>
    <row r="303" spans="8:9">
      <c r="H303" s="455"/>
      <c r="I303" s="484"/>
    </row>
    <row r="304" spans="8:9">
      <c r="H304" s="455"/>
      <c r="I304" s="484"/>
    </row>
    <row r="305" spans="8:9">
      <c r="H305" s="455"/>
      <c r="I305" s="484"/>
    </row>
    <row r="306" spans="8:9">
      <c r="H306" s="455"/>
      <c r="I306" s="484"/>
    </row>
    <row r="307" spans="8:9">
      <c r="H307" s="455"/>
      <c r="I307" s="484"/>
    </row>
    <row r="308" spans="8:9">
      <c r="H308" s="455"/>
      <c r="I308" s="484"/>
    </row>
    <row r="309" spans="8:9">
      <c r="H309" s="455"/>
      <c r="I309" s="484"/>
    </row>
    <row r="310" spans="8:9">
      <c r="H310" s="455"/>
      <c r="I310" s="484"/>
    </row>
    <row r="311" spans="8:9">
      <c r="H311" s="455"/>
      <c r="I311" s="484"/>
    </row>
    <row r="312" spans="8:9">
      <c r="H312" s="455"/>
      <c r="I312" s="484"/>
    </row>
    <row r="313" spans="8:9">
      <c r="H313" s="455"/>
      <c r="I313" s="484"/>
    </row>
    <row r="314" spans="8:9">
      <c r="H314" s="455"/>
      <c r="I314" s="484"/>
    </row>
    <row r="315" spans="8:9">
      <c r="H315" s="455"/>
      <c r="I315" s="484"/>
    </row>
    <row r="316" spans="8:9">
      <c r="H316" s="455"/>
      <c r="I316" s="484"/>
    </row>
    <row r="317" spans="8:9">
      <c r="H317" s="455"/>
      <c r="I317" s="484"/>
    </row>
    <row r="318" spans="8:9">
      <c r="H318" s="455"/>
      <c r="I318" s="484"/>
    </row>
    <row r="319" spans="8:9">
      <c r="H319" s="455"/>
      <c r="I319" s="484"/>
    </row>
    <row r="320" spans="8:9">
      <c r="H320" s="455"/>
      <c r="I320" s="484"/>
    </row>
    <row r="321" spans="8:9">
      <c r="H321" s="455"/>
      <c r="I321" s="484"/>
    </row>
    <row r="322" spans="8:9">
      <c r="H322" s="455"/>
      <c r="I322" s="484"/>
    </row>
    <row r="323" spans="8:9">
      <c r="H323" s="455"/>
      <c r="I323" s="484"/>
    </row>
    <row r="324" spans="8:9">
      <c r="H324" s="455"/>
      <c r="I324" s="484"/>
    </row>
    <row r="325" spans="8:9">
      <c r="H325" s="455"/>
      <c r="I325" s="484"/>
    </row>
    <row r="326" spans="8:9">
      <c r="H326" s="455"/>
      <c r="I326" s="484"/>
    </row>
    <row r="327" spans="8:9">
      <c r="H327" s="455"/>
      <c r="I327" s="484"/>
    </row>
    <row r="328" spans="8:9">
      <c r="H328" s="455"/>
      <c r="I328" s="484"/>
    </row>
    <row r="329" spans="8:9">
      <c r="H329" s="455"/>
      <c r="I329" s="484"/>
    </row>
    <row r="330" spans="8:9">
      <c r="H330" s="455"/>
      <c r="I330" s="484"/>
    </row>
    <row r="331" spans="8:9">
      <c r="H331" s="455"/>
      <c r="I331" s="484"/>
    </row>
    <row r="332" spans="8:9">
      <c r="H332" s="455"/>
      <c r="I332" s="484"/>
    </row>
    <row r="333" spans="8:9">
      <c r="H333" s="455"/>
      <c r="I333" s="484"/>
    </row>
    <row r="334" spans="8:9">
      <c r="H334" s="455"/>
      <c r="I334" s="484"/>
    </row>
    <row r="335" spans="8:9">
      <c r="H335" s="455"/>
      <c r="I335" s="484"/>
    </row>
    <row r="336" spans="8:9">
      <c r="H336" s="455"/>
      <c r="I336" s="484"/>
    </row>
    <row r="337" spans="8:9">
      <c r="H337" s="455"/>
      <c r="I337" s="484"/>
    </row>
    <row r="338" spans="8:9">
      <c r="H338" s="455"/>
      <c r="I338" s="484"/>
    </row>
    <row r="339" spans="8:9">
      <c r="H339" s="455"/>
      <c r="I339" s="484"/>
    </row>
    <row r="340" spans="8:9">
      <c r="H340" s="455"/>
      <c r="I340" s="484"/>
    </row>
    <row r="341" spans="8:9">
      <c r="H341" s="455"/>
      <c r="I341" s="484"/>
    </row>
    <row r="342" spans="8:9">
      <c r="H342" s="455"/>
      <c r="I342" s="484"/>
    </row>
    <row r="343" spans="8:9">
      <c r="H343" s="455"/>
      <c r="I343" s="484"/>
    </row>
    <row r="344" spans="8:9">
      <c r="H344" s="455"/>
      <c r="I344" s="484"/>
    </row>
    <row r="345" spans="8:9">
      <c r="H345" s="455"/>
      <c r="I345" s="484"/>
    </row>
    <row r="346" spans="8:9">
      <c r="H346" s="455"/>
      <c r="I346" s="484"/>
    </row>
    <row r="347" spans="8:9">
      <c r="H347" s="455"/>
      <c r="I347" s="484"/>
    </row>
    <row r="348" spans="8:9">
      <c r="H348" s="455"/>
      <c r="I348" s="484"/>
    </row>
    <row r="349" spans="8:9">
      <c r="H349" s="455"/>
      <c r="I349" s="484"/>
    </row>
    <row r="350" spans="8:9">
      <c r="H350" s="455"/>
      <c r="I350" s="484"/>
    </row>
    <row r="351" spans="8:9">
      <c r="H351" s="455"/>
      <c r="I351" s="484"/>
    </row>
    <row r="352" spans="8:9">
      <c r="H352" s="455"/>
      <c r="I352" s="484"/>
    </row>
    <row r="353" spans="8:9">
      <c r="H353" s="455"/>
      <c r="I353" s="484"/>
    </row>
    <row r="354" spans="8:9">
      <c r="H354" s="455"/>
      <c r="I354" s="484"/>
    </row>
    <row r="355" spans="8:9">
      <c r="H355" s="455"/>
      <c r="I355" s="484"/>
    </row>
    <row r="356" spans="8:9">
      <c r="H356" s="455"/>
      <c r="I356" s="484"/>
    </row>
    <row r="357" spans="8:9">
      <c r="H357" s="455"/>
      <c r="I357" s="484"/>
    </row>
    <row r="358" spans="8:9">
      <c r="H358" s="455"/>
      <c r="I358" s="484"/>
    </row>
    <row r="359" spans="8:9">
      <c r="H359" s="455"/>
      <c r="I359" s="484"/>
    </row>
    <row r="360" spans="8:9">
      <c r="H360" s="455"/>
      <c r="I360" s="484"/>
    </row>
    <row r="361" spans="8:9">
      <c r="H361" s="455"/>
      <c r="I361" s="484"/>
    </row>
    <row r="362" spans="8:9">
      <c r="H362" s="455"/>
      <c r="I362" s="484"/>
    </row>
    <row r="363" spans="8:9">
      <c r="H363" s="455"/>
      <c r="I363" s="484"/>
    </row>
    <row r="364" spans="8:9">
      <c r="H364" s="455"/>
      <c r="I364" s="484"/>
    </row>
    <row r="365" spans="8:9">
      <c r="H365" s="455"/>
      <c r="I365" s="484"/>
    </row>
    <row r="366" spans="8:9">
      <c r="H366" s="455"/>
      <c r="I366" s="484"/>
    </row>
    <row r="367" spans="8:9">
      <c r="H367" s="455"/>
      <c r="I367" s="484"/>
    </row>
    <row r="368" spans="8:9">
      <c r="H368" s="455"/>
      <c r="I368" s="484"/>
    </row>
    <row r="369" spans="8:9">
      <c r="H369" s="455"/>
      <c r="I369" s="484"/>
    </row>
    <row r="370" spans="8:9">
      <c r="H370" s="455"/>
      <c r="I370" s="484"/>
    </row>
    <row r="371" spans="8:9">
      <c r="H371" s="455"/>
      <c r="I371" s="484"/>
    </row>
    <row r="372" spans="8:9">
      <c r="H372" s="455"/>
      <c r="I372" s="484"/>
    </row>
    <row r="373" spans="8:9">
      <c r="H373" s="455"/>
      <c r="I373" s="484"/>
    </row>
    <row r="374" spans="8:9">
      <c r="H374" s="455"/>
      <c r="I374" s="484"/>
    </row>
    <row r="375" spans="8:9">
      <c r="H375" s="455"/>
      <c r="I375" s="484"/>
    </row>
    <row r="376" spans="8:9">
      <c r="H376" s="455"/>
      <c r="I376" s="484"/>
    </row>
    <row r="377" spans="8:9">
      <c r="H377" s="455"/>
      <c r="I377" s="484"/>
    </row>
    <row r="378" spans="8:9">
      <c r="H378" s="455"/>
      <c r="I378" s="484"/>
    </row>
    <row r="379" spans="8:9">
      <c r="H379" s="455"/>
      <c r="I379" s="484"/>
    </row>
    <row r="380" spans="8:9">
      <c r="H380" s="455"/>
      <c r="I380" s="484"/>
    </row>
    <row r="381" spans="8:9">
      <c r="H381" s="455"/>
      <c r="I381" s="484"/>
    </row>
    <row r="382" spans="8:9">
      <c r="H382" s="455"/>
      <c r="I382" s="484"/>
    </row>
    <row r="383" spans="8:9">
      <c r="H383" s="455"/>
      <c r="I383" s="484"/>
    </row>
    <row r="384" spans="8:9">
      <c r="H384" s="455"/>
      <c r="I384" s="484"/>
    </row>
    <row r="385" spans="8:9">
      <c r="H385" s="455"/>
      <c r="I385" s="484"/>
    </row>
    <row r="386" spans="8:9">
      <c r="H386" s="455"/>
      <c r="I386" s="484"/>
    </row>
    <row r="387" spans="8:9">
      <c r="H387" s="455"/>
      <c r="I387" s="484"/>
    </row>
    <row r="388" spans="8:9">
      <c r="H388" s="455"/>
      <c r="I388" s="484"/>
    </row>
    <row r="389" spans="8:9">
      <c r="H389" s="455"/>
      <c r="I389" s="484"/>
    </row>
    <row r="390" spans="8:9">
      <c r="H390" s="455"/>
      <c r="I390" s="484"/>
    </row>
    <row r="391" spans="8:9">
      <c r="H391" s="455"/>
      <c r="I391" s="484"/>
    </row>
    <row r="392" spans="8:9">
      <c r="H392" s="455"/>
      <c r="I392" s="484"/>
    </row>
    <row r="393" spans="8:9">
      <c r="H393" s="455"/>
      <c r="I393" s="484"/>
    </row>
    <row r="394" spans="8:9">
      <c r="H394" s="455"/>
      <c r="I394" s="484"/>
    </row>
    <row r="395" spans="8:9">
      <c r="H395" s="455"/>
      <c r="I395" s="484"/>
    </row>
    <row r="396" spans="8:9">
      <c r="H396" s="455"/>
      <c r="I396" s="484"/>
    </row>
    <row r="397" spans="8:9">
      <c r="H397" s="455"/>
      <c r="I397" s="484"/>
    </row>
    <row r="398" spans="8:9">
      <c r="H398" s="455"/>
      <c r="I398" s="484"/>
    </row>
    <row r="399" spans="8:9">
      <c r="H399" s="455"/>
      <c r="I399" s="484"/>
    </row>
    <row r="400" spans="8:9">
      <c r="H400" s="455"/>
      <c r="I400" s="484"/>
    </row>
    <row r="401" spans="8:9">
      <c r="H401" s="455"/>
      <c r="I401" s="484"/>
    </row>
    <row r="402" spans="8:9">
      <c r="H402" s="455"/>
      <c r="I402" s="484"/>
    </row>
    <row r="403" spans="8:9">
      <c r="H403" s="455"/>
      <c r="I403" s="484"/>
    </row>
    <row r="404" spans="8:9">
      <c r="H404" s="455"/>
      <c r="I404" s="484"/>
    </row>
    <row r="405" spans="8:9">
      <c r="H405" s="455"/>
      <c r="I405" s="484"/>
    </row>
    <row r="406" spans="8:9">
      <c r="H406" s="455"/>
      <c r="I406" s="484"/>
    </row>
    <row r="407" spans="8:9">
      <c r="H407" s="455"/>
      <c r="I407" s="484"/>
    </row>
    <row r="408" spans="8:9">
      <c r="H408" s="455"/>
      <c r="I408" s="484"/>
    </row>
    <row r="409" spans="8:9">
      <c r="H409" s="455"/>
      <c r="I409" s="484"/>
    </row>
    <row r="410" spans="8:9">
      <c r="H410" s="455"/>
      <c r="I410" s="484"/>
    </row>
    <row r="411" spans="8:9">
      <c r="H411" s="455"/>
      <c r="I411" s="484"/>
    </row>
    <row r="412" spans="8:9">
      <c r="H412" s="455"/>
      <c r="I412" s="484"/>
    </row>
    <row r="413" spans="8:9">
      <c r="H413" s="455"/>
      <c r="I413" s="484"/>
    </row>
    <row r="414" spans="8:9">
      <c r="H414" s="455"/>
      <c r="I414" s="484"/>
    </row>
    <row r="415" spans="8:9">
      <c r="H415" s="455"/>
      <c r="I415" s="484"/>
    </row>
    <row r="416" spans="8:9">
      <c r="H416" s="455"/>
      <c r="I416" s="484"/>
    </row>
    <row r="417" spans="8:9">
      <c r="H417" s="455"/>
      <c r="I417" s="484"/>
    </row>
    <row r="418" spans="8:9">
      <c r="H418" s="455"/>
      <c r="I418" s="484"/>
    </row>
    <row r="419" spans="8:9">
      <c r="H419" s="455"/>
      <c r="I419" s="484"/>
    </row>
    <row r="420" spans="8:9">
      <c r="H420" s="455"/>
      <c r="I420" s="484"/>
    </row>
    <row r="421" spans="8:9">
      <c r="H421" s="455"/>
      <c r="I421" s="484"/>
    </row>
    <row r="422" spans="8:9">
      <c r="H422" s="455"/>
      <c r="I422" s="484"/>
    </row>
    <row r="423" spans="8:9">
      <c r="H423" s="455"/>
      <c r="I423" s="484"/>
    </row>
    <row r="424" spans="8:9">
      <c r="H424" s="455"/>
      <c r="I424" s="484"/>
    </row>
    <row r="425" spans="8:9">
      <c r="H425" s="455"/>
      <c r="I425" s="484"/>
    </row>
    <row r="426" spans="8:9">
      <c r="H426" s="455"/>
      <c r="I426" s="484"/>
    </row>
    <row r="427" spans="8:9">
      <c r="H427" s="455"/>
      <c r="I427" s="484"/>
    </row>
    <row r="428" spans="8:9">
      <c r="H428" s="455"/>
      <c r="I428" s="484"/>
    </row>
    <row r="429" spans="8:9">
      <c r="H429" s="455"/>
      <c r="I429" s="484"/>
    </row>
    <row r="430" spans="8:9">
      <c r="H430" s="455"/>
      <c r="I430" s="484"/>
    </row>
    <row r="431" spans="8:9">
      <c r="H431" s="455"/>
      <c r="I431" s="484"/>
    </row>
    <row r="432" spans="8:9">
      <c r="H432" s="455"/>
      <c r="I432" s="484"/>
    </row>
    <row r="433" spans="8:9">
      <c r="H433" s="455"/>
      <c r="I433" s="484"/>
    </row>
    <row r="434" spans="8:9">
      <c r="H434" s="455"/>
      <c r="I434" s="484"/>
    </row>
    <row r="435" spans="8:9">
      <c r="H435" s="455"/>
      <c r="I435" s="484"/>
    </row>
    <row r="436" spans="8:9">
      <c r="H436" s="455"/>
      <c r="I436" s="484"/>
    </row>
    <row r="437" spans="8:9">
      <c r="H437" s="455"/>
      <c r="I437" s="484"/>
    </row>
    <row r="438" spans="8:9">
      <c r="H438" s="455"/>
      <c r="I438" s="484"/>
    </row>
    <row r="439" spans="8:9">
      <c r="H439" s="455"/>
      <c r="I439" s="484"/>
    </row>
    <row r="440" spans="8:9">
      <c r="H440" s="455"/>
      <c r="I440" s="484"/>
    </row>
    <row r="441" spans="8:9">
      <c r="H441" s="455"/>
      <c r="I441" s="484"/>
    </row>
    <row r="442" spans="8:9">
      <c r="H442" s="455"/>
      <c r="I442" s="484"/>
    </row>
    <row r="443" spans="8:9">
      <c r="H443" s="455"/>
      <c r="I443" s="484"/>
    </row>
    <row r="444" spans="8:9">
      <c r="H444" s="455"/>
      <c r="I444" s="484"/>
    </row>
    <row r="445" spans="8:9">
      <c r="H445" s="455"/>
      <c r="I445" s="484"/>
    </row>
    <row r="446" spans="8:9">
      <c r="H446" s="455"/>
      <c r="I446" s="484"/>
    </row>
    <row r="447" spans="8:9">
      <c r="H447" s="455"/>
      <c r="I447" s="484"/>
    </row>
    <row r="448" spans="8:9">
      <c r="H448" s="455"/>
      <c r="I448" s="484"/>
    </row>
    <row r="449" spans="8:9">
      <c r="H449" s="455"/>
      <c r="I449" s="484"/>
    </row>
    <row r="450" spans="8:9">
      <c r="H450" s="455"/>
      <c r="I450" s="484"/>
    </row>
    <row r="451" spans="8:9">
      <c r="H451" s="455"/>
      <c r="I451" s="484"/>
    </row>
    <row r="452" spans="8:9">
      <c r="H452" s="455"/>
      <c r="I452" s="484"/>
    </row>
    <row r="453" spans="8:9">
      <c r="H453" s="455"/>
      <c r="I453" s="484"/>
    </row>
    <row r="454" spans="8:9">
      <c r="H454" s="455"/>
      <c r="I454" s="484"/>
    </row>
    <row r="455" spans="8:9">
      <c r="H455" s="455"/>
      <c r="I455" s="484"/>
    </row>
    <row r="456" spans="8:9">
      <c r="H456" s="455"/>
      <c r="I456" s="484"/>
    </row>
    <row r="457" spans="8:9">
      <c r="H457" s="455"/>
      <c r="I457" s="484"/>
    </row>
    <row r="458" spans="8:9">
      <c r="H458" s="455"/>
      <c r="I458" s="484"/>
    </row>
    <row r="459" spans="8:9">
      <c r="H459" s="455"/>
      <c r="I459" s="484"/>
    </row>
    <row r="460" spans="8:9">
      <c r="H460" s="455"/>
      <c r="I460" s="484"/>
    </row>
    <row r="461" spans="8:9">
      <c r="H461" s="455"/>
      <c r="I461" s="484"/>
    </row>
    <row r="462" spans="8:9">
      <c r="H462" s="455"/>
      <c r="I462" s="484"/>
    </row>
    <row r="463" spans="8:9">
      <c r="H463" s="455"/>
      <c r="I463" s="484"/>
    </row>
    <row r="464" spans="8:9">
      <c r="H464" s="455"/>
      <c r="I464" s="484"/>
    </row>
    <row r="465" spans="8:9">
      <c r="H465" s="455"/>
      <c r="I465" s="484"/>
    </row>
    <row r="466" spans="8:9">
      <c r="H466" s="455"/>
      <c r="I466" s="484"/>
    </row>
    <row r="467" spans="8:9">
      <c r="H467" s="455"/>
      <c r="I467" s="484"/>
    </row>
    <row r="468" spans="8:9">
      <c r="H468" s="455"/>
      <c r="I468" s="484"/>
    </row>
    <row r="469" spans="8:9">
      <c r="H469" s="455"/>
      <c r="I469" s="484"/>
    </row>
    <row r="470" spans="8:9">
      <c r="H470" s="455"/>
      <c r="I470" s="484"/>
    </row>
    <row r="471" spans="8:9">
      <c r="H471" s="455"/>
      <c r="I471" s="484"/>
    </row>
    <row r="472" spans="8:9">
      <c r="H472" s="455"/>
      <c r="I472" s="484"/>
    </row>
    <row r="473" spans="8:9">
      <c r="H473" s="455"/>
      <c r="I473" s="484"/>
    </row>
    <row r="474" spans="8:9">
      <c r="H474" s="455"/>
      <c r="I474" s="484"/>
    </row>
    <row r="475" spans="8:9">
      <c r="H475" s="455"/>
      <c r="I475" s="484"/>
    </row>
    <row r="476" spans="8:9">
      <c r="H476" s="455"/>
      <c r="I476" s="484"/>
    </row>
    <row r="477" spans="8:9">
      <c r="H477" s="455"/>
      <c r="I477" s="484"/>
    </row>
    <row r="478" spans="8:9">
      <c r="H478" s="455"/>
      <c r="I478" s="484"/>
    </row>
    <row r="479" spans="8:9">
      <c r="H479" s="455"/>
      <c r="I479" s="484"/>
    </row>
    <row r="480" spans="8:9">
      <c r="H480" s="455"/>
      <c r="I480" s="484"/>
    </row>
    <row r="481" spans="8:9">
      <c r="H481" s="455"/>
      <c r="I481" s="484"/>
    </row>
    <row r="482" spans="8:9">
      <c r="H482" s="455"/>
      <c r="I482" s="484"/>
    </row>
    <row r="483" spans="8:9">
      <c r="H483" s="455"/>
      <c r="I483" s="484"/>
    </row>
    <row r="484" spans="8:9">
      <c r="H484" s="455"/>
      <c r="I484" s="484"/>
    </row>
    <row r="485" spans="8:9">
      <c r="H485" s="455"/>
      <c r="I485" s="484"/>
    </row>
    <row r="486" spans="8:9">
      <c r="H486" s="455"/>
      <c r="I486" s="484"/>
    </row>
    <row r="487" spans="8:9">
      <c r="H487" s="455"/>
      <c r="I487" s="484"/>
    </row>
    <row r="488" spans="8:9">
      <c r="H488" s="455"/>
      <c r="I488" s="484"/>
    </row>
    <row r="489" spans="8:9">
      <c r="H489" s="455"/>
      <c r="I489" s="484"/>
    </row>
    <row r="490" spans="8:9">
      <c r="H490" s="455"/>
      <c r="I490" s="484"/>
    </row>
    <row r="491" spans="8:9">
      <c r="H491" s="455"/>
      <c r="I491" s="484"/>
    </row>
    <row r="492" spans="8:9">
      <c r="H492" s="455"/>
      <c r="I492" s="484"/>
    </row>
    <row r="493" spans="8:9">
      <c r="H493" s="455"/>
      <c r="I493" s="484"/>
    </row>
    <row r="494" spans="8:9">
      <c r="H494" s="455"/>
      <c r="I494" s="484"/>
    </row>
    <row r="495" spans="8:9">
      <c r="H495" s="455"/>
      <c r="I495" s="484"/>
    </row>
    <row r="496" spans="8:9">
      <c r="H496" s="455"/>
      <c r="I496" s="484"/>
    </row>
    <row r="497" spans="8:9">
      <c r="H497" s="455"/>
      <c r="I497" s="484"/>
    </row>
    <row r="498" spans="8:9">
      <c r="H498" s="455"/>
      <c r="I498" s="484"/>
    </row>
    <row r="499" spans="8:9">
      <c r="H499" s="455"/>
      <c r="I499" s="484"/>
    </row>
    <row r="500" spans="8:9">
      <c r="H500" s="455"/>
      <c r="I500" s="484"/>
    </row>
    <row r="501" spans="8:9">
      <c r="H501" s="455"/>
      <c r="I501" s="484"/>
    </row>
    <row r="502" spans="8:9">
      <c r="H502" s="455"/>
      <c r="I502" s="484"/>
    </row>
    <row r="503" spans="8:9">
      <c r="H503" s="455"/>
      <c r="I503" s="484"/>
    </row>
    <row r="504" spans="8:9">
      <c r="H504" s="455"/>
      <c r="I504" s="484"/>
    </row>
    <row r="505" spans="8:9">
      <c r="H505" s="455"/>
      <c r="I505" s="484"/>
    </row>
    <row r="506" spans="8:9">
      <c r="H506" s="455"/>
      <c r="I506" s="484"/>
    </row>
    <row r="507" spans="8:9">
      <c r="H507" s="455"/>
      <c r="I507" s="484"/>
    </row>
    <row r="508" spans="8:9">
      <c r="H508" s="455"/>
      <c r="I508" s="484"/>
    </row>
    <row r="509" spans="8:9">
      <c r="H509" s="455"/>
      <c r="I509" s="484"/>
    </row>
    <row r="510" spans="8:9">
      <c r="H510" s="455"/>
      <c r="I510" s="484"/>
    </row>
    <row r="511" spans="8:9">
      <c r="H511" s="455"/>
      <c r="I511" s="484"/>
    </row>
    <row r="512" spans="8:9">
      <c r="H512" s="455"/>
      <c r="I512" s="484"/>
    </row>
    <row r="513" spans="8:9">
      <c r="H513" s="455"/>
      <c r="I513" s="484"/>
    </row>
    <row r="514" spans="8:9">
      <c r="H514" s="455"/>
      <c r="I514" s="484"/>
    </row>
    <row r="515" spans="8:9">
      <c r="H515" s="455"/>
      <c r="I515" s="484"/>
    </row>
    <row r="516" spans="8:9">
      <c r="H516" s="455"/>
      <c r="I516" s="484"/>
    </row>
    <row r="517" spans="8:9">
      <c r="H517" s="455"/>
      <c r="I517" s="484"/>
    </row>
    <row r="518" spans="8:9">
      <c r="H518" s="455"/>
      <c r="I518" s="484"/>
    </row>
    <row r="519" spans="8:9">
      <c r="H519" s="455"/>
      <c r="I519" s="484"/>
    </row>
    <row r="520" spans="8:9">
      <c r="H520" s="455"/>
      <c r="I520" s="484"/>
    </row>
    <row r="521" spans="8:9">
      <c r="H521" s="455"/>
      <c r="I521" s="484"/>
    </row>
    <row r="522" spans="8:9">
      <c r="H522" s="455"/>
      <c r="I522" s="484"/>
    </row>
    <row r="523" spans="8:9">
      <c r="H523" s="455"/>
      <c r="I523" s="484"/>
    </row>
    <row r="524" spans="8:9">
      <c r="H524" s="455"/>
      <c r="I524" s="484"/>
    </row>
    <row r="525" spans="8:9">
      <c r="H525" s="455"/>
      <c r="I525" s="484"/>
    </row>
    <row r="526" spans="8:9">
      <c r="H526" s="455"/>
      <c r="I526" s="484"/>
    </row>
    <row r="527" spans="8:9">
      <c r="H527" s="455"/>
      <c r="I527" s="484"/>
    </row>
    <row r="528" spans="8:9">
      <c r="H528" s="455"/>
      <c r="I528" s="484"/>
    </row>
    <row r="529" spans="8:9">
      <c r="H529" s="455"/>
      <c r="I529" s="484"/>
    </row>
    <row r="530" spans="8:9">
      <c r="H530" s="455"/>
      <c r="I530" s="484"/>
    </row>
    <row r="531" spans="8:9">
      <c r="H531" s="455"/>
      <c r="I531" s="484"/>
    </row>
    <row r="532" spans="8:9">
      <c r="H532" s="455"/>
      <c r="I532" s="484"/>
    </row>
    <row r="533" spans="8:9">
      <c r="H533" s="455"/>
      <c r="I533" s="484"/>
    </row>
    <row r="534" spans="8:9">
      <c r="H534" s="455"/>
      <c r="I534" s="484"/>
    </row>
    <row r="535" spans="8:9">
      <c r="H535" s="455"/>
      <c r="I535" s="484"/>
    </row>
    <row r="536" spans="8:9">
      <c r="H536" s="455"/>
      <c r="I536" s="484"/>
    </row>
    <row r="537" spans="8:9">
      <c r="H537" s="455"/>
      <c r="I537" s="484"/>
    </row>
    <row r="538" spans="8:9">
      <c r="H538" s="455"/>
      <c r="I538" s="484"/>
    </row>
    <row r="539" spans="8:9">
      <c r="H539" s="455"/>
      <c r="I539" s="484"/>
    </row>
    <row r="540" spans="8:9">
      <c r="H540" s="455"/>
      <c r="I540" s="484"/>
    </row>
    <row r="541" spans="8:9">
      <c r="H541" s="455"/>
      <c r="I541" s="484"/>
    </row>
    <row r="542" spans="8:9">
      <c r="H542" s="455"/>
      <c r="I542" s="484"/>
    </row>
    <row r="543" spans="8:9">
      <c r="H543" s="455"/>
      <c r="I543" s="484"/>
    </row>
    <row r="544" spans="8:9">
      <c r="H544" s="455"/>
      <c r="I544" s="484"/>
    </row>
    <row r="545" spans="8:9">
      <c r="H545" s="455"/>
      <c r="I545" s="484"/>
    </row>
    <row r="546" spans="8:9">
      <c r="H546" s="455"/>
      <c r="I546" s="484"/>
    </row>
    <row r="547" spans="8:9">
      <c r="H547" s="455"/>
      <c r="I547" s="484"/>
    </row>
    <row r="548" spans="8:9">
      <c r="H548" s="455"/>
      <c r="I548" s="484"/>
    </row>
    <row r="549" spans="8:9">
      <c r="H549" s="455"/>
      <c r="I549" s="484"/>
    </row>
    <row r="550" spans="8:9">
      <c r="H550" s="455"/>
      <c r="I550" s="484"/>
    </row>
    <row r="551" spans="8:9">
      <c r="H551" s="455"/>
      <c r="I551" s="484"/>
    </row>
    <row r="552" spans="8:9">
      <c r="H552" s="455"/>
      <c r="I552" s="484"/>
    </row>
    <row r="553" spans="8:9">
      <c r="H553" s="455"/>
      <c r="I553" s="484"/>
    </row>
    <row r="554" spans="8:9">
      <c r="H554" s="455"/>
      <c r="I554" s="484"/>
    </row>
    <row r="555" spans="8:9">
      <c r="H555" s="455"/>
      <c r="I555" s="484"/>
    </row>
    <row r="556" spans="8:9">
      <c r="H556" s="455"/>
      <c r="I556" s="484"/>
    </row>
    <row r="557" spans="8:9">
      <c r="H557" s="455"/>
      <c r="I557" s="484"/>
    </row>
    <row r="558" spans="8:9">
      <c r="H558" s="455"/>
      <c r="I558" s="484"/>
    </row>
    <row r="559" spans="8:9">
      <c r="H559" s="455"/>
      <c r="I559" s="484"/>
    </row>
    <row r="560" spans="8:9">
      <c r="H560" s="455"/>
      <c r="I560" s="484"/>
    </row>
    <row r="561" spans="8:9">
      <c r="H561" s="455"/>
      <c r="I561" s="484"/>
    </row>
    <row r="562" spans="8:9">
      <c r="H562" s="455"/>
      <c r="I562" s="484"/>
    </row>
    <row r="563" spans="8:9">
      <c r="H563" s="455"/>
      <c r="I563" s="484"/>
    </row>
    <row r="564" spans="8:9">
      <c r="H564" s="455"/>
      <c r="I564" s="484"/>
    </row>
    <row r="565" spans="8:9">
      <c r="H565" s="455"/>
      <c r="I565" s="484"/>
    </row>
    <row r="566" spans="8:9">
      <c r="H566" s="455"/>
      <c r="I566" s="484"/>
    </row>
    <row r="567" spans="8:9">
      <c r="H567" s="455"/>
      <c r="I567" s="484"/>
    </row>
    <row r="568" spans="8:9">
      <c r="H568" s="455"/>
      <c r="I568" s="484"/>
    </row>
    <row r="569" spans="8:9">
      <c r="H569" s="455"/>
      <c r="I569" s="484"/>
    </row>
    <row r="570" spans="8:9">
      <c r="H570" s="455"/>
      <c r="I570" s="484"/>
    </row>
    <row r="571" spans="8:9">
      <c r="H571" s="455"/>
      <c r="I571" s="484"/>
    </row>
    <row r="572" spans="8:9">
      <c r="H572" s="455"/>
      <c r="I572" s="484"/>
    </row>
    <row r="573" spans="8:9">
      <c r="H573" s="455"/>
      <c r="I573" s="484"/>
    </row>
    <row r="574" spans="8:9">
      <c r="H574" s="455"/>
      <c r="I574" s="484"/>
    </row>
    <row r="575" spans="8:9">
      <c r="H575" s="455"/>
      <c r="I575" s="484"/>
    </row>
    <row r="576" spans="8:9">
      <c r="H576" s="455"/>
      <c r="I576" s="484"/>
    </row>
    <row r="577" spans="8:9">
      <c r="H577" s="455"/>
      <c r="I577" s="484"/>
    </row>
    <row r="578" spans="8:9">
      <c r="H578" s="455"/>
      <c r="I578" s="484"/>
    </row>
    <row r="579" spans="8:9">
      <c r="H579" s="455"/>
      <c r="I579" s="484"/>
    </row>
    <row r="580" spans="8:9">
      <c r="H580" s="455"/>
      <c r="I580" s="484"/>
    </row>
    <row r="581" spans="8:9">
      <c r="H581" s="455"/>
      <c r="I581" s="484"/>
    </row>
    <row r="582" spans="8:9">
      <c r="H582" s="455"/>
      <c r="I582" s="484"/>
    </row>
    <row r="583" spans="8:9">
      <c r="H583" s="455"/>
      <c r="I583" s="484"/>
    </row>
    <row r="584" spans="8:9">
      <c r="H584" s="455"/>
      <c r="I584" s="484"/>
    </row>
    <row r="585" spans="8:9">
      <c r="H585" s="455"/>
      <c r="I585" s="484"/>
    </row>
    <row r="586" spans="8:9">
      <c r="H586" s="455"/>
      <c r="I586" s="484"/>
    </row>
    <row r="587" spans="8:9">
      <c r="H587" s="455"/>
      <c r="I587" s="484"/>
    </row>
    <row r="588" spans="8:9">
      <c r="H588" s="455"/>
      <c r="I588" s="484"/>
    </row>
    <row r="589" spans="8:9">
      <c r="H589" s="455"/>
      <c r="I589" s="484"/>
    </row>
    <row r="590" spans="8:9">
      <c r="H590" s="455"/>
      <c r="I590" s="484"/>
    </row>
    <row r="591" spans="8:9">
      <c r="H591" s="455"/>
      <c r="I591" s="484"/>
    </row>
    <row r="592" spans="8:9">
      <c r="H592" s="455"/>
      <c r="I592" s="484"/>
    </row>
    <row r="593" spans="8:9">
      <c r="H593" s="455"/>
      <c r="I593" s="484"/>
    </row>
    <row r="594" spans="8:9">
      <c r="H594" s="455"/>
      <c r="I594" s="484"/>
    </row>
    <row r="595" spans="8:9">
      <c r="H595" s="455"/>
      <c r="I595" s="484"/>
    </row>
    <row r="596" spans="8:9">
      <c r="H596" s="455"/>
      <c r="I596" s="484"/>
    </row>
    <row r="597" spans="8:9">
      <c r="H597" s="455"/>
      <c r="I597" s="484"/>
    </row>
    <row r="598" spans="8:9">
      <c r="H598" s="455"/>
      <c r="I598" s="484"/>
    </row>
    <row r="599" spans="8:9">
      <c r="H599" s="455"/>
      <c r="I599" s="484"/>
    </row>
    <row r="600" spans="8:9">
      <c r="H600" s="455"/>
      <c r="I600" s="484"/>
    </row>
    <row r="601" spans="8:9">
      <c r="H601" s="455"/>
      <c r="I601" s="484"/>
    </row>
    <row r="602" spans="8:9">
      <c r="H602" s="455"/>
      <c r="I602" s="484"/>
    </row>
    <row r="603" spans="8:9">
      <c r="H603" s="455"/>
      <c r="I603" s="484"/>
    </row>
    <row r="604" spans="8:9">
      <c r="H604" s="455"/>
      <c r="I604" s="484"/>
    </row>
    <row r="605" spans="8:9">
      <c r="H605" s="455"/>
      <c r="I605" s="484"/>
    </row>
    <row r="606" spans="8:9">
      <c r="H606" s="455"/>
      <c r="I606" s="484"/>
    </row>
    <row r="607" spans="8:9">
      <c r="H607" s="455"/>
      <c r="I607" s="484"/>
    </row>
    <row r="608" spans="8:9">
      <c r="H608" s="455"/>
      <c r="I608" s="484"/>
    </row>
    <row r="609" spans="8:9">
      <c r="H609" s="455"/>
      <c r="I609" s="484"/>
    </row>
    <row r="610" spans="8:9">
      <c r="H610" s="455"/>
      <c r="I610" s="484"/>
    </row>
    <row r="611" spans="8:9">
      <c r="H611" s="455"/>
      <c r="I611" s="484"/>
    </row>
    <row r="612" spans="8:9">
      <c r="H612" s="455"/>
      <c r="I612" s="484"/>
    </row>
    <row r="613" spans="8:9">
      <c r="H613" s="455"/>
      <c r="I613" s="484"/>
    </row>
    <row r="614" spans="8:9">
      <c r="H614" s="455"/>
      <c r="I614" s="484"/>
    </row>
    <row r="615" spans="8:9">
      <c r="H615" s="455"/>
      <c r="I615" s="484"/>
    </row>
    <row r="616" spans="8:9">
      <c r="H616" s="455"/>
      <c r="I616" s="484"/>
    </row>
    <row r="617" spans="8:9">
      <c r="H617" s="455"/>
      <c r="I617" s="484"/>
    </row>
    <row r="618" spans="8:9">
      <c r="H618" s="455"/>
      <c r="I618" s="484"/>
    </row>
    <row r="619" spans="8:9">
      <c r="H619" s="455"/>
      <c r="I619" s="484"/>
    </row>
    <row r="620" spans="8:9">
      <c r="H620" s="455"/>
      <c r="I620" s="484"/>
    </row>
    <row r="621" spans="8:9">
      <c r="H621" s="455"/>
      <c r="I621" s="484"/>
    </row>
    <row r="622" spans="8:9">
      <c r="H622" s="455"/>
      <c r="I622" s="484"/>
    </row>
    <row r="623" spans="8:9">
      <c r="H623" s="455"/>
      <c r="I623" s="484"/>
    </row>
    <row r="624" spans="8:9">
      <c r="H624" s="455"/>
      <c r="I624" s="484"/>
    </row>
    <row r="625" spans="8:9">
      <c r="H625" s="455"/>
      <c r="I625" s="484"/>
    </row>
    <row r="626" spans="8:9">
      <c r="H626" s="455"/>
      <c r="I626" s="484"/>
    </row>
    <row r="627" spans="8:9">
      <c r="H627" s="455"/>
      <c r="I627" s="484"/>
    </row>
    <row r="628" spans="8:9">
      <c r="H628" s="455"/>
      <c r="I628" s="484"/>
    </row>
    <row r="629" spans="8:9">
      <c r="H629" s="455"/>
      <c r="I629" s="484"/>
    </row>
    <row r="630" spans="8:9">
      <c r="H630" s="455"/>
      <c r="I630" s="484"/>
    </row>
    <row r="631" spans="8:9">
      <c r="H631" s="455"/>
      <c r="I631" s="484"/>
    </row>
    <row r="632" spans="8:9">
      <c r="H632" s="455"/>
      <c r="I632" s="484"/>
    </row>
    <row r="633" spans="8:9">
      <c r="H633" s="455"/>
      <c r="I633" s="484"/>
    </row>
    <row r="634" spans="8:9">
      <c r="H634" s="455"/>
      <c r="I634" s="484"/>
    </row>
    <row r="635" spans="8:9">
      <c r="H635" s="455"/>
      <c r="I635" s="484"/>
    </row>
    <row r="636" spans="8:9">
      <c r="H636" s="455"/>
      <c r="I636" s="484"/>
    </row>
    <row r="637" spans="8:9">
      <c r="H637" s="455"/>
      <c r="I637" s="484"/>
    </row>
    <row r="638" spans="8:9">
      <c r="H638" s="455"/>
      <c r="I638" s="484"/>
    </row>
    <row r="639" spans="8:9">
      <c r="H639" s="455"/>
      <c r="I639" s="484"/>
    </row>
    <row r="640" spans="8:9">
      <c r="H640" s="455"/>
      <c r="I640" s="484"/>
    </row>
    <row r="641" spans="8:9">
      <c r="H641" s="455"/>
      <c r="I641" s="484"/>
    </row>
    <row r="642" spans="8:9">
      <c r="H642" s="455"/>
      <c r="I642" s="484"/>
    </row>
    <row r="643" spans="8:9">
      <c r="H643" s="455"/>
      <c r="I643" s="484"/>
    </row>
    <row r="644" spans="8:9">
      <c r="H644" s="455"/>
      <c r="I644" s="484"/>
    </row>
    <row r="645" spans="8:9">
      <c r="H645" s="455"/>
      <c r="I645" s="484"/>
    </row>
    <row r="646" spans="8:9">
      <c r="H646" s="455"/>
      <c r="I646" s="484"/>
    </row>
    <row r="647" spans="8:9">
      <c r="H647" s="455"/>
      <c r="I647" s="484"/>
    </row>
    <row r="648" spans="8:9">
      <c r="H648" s="455"/>
      <c r="I648" s="484"/>
    </row>
    <row r="649" spans="8:9">
      <c r="H649" s="455"/>
      <c r="I649" s="484"/>
    </row>
    <row r="650" spans="8:9">
      <c r="H650" s="455"/>
      <c r="I650" s="484"/>
    </row>
    <row r="651" spans="8:9">
      <c r="H651" s="455"/>
      <c r="I651" s="484"/>
    </row>
    <row r="652" spans="8:9">
      <c r="H652" s="455"/>
      <c r="I652" s="484"/>
    </row>
    <row r="653" spans="8:9">
      <c r="H653" s="455"/>
      <c r="I653" s="484"/>
    </row>
    <row r="654" spans="8:9">
      <c r="H654" s="455"/>
      <c r="I654" s="484"/>
    </row>
    <row r="655" spans="8:9">
      <c r="H655" s="455"/>
      <c r="I655" s="484"/>
    </row>
    <row r="656" spans="8:9">
      <c r="H656" s="455"/>
      <c r="I656" s="484"/>
    </row>
    <row r="657" spans="8:9">
      <c r="H657" s="455"/>
      <c r="I657" s="484"/>
    </row>
    <row r="658" spans="8:9">
      <c r="H658" s="455"/>
      <c r="I658" s="484"/>
    </row>
    <row r="659" spans="8:9">
      <c r="H659" s="455"/>
      <c r="I659" s="484"/>
    </row>
    <row r="660" spans="8:9">
      <c r="H660" s="455"/>
      <c r="I660" s="484"/>
    </row>
    <row r="661" spans="8:9">
      <c r="H661" s="455"/>
      <c r="I661" s="484"/>
    </row>
    <row r="662" spans="8:9">
      <c r="H662" s="455"/>
      <c r="I662" s="484"/>
    </row>
    <row r="663" spans="8:9">
      <c r="H663" s="455"/>
      <c r="I663" s="484"/>
    </row>
    <row r="664" spans="8:9">
      <c r="H664" s="455"/>
      <c r="I664" s="484"/>
    </row>
    <row r="665" spans="8:9">
      <c r="H665" s="455"/>
      <c r="I665" s="484"/>
    </row>
    <row r="666" spans="8:9">
      <c r="H666" s="455"/>
      <c r="I666" s="484"/>
    </row>
    <row r="667" spans="8:9">
      <c r="H667" s="455"/>
      <c r="I667" s="484"/>
    </row>
    <row r="668" spans="8:9">
      <c r="H668" s="455"/>
      <c r="I668" s="484"/>
    </row>
    <row r="669" spans="8:9">
      <c r="H669" s="455"/>
      <c r="I669" s="484"/>
    </row>
    <row r="670" spans="8:9">
      <c r="H670" s="455"/>
      <c r="I670" s="484"/>
    </row>
    <row r="671" spans="8:9">
      <c r="H671" s="455"/>
      <c r="I671" s="484"/>
    </row>
    <row r="672" spans="8:9">
      <c r="H672" s="455"/>
      <c r="I672" s="484"/>
    </row>
    <row r="673" spans="8:9">
      <c r="H673" s="455"/>
      <c r="I673" s="484"/>
    </row>
    <row r="674" spans="8:9">
      <c r="H674" s="455"/>
      <c r="I674" s="484"/>
    </row>
    <row r="675" spans="8:9">
      <c r="H675" s="455"/>
      <c r="I675" s="484"/>
    </row>
    <row r="676" spans="8:9">
      <c r="H676" s="455"/>
      <c r="I676" s="484"/>
    </row>
    <row r="677" spans="8:9">
      <c r="H677" s="455"/>
      <c r="I677" s="484"/>
    </row>
    <row r="678" spans="8:9">
      <c r="H678" s="455"/>
      <c r="I678" s="484"/>
    </row>
    <row r="679" spans="8:9">
      <c r="H679" s="455"/>
      <c r="I679" s="484"/>
    </row>
    <row r="680" spans="8:9">
      <c r="H680" s="455"/>
      <c r="I680" s="484"/>
    </row>
    <row r="681" spans="8:9">
      <c r="H681" s="455"/>
      <c r="I681" s="484"/>
    </row>
    <row r="682" spans="8:9">
      <c r="H682" s="455"/>
      <c r="I682" s="484"/>
    </row>
    <row r="683" spans="8:9">
      <c r="H683" s="455"/>
      <c r="I683" s="484"/>
    </row>
    <row r="684" spans="8:9">
      <c r="H684" s="455"/>
      <c r="I684" s="484"/>
    </row>
    <row r="685" spans="8:9">
      <c r="H685" s="455"/>
      <c r="I685" s="484"/>
    </row>
    <row r="686" spans="8:9">
      <c r="H686" s="455"/>
      <c r="I686" s="484"/>
    </row>
    <row r="687" spans="8:9">
      <c r="H687" s="455"/>
      <c r="I687" s="484"/>
    </row>
    <row r="688" spans="8:9">
      <c r="H688" s="455"/>
      <c r="I688" s="484"/>
    </row>
    <row r="689" spans="8:9">
      <c r="H689" s="455"/>
      <c r="I689" s="484"/>
    </row>
    <row r="690" spans="8:9">
      <c r="H690" s="455"/>
      <c r="I690" s="484"/>
    </row>
    <row r="691" spans="8:9">
      <c r="H691" s="455"/>
      <c r="I691" s="484"/>
    </row>
    <row r="692" spans="8:9">
      <c r="H692" s="455"/>
      <c r="I692" s="484"/>
    </row>
    <row r="693" spans="8:9">
      <c r="H693" s="455"/>
      <c r="I693" s="484"/>
    </row>
    <row r="694" spans="8:9">
      <c r="H694" s="455"/>
      <c r="I694" s="484"/>
    </row>
    <row r="695" spans="8:9">
      <c r="H695" s="455"/>
      <c r="I695" s="484"/>
    </row>
    <row r="696" spans="8:9">
      <c r="H696" s="455"/>
      <c r="I696" s="484"/>
    </row>
    <row r="697" spans="8:9">
      <c r="H697" s="455"/>
      <c r="I697" s="484"/>
    </row>
    <row r="698" spans="8:9">
      <c r="H698" s="455"/>
      <c r="I698" s="484"/>
    </row>
    <row r="699" spans="8:9">
      <c r="H699" s="455"/>
      <c r="I699" s="484"/>
    </row>
    <row r="700" spans="8:9">
      <c r="H700" s="455"/>
      <c r="I700" s="484"/>
    </row>
    <row r="701" spans="8:9">
      <c r="H701" s="455"/>
      <c r="I701" s="484"/>
    </row>
    <row r="702" spans="8:9">
      <c r="H702" s="455"/>
      <c r="I702" s="484"/>
    </row>
    <row r="703" spans="8:9">
      <c r="H703" s="455"/>
      <c r="I703" s="484"/>
    </row>
    <row r="704" spans="8:9">
      <c r="H704" s="455"/>
      <c r="I704" s="484"/>
    </row>
    <row r="705" spans="8:9">
      <c r="H705" s="455"/>
      <c r="I705" s="484"/>
    </row>
    <row r="706" spans="8:9">
      <c r="H706" s="455"/>
      <c r="I706" s="484"/>
    </row>
    <row r="707" spans="8:9">
      <c r="H707" s="455"/>
      <c r="I707" s="484"/>
    </row>
    <row r="708" spans="8:9">
      <c r="H708" s="455"/>
      <c r="I708" s="484"/>
    </row>
    <row r="709" spans="8:9">
      <c r="H709" s="455"/>
      <c r="I709" s="484"/>
    </row>
    <row r="710" spans="8:9">
      <c r="H710" s="455"/>
      <c r="I710" s="484"/>
    </row>
    <row r="711" spans="8:9">
      <c r="H711" s="455"/>
      <c r="I711" s="484"/>
    </row>
    <row r="712" spans="8:9">
      <c r="H712" s="455"/>
      <c r="I712" s="484"/>
    </row>
    <row r="713" spans="8:9">
      <c r="H713" s="455"/>
      <c r="I713" s="484"/>
    </row>
    <row r="714" spans="8:9">
      <c r="H714" s="455"/>
      <c r="I714" s="484"/>
    </row>
    <row r="715" spans="8:9">
      <c r="H715" s="455"/>
      <c r="I715" s="484"/>
    </row>
    <row r="716" spans="8:9">
      <c r="H716" s="455"/>
      <c r="I716" s="484"/>
    </row>
    <row r="717" spans="8:9">
      <c r="H717" s="455"/>
      <c r="I717" s="484"/>
    </row>
    <row r="718" spans="8:9">
      <c r="H718" s="455"/>
      <c r="I718" s="484"/>
    </row>
    <row r="719" spans="8:9">
      <c r="H719" s="455"/>
      <c r="I719" s="484"/>
    </row>
    <row r="720" spans="8:9">
      <c r="H720" s="455"/>
      <c r="I720" s="484"/>
    </row>
    <row r="721" spans="8:9">
      <c r="H721" s="455"/>
      <c r="I721" s="484"/>
    </row>
    <row r="722" spans="8:9">
      <c r="H722" s="455"/>
      <c r="I722" s="484"/>
    </row>
    <row r="723" spans="8:9">
      <c r="H723" s="455"/>
      <c r="I723" s="484"/>
    </row>
    <row r="724" spans="8:9">
      <c r="H724" s="455"/>
      <c r="I724" s="484"/>
    </row>
    <row r="725" spans="8:9">
      <c r="H725" s="455"/>
      <c r="I725" s="484"/>
    </row>
    <row r="726" spans="8:9">
      <c r="H726" s="455"/>
      <c r="I726" s="484"/>
    </row>
    <row r="727" spans="8:9">
      <c r="H727" s="455"/>
      <c r="I727" s="484"/>
    </row>
    <row r="728" spans="8:9">
      <c r="H728" s="455"/>
      <c r="I728" s="484"/>
    </row>
    <row r="729" spans="8:9">
      <c r="H729" s="455"/>
      <c r="I729" s="484"/>
    </row>
    <row r="730" spans="8:9">
      <c r="H730" s="455"/>
      <c r="I730" s="484"/>
    </row>
    <row r="731" spans="8:9">
      <c r="H731" s="455"/>
      <c r="I731" s="484"/>
    </row>
    <row r="732" spans="8:9">
      <c r="H732" s="455"/>
      <c r="I732" s="484"/>
    </row>
    <row r="733" spans="8:9">
      <c r="H733" s="455"/>
      <c r="I733" s="484"/>
    </row>
    <row r="734" spans="8:9">
      <c r="H734" s="455"/>
      <c r="I734" s="484"/>
    </row>
    <row r="735" spans="8:9">
      <c r="H735" s="455"/>
      <c r="I735" s="484"/>
    </row>
    <row r="736" spans="8:9">
      <c r="H736" s="455"/>
      <c r="I736" s="484"/>
    </row>
    <row r="737" spans="8:9">
      <c r="H737" s="455"/>
      <c r="I737" s="484"/>
    </row>
    <row r="738" spans="8:9">
      <c r="H738" s="455"/>
      <c r="I738" s="484"/>
    </row>
    <row r="739" spans="8:9">
      <c r="H739" s="455"/>
      <c r="I739" s="484"/>
    </row>
    <row r="740" spans="8:9">
      <c r="H740" s="455"/>
      <c r="I740" s="484"/>
    </row>
    <row r="741" spans="8:9">
      <c r="H741" s="455"/>
      <c r="I741" s="484"/>
    </row>
    <row r="742" spans="8:9">
      <c r="H742" s="455"/>
      <c r="I742" s="484"/>
    </row>
    <row r="743" spans="8:9">
      <c r="H743" s="455"/>
      <c r="I743" s="484"/>
    </row>
    <row r="744" spans="8:9">
      <c r="H744" s="455"/>
      <c r="I744" s="484"/>
    </row>
    <row r="745" spans="8:9">
      <c r="H745" s="455"/>
      <c r="I745" s="484"/>
    </row>
    <row r="746" spans="8:9">
      <c r="H746" s="455"/>
      <c r="I746" s="484"/>
    </row>
    <row r="747" spans="8:9">
      <c r="H747" s="455"/>
      <c r="I747" s="484"/>
    </row>
    <row r="748" spans="8:9">
      <c r="H748" s="455"/>
      <c r="I748" s="484"/>
    </row>
    <row r="749" spans="8:9">
      <c r="H749" s="455"/>
      <c r="I749" s="484"/>
    </row>
    <row r="750" spans="8:9">
      <c r="H750" s="455"/>
      <c r="I750" s="484"/>
    </row>
    <row r="751" spans="8:9">
      <c r="H751" s="455"/>
      <c r="I751" s="484"/>
    </row>
    <row r="752" spans="8:9">
      <c r="H752" s="455"/>
      <c r="I752" s="484"/>
    </row>
    <row r="753" spans="8:9">
      <c r="H753" s="455"/>
      <c r="I753" s="484"/>
    </row>
    <row r="754" spans="8:9">
      <c r="H754" s="455"/>
      <c r="I754" s="484"/>
    </row>
    <row r="755" spans="8:9">
      <c r="H755" s="455"/>
      <c r="I755" s="484"/>
    </row>
    <row r="756" spans="8:9">
      <c r="H756" s="455"/>
      <c r="I756" s="484"/>
    </row>
    <row r="757" spans="8:9">
      <c r="H757" s="455"/>
      <c r="I757" s="484"/>
    </row>
    <row r="758" spans="8:9">
      <c r="H758" s="455"/>
      <c r="I758" s="484"/>
    </row>
    <row r="759" spans="8:9">
      <c r="H759" s="455"/>
      <c r="I759" s="484"/>
    </row>
    <row r="760" spans="8:9">
      <c r="H760" s="455"/>
      <c r="I760" s="484"/>
    </row>
    <row r="761" spans="8:9">
      <c r="H761" s="455"/>
      <c r="I761" s="484"/>
    </row>
    <row r="762" spans="8:9">
      <c r="H762" s="455"/>
      <c r="I762" s="484"/>
    </row>
    <row r="763" spans="8:9">
      <c r="H763" s="455"/>
      <c r="I763" s="484"/>
    </row>
    <row r="764" spans="8:9">
      <c r="H764" s="455"/>
      <c r="I764" s="484"/>
    </row>
    <row r="765" spans="8:9">
      <c r="H765" s="455"/>
      <c r="I765" s="484"/>
    </row>
    <row r="766" spans="8:9">
      <c r="H766" s="455"/>
      <c r="I766" s="484"/>
    </row>
    <row r="767" spans="8:9">
      <c r="H767" s="455"/>
      <c r="I767" s="484"/>
    </row>
    <row r="768" spans="8:9">
      <c r="H768" s="455"/>
      <c r="I768" s="484"/>
    </row>
    <row r="769" spans="8:9">
      <c r="H769" s="455"/>
      <c r="I769" s="484"/>
    </row>
    <row r="770" spans="8:9">
      <c r="H770" s="455"/>
      <c r="I770" s="484"/>
    </row>
    <row r="771" spans="8:9">
      <c r="H771" s="455"/>
      <c r="I771" s="484"/>
    </row>
    <row r="772" spans="8:9">
      <c r="H772" s="455"/>
      <c r="I772" s="484"/>
    </row>
    <row r="773" spans="8:9">
      <c r="H773" s="455"/>
      <c r="I773" s="484"/>
    </row>
    <row r="774" spans="8:9">
      <c r="H774" s="455"/>
      <c r="I774" s="484"/>
    </row>
    <row r="775" spans="8:9">
      <c r="H775" s="455"/>
      <c r="I775" s="484"/>
    </row>
    <row r="776" spans="8:9">
      <c r="H776" s="455"/>
      <c r="I776" s="484"/>
    </row>
    <row r="777" spans="8:9">
      <c r="H777" s="455"/>
      <c r="I777" s="484"/>
    </row>
    <row r="778" spans="8:9">
      <c r="H778" s="455"/>
      <c r="I778" s="484"/>
    </row>
    <row r="779" spans="8:9">
      <c r="H779" s="455"/>
      <c r="I779" s="484"/>
    </row>
    <row r="780" spans="8:9">
      <c r="H780" s="455"/>
      <c r="I780" s="484"/>
    </row>
    <row r="781" spans="8:9">
      <c r="H781" s="455"/>
      <c r="I781" s="484"/>
    </row>
    <row r="782" spans="8:9">
      <c r="H782" s="455"/>
      <c r="I782" s="484"/>
    </row>
    <row r="783" spans="8:9">
      <c r="H783" s="455"/>
      <c r="I783" s="484"/>
    </row>
    <row r="784" spans="8:9">
      <c r="H784" s="455"/>
      <c r="I784" s="484"/>
    </row>
    <row r="785" spans="8:9">
      <c r="H785" s="455"/>
      <c r="I785" s="484"/>
    </row>
    <row r="786" spans="8:9">
      <c r="H786" s="455"/>
      <c r="I786" s="484"/>
    </row>
    <row r="787" spans="8:9">
      <c r="H787" s="455"/>
      <c r="I787" s="484"/>
    </row>
    <row r="788" spans="8:9">
      <c r="H788" s="455"/>
      <c r="I788" s="484"/>
    </row>
    <row r="789" spans="8:9">
      <c r="H789" s="455"/>
      <c r="I789" s="484"/>
    </row>
    <row r="790" spans="8:9">
      <c r="H790" s="455"/>
      <c r="I790" s="484"/>
    </row>
    <row r="791" spans="8:9">
      <c r="H791" s="455"/>
      <c r="I791" s="484"/>
    </row>
    <row r="792" spans="8:9">
      <c r="H792" s="455"/>
      <c r="I792" s="484"/>
    </row>
    <row r="793" spans="8:9">
      <c r="H793" s="455"/>
      <c r="I793" s="484"/>
    </row>
    <row r="794" spans="8:9">
      <c r="H794" s="455"/>
      <c r="I794" s="484"/>
    </row>
    <row r="795" spans="8:9">
      <c r="H795" s="455"/>
      <c r="I795" s="484"/>
    </row>
    <row r="796" spans="8:9">
      <c r="H796" s="455"/>
      <c r="I796" s="484"/>
    </row>
    <row r="797" spans="8:9">
      <c r="H797" s="455"/>
      <c r="I797" s="484"/>
    </row>
    <row r="798" spans="8:9">
      <c r="H798" s="455"/>
      <c r="I798" s="484"/>
    </row>
    <row r="799" spans="8:9">
      <c r="H799" s="455"/>
      <c r="I799" s="484"/>
    </row>
    <row r="800" spans="8:9">
      <c r="H800" s="455"/>
      <c r="I800" s="484"/>
    </row>
    <row r="801" spans="8:9">
      <c r="H801" s="455"/>
      <c r="I801" s="484"/>
    </row>
    <row r="802" spans="8:9">
      <c r="H802" s="455"/>
      <c r="I802" s="484"/>
    </row>
    <row r="803" spans="8:9">
      <c r="H803" s="455"/>
      <c r="I803" s="484"/>
    </row>
    <row r="804" spans="8:9">
      <c r="H804" s="455"/>
      <c r="I804" s="484"/>
    </row>
    <row r="805" spans="8:9">
      <c r="H805" s="455"/>
      <c r="I805" s="484"/>
    </row>
    <row r="806" spans="8:9">
      <c r="H806" s="455"/>
      <c r="I806" s="484"/>
    </row>
    <row r="807" spans="8:9">
      <c r="H807" s="455"/>
      <c r="I807" s="484"/>
    </row>
    <row r="808" spans="8:9">
      <c r="H808" s="455"/>
      <c r="I808" s="484"/>
    </row>
    <row r="809" spans="8:9">
      <c r="H809" s="455"/>
      <c r="I809" s="484"/>
    </row>
    <row r="810" spans="8:9">
      <c r="H810" s="455"/>
      <c r="I810" s="484"/>
    </row>
    <row r="811" spans="8:9">
      <c r="H811" s="455"/>
      <c r="I811" s="484"/>
    </row>
    <row r="812" spans="8:9">
      <c r="H812" s="455"/>
      <c r="I812" s="484"/>
    </row>
    <row r="813" spans="8:9">
      <c r="H813" s="455"/>
      <c r="I813" s="484"/>
    </row>
    <row r="814" spans="8:9">
      <c r="H814" s="455"/>
      <c r="I814" s="484"/>
    </row>
    <row r="815" spans="8:9">
      <c r="H815" s="455"/>
      <c r="I815" s="484"/>
    </row>
    <row r="816" spans="8:9">
      <c r="H816" s="455"/>
      <c r="I816" s="484"/>
    </row>
    <row r="817" spans="8:9">
      <c r="H817" s="455"/>
      <c r="I817" s="484"/>
    </row>
    <row r="818" spans="8:9">
      <c r="H818" s="455"/>
      <c r="I818" s="484"/>
    </row>
    <row r="819" spans="8:9">
      <c r="H819" s="455"/>
      <c r="I819" s="484"/>
    </row>
    <row r="820" spans="8:9">
      <c r="H820" s="455"/>
      <c r="I820" s="484"/>
    </row>
    <row r="821" spans="8:9">
      <c r="H821" s="455"/>
      <c r="I821" s="484"/>
    </row>
    <row r="822" spans="8:9">
      <c r="H822" s="455"/>
      <c r="I822" s="484"/>
    </row>
    <row r="823" spans="8:9">
      <c r="H823" s="455"/>
      <c r="I823" s="484"/>
    </row>
    <row r="824" spans="8:9">
      <c r="H824" s="455"/>
      <c r="I824" s="484"/>
    </row>
    <row r="825" spans="8:9">
      <c r="H825" s="455"/>
      <c r="I825" s="484"/>
    </row>
    <row r="826" spans="8:9">
      <c r="H826" s="455"/>
      <c r="I826" s="484"/>
    </row>
    <row r="827" spans="8:9">
      <c r="H827" s="455"/>
      <c r="I827" s="484"/>
    </row>
    <row r="828" spans="8:9">
      <c r="H828" s="455"/>
      <c r="I828" s="484"/>
    </row>
    <row r="829" spans="8:9">
      <c r="H829" s="455"/>
      <c r="I829" s="484"/>
    </row>
    <row r="830" spans="8:9">
      <c r="H830" s="455"/>
      <c r="I830" s="484"/>
    </row>
    <row r="831" spans="8:9">
      <c r="H831" s="455"/>
      <c r="I831" s="484"/>
    </row>
    <row r="832" spans="8:9">
      <c r="H832" s="455"/>
      <c r="I832" s="484"/>
    </row>
    <row r="833" spans="8:9">
      <c r="H833" s="455"/>
      <c r="I833" s="484"/>
    </row>
    <row r="834" spans="8:9">
      <c r="H834" s="455"/>
      <c r="I834" s="484"/>
    </row>
    <row r="835" spans="8:9">
      <c r="H835" s="455"/>
      <c r="I835" s="484"/>
    </row>
    <row r="836" spans="8:9">
      <c r="H836" s="455"/>
      <c r="I836" s="484"/>
    </row>
    <row r="837" spans="8:9">
      <c r="H837" s="455"/>
      <c r="I837" s="484"/>
    </row>
    <row r="838" spans="8:9">
      <c r="H838" s="455"/>
      <c r="I838" s="484"/>
    </row>
    <row r="839" spans="8:9">
      <c r="H839" s="455"/>
      <c r="I839" s="484"/>
    </row>
    <row r="840" spans="8:9">
      <c r="H840" s="455"/>
      <c r="I840" s="484"/>
    </row>
    <row r="841" spans="8:9">
      <c r="H841" s="455"/>
      <c r="I841" s="484"/>
    </row>
    <row r="842" spans="8:9">
      <c r="H842" s="455"/>
      <c r="I842" s="484"/>
    </row>
    <row r="843" spans="8:9">
      <c r="H843" s="455"/>
      <c r="I843" s="484"/>
    </row>
    <row r="844" spans="8:9">
      <c r="H844" s="455"/>
      <c r="I844" s="484"/>
    </row>
    <row r="845" spans="8:9">
      <c r="H845" s="455"/>
      <c r="I845" s="484"/>
    </row>
    <row r="846" spans="8:9">
      <c r="H846" s="455"/>
      <c r="I846" s="484"/>
    </row>
    <row r="847" spans="8:9">
      <c r="H847" s="455"/>
      <c r="I847" s="484"/>
    </row>
    <row r="848" spans="8:9">
      <c r="H848" s="455"/>
      <c r="I848" s="484"/>
    </row>
    <row r="849" spans="8:9">
      <c r="H849" s="455"/>
      <c r="I849" s="484"/>
    </row>
    <row r="850" spans="8:9">
      <c r="H850" s="455"/>
      <c r="I850" s="484"/>
    </row>
    <row r="851" spans="8:9">
      <c r="H851" s="455"/>
      <c r="I851" s="484"/>
    </row>
    <row r="852" spans="8:9">
      <c r="H852" s="455"/>
      <c r="I852" s="484"/>
    </row>
    <row r="853" spans="8:9">
      <c r="H853" s="455"/>
      <c r="I853" s="484"/>
    </row>
    <row r="854" spans="8:9">
      <c r="H854" s="455"/>
      <c r="I854" s="484"/>
    </row>
    <row r="855" spans="8:9">
      <c r="H855" s="455"/>
      <c r="I855" s="484"/>
    </row>
    <row r="856" spans="8:9">
      <c r="H856" s="455"/>
      <c r="I856" s="484"/>
    </row>
    <row r="857" spans="8:9">
      <c r="H857" s="455"/>
      <c r="I857" s="484"/>
    </row>
    <row r="858" spans="8:9">
      <c r="H858" s="455"/>
      <c r="I858" s="484"/>
    </row>
    <row r="859" spans="8:9">
      <c r="H859" s="455"/>
      <c r="I859" s="484"/>
    </row>
    <row r="860" spans="8:9">
      <c r="H860" s="455"/>
      <c r="I860" s="484"/>
    </row>
    <row r="861" spans="8:9">
      <c r="H861" s="455"/>
      <c r="I861" s="484"/>
    </row>
    <row r="862" spans="8:9">
      <c r="H862" s="455"/>
      <c r="I862" s="484"/>
    </row>
    <row r="863" spans="8:9">
      <c r="H863" s="455"/>
      <c r="I863" s="484"/>
    </row>
    <row r="864" spans="8:9">
      <c r="H864" s="455"/>
      <c r="I864" s="484"/>
    </row>
    <row r="865" spans="8:9">
      <c r="H865" s="455"/>
      <c r="I865" s="484"/>
    </row>
    <row r="866" spans="8:9">
      <c r="H866" s="455"/>
      <c r="I866" s="484"/>
    </row>
    <row r="867" spans="8:9">
      <c r="H867" s="455"/>
      <c r="I867" s="484"/>
    </row>
    <row r="868" spans="8:9">
      <c r="H868" s="455"/>
      <c r="I868" s="484"/>
    </row>
    <row r="869" spans="8:9">
      <c r="H869" s="455"/>
      <c r="I869" s="484"/>
    </row>
    <row r="870" spans="8:9">
      <c r="H870" s="455"/>
      <c r="I870" s="484"/>
    </row>
  </sheetData>
  <sheetProtection password="CC08" sheet="1" objects="1" scenarios="1"/>
  <protectedRanges>
    <protectedRange sqref="B3:E4 G3:H4 B8:C17 A27:U37 B45:U55" name="Range1"/>
  </protectedRanges>
  <mergeCells count="6">
    <mergeCell ref="X1:AF1"/>
    <mergeCell ref="Y2:AE2"/>
    <mergeCell ref="B6:C6"/>
    <mergeCell ref="B3:E3"/>
    <mergeCell ref="B4:E4"/>
    <mergeCell ref="G3:H3"/>
  </mergeCells>
  <phoneticPr fontId="5" type="noConversion"/>
  <printOptions horizontalCentered="1"/>
  <pageMargins left="0.9" right="0.75" top="1" bottom="0.75" header="0.5" footer="0.5"/>
  <pageSetup orientation="portrait" horizontalDpi="300" r:id="rId1"/>
  <headerFooter alignWithMargins="0">
    <oddFooter>&amp;L&amp;"Times New Roman,Regular"&amp;8&amp;F&amp;C&amp;"Times New Roman,Regular"Page &amp;P of &amp;N&amp;R&amp;"Times New Roman,Regular"&amp;D</oddFooter>
  </headerFooter>
  <drawing r:id="rId2"/>
  <legacyDrawing r:id="rId3"/>
  <controls>
    <control shapeId="47107" r:id="rId4" name="MainMenu"/>
  </controls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0"/>
  <dimension ref="A1:F132"/>
  <sheetViews>
    <sheetView showGridLines="0" workbookViewId="0">
      <selection activeCell="P13" sqref="P13"/>
    </sheetView>
  </sheetViews>
  <sheetFormatPr defaultColWidth="8" defaultRowHeight="12.75"/>
  <cols>
    <col min="1" max="1" width="5.140625" style="560" customWidth="1"/>
    <col min="2" max="2" width="12" style="560" customWidth="1"/>
    <col min="3" max="16384" width="8" style="560"/>
  </cols>
  <sheetData>
    <row r="1" spans="1:6">
      <c r="B1" s="561" t="s">
        <v>838</v>
      </c>
    </row>
    <row r="3" spans="1:6">
      <c r="B3" s="560" t="s">
        <v>839</v>
      </c>
      <c r="C3" s="953"/>
      <c r="E3" s="562" t="str">
        <f>IF(C4="","",IF(C15&gt;C17,"Warning: You need to increase the Number of replicates!",""))</f>
        <v/>
      </c>
      <c r="F3" s="563"/>
    </row>
    <row r="4" spans="1:6">
      <c r="B4" s="560" t="s">
        <v>840</v>
      </c>
      <c r="C4" s="953"/>
      <c r="E4" s="563"/>
      <c r="F4" s="563" t="str">
        <f>IF(C4="","",IF(C15&gt;C17,"The Endcount is greater than the number of trials.",""))</f>
        <v/>
      </c>
    </row>
    <row r="5" spans="1:6">
      <c r="B5" s="560" t="s">
        <v>841</v>
      </c>
      <c r="C5" s="953"/>
    </row>
    <row r="6" spans="1:6">
      <c r="A6" s="560" t="s">
        <v>842</v>
      </c>
      <c r="B6" s="560" t="s">
        <v>484</v>
      </c>
      <c r="C6" s="953">
        <v>0.95</v>
      </c>
    </row>
    <row r="7" spans="1:6">
      <c r="B7" s="560" t="s">
        <v>843</v>
      </c>
      <c r="C7" s="1078" t="s">
        <v>844</v>
      </c>
      <c r="D7" s="564"/>
    </row>
    <row r="8" spans="1:6" ht="14.25">
      <c r="A8" s="565" t="s">
        <v>859</v>
      </c>
      <c r="B8" s="566" t="s">
        <v>845</v>
      </c>
      <c r="C8" s="567" t="e">
        <f>IF($C$7="y",(C$3^C$4*C$5)/2,"Enter # Plus Signs Here")</f>
        <v>#NUM!</v>
      </c>
      <c r="F8" s="568"/>
    </row>
    <row r="9" spans="1:6" ht="14.25">
      <c r="A9" s="565" t="s">
        <v>860</v>
      </c>
      <c r="B9" s="566" t="s">
        <v>846</v>
      </c>
      <c r="C9" s="567" t="e">
        <f>IF($C$7="y",(C$3^C$4*C$5)/2,"Enter # Minus Signs Here")</f>
        <v>#NUM!</v>
      </c>
      <c r="F9" s="568"/>
    </row>
    <row r="10" spans="1:6">
      <c r="A10" s="560" t="s">
        <v>847</v>
      </c>
      <c r="B10" s="560" t="s">
        <v>848</v>
      </c>
      <c r="C10" s="567" t="e">
        <f>C3^C4-1</f>
        <v>#NUM!</v>
      </c>
    </row>
    <row r="13" spans="1:6" ht="13.5">
      <c r="B13" s="569" t="s">
        <v>861</v>
      </c>
      <c r="C13" s="560" t="e">
        <f>IF(C7="y",(FACT(C8+C9))/(FACT(C8)*FACT(C9)),(FACT(F8+F9))/(FACT(F8)*FACT(F9)))</f>
        <v>#NUM!</v>
      </c>
    </row>
    <row r="14" spans="1:6" ht="14.25">
      <c r="B14" s="566" t="s">
        <v>862</v>
      </c>
      <c r="C14" s="560" t="e">
        <f>IF(C7="y",C8+C9,F8+F9)</f>
        <v>#NUM!</v>
      </c>
    </row>
    <row r="15" spans="1:6">
      <c r="B15" s="563" t="s">
        <v>849</v>
      </c>
      <c r="C15" s="563" t="str">
        <f>IF(C4="","",ROUNDUP(C14-(LN(C13*(1-(C6^(1/C10))))/LN(2)),0))</f>
        <v/>
      </c>
    </row>
    <row r="17" spans="2:6">
      <c r="B17" s="570" t="s">
        <v>850</v>
      </c>
      <c r="C17" s="570" t="e">
        <f>(C3^C4)*C5</f>
        <v>#NUM!</v>
      </c>
    </row>
    <row r="19" spans="2:6">
      <c r="B19" s="561" t="s">
        <v>851</v>
      </c>
    </row>
    <row r="21" spans="2:6">
      <c r="B21" s="571" t="s">
        <v>852</v>
      </c>
      <c r="C21" s="954"/>
      <c r="D21" s="560" t="s">
        <v>863</v>
      </c>
    </row>
    <row r="22" spans="2:6">
      <c r="B22" s="571" t="s">
        <v>484</v>
      </c>
      <c r="C22" s="954">
        <v>0.95</v>
      </c>
      <c r="D22" s="560" t="s">
        <v>853</v>
      </c>
    </row>
    <row r="23" spans="2:6">
      <c r="B23" s="571" t="s">
        <v>840</v>
      </c>
      <c r="C23" s="954"/>
    </row>
    <row r="24" spans="2:6">
      <c r="B24" s="572" t="s">
        <v>854</v>
      </c>
      <c r="C24" s="573" t="str">
        <f>IF(C21="","",IF(C21="","",LOOKUP(F30,D33:D132,E33:E132)+1))</f>
        <v/>
      </c>
      <c r="D24" s="562" t="str">
        <f>IF(C24&gt;0.5*C21,"You must increase your sample size!","")</f>
        <v>You must increase your sample size!</v>
      </c>
    </row>
    <row r="25" spans="2:6">
      <c r="B25" s="570"/>
      <c r="D25" s="571"/>
    </row>
    <row r="26" spans="2:6" ht="13.5" thickBot="1">
      <c r="B26" s="570"/>
      <c r="D26" s="571"/>
      <c r="E26" s="574"/>
      <c r="F26" s="575"/>
    </row>
    <row r="27" spans="2:6">
      <c r="B27" s="576"/>
      <c r="C27" s="577"/>
      <c r="D27" s="578"/>
      <c r="E27" s="579" t="s">
        <v>855</v>
      </c>
      <c r="F27" s="580">
        <f>1-C22</f>
        <v>5.0000000000000044E-2</v>
      </c>
    </row>
    <row r="28" spans="2:6">
      <c r="B28" s="581"/>
      <c r="C28" s="582"/>
      <c r="D28" s="583"/>
      <c r="E28" s="584" t="s">
        <v>856</v>
      </c>
      <c r="F28" s="585">
        <f>2^C23-1</f>
        <v>0</v>
      </c>
    </row>
    <row r="29" spans="2:6">
      <c r="B29" s="581"/>
      <c r="C29" s="582"/>
      <c r="D29" s="583"/>
      <c r="E29" s="586" t="s">
        <v>864</v>
      </c>
      <c r="F29" s="587" t="e">
        <f>1-((1-F27)^(1/F28))</f>
        <v>#DIV/0!</v>
      </c>
    </row>
    <row r="30" spans="2:6">
      <c r="B30" s="581"/>
      <c r="C30" s="582"/>
      <c r="D30" s="583"/>
      <c r="E30" s="588" t="s">
        <v>857</v>
      </c>
      <c r="F30" s="589" t="e">
        <f>1-F29</f>
        <v>#DIV/0!</v>
      </c>
    </row>
    <row r="31" spans="2:6">
      <c r="B31" s="590"/>
      <c r="C31" s="591"/>
      <c r="D31" s="591"/>
      <c r="E31" s="591"/>
      <c r="F31" s="592"/>
    </row>
    <row r="32" spans="2:6" ht="13.5" thickBot="1">
      <c r="B32" s="593" t="s">
        <v>498</v>
      </c>
      <c r="C32" s="594" t="s">
        <v>453</v>
      </c>
      <c r="D32" s="595" t="s">
        <v>858</v>
      </c>
      <c r="E32" s="596" t="s">
        <v>854</v>
      </c>
      <c r="F32" s="597" t="s">
        <v>460</v>
      </c>
    </row>
    <row r="33" spans="2:6" ht="13.5" thickTop="1">
      <c r="B33" s="598">
        <v>16</v>
      </c>
      <c r="C33" s="599">
        <f>B33/2</f>
        <v>8</v>
      </c>
      <c r="D33" s="600">
        <f t="shared" ref="D33:D64" si="0">1-F33</f>
        <v>0.5</v>
      </c>
      <c r="E33" s="599">
        <v>1</v>
      </c>
      <c r="F33" s="601">
        <f>C33/B33</f>
        <v>0.5</v>
      </c>
    </row>
    <row r="34" spans="2:6">
      <c r="B34" s="602">
        <f t="shared" ref="B34:B65" si="1">B33-1</f>
        <v>15</v>
      </c>
      <c r="C34" s="603">
        <f t="shared" ref="C34:C65" si="2">C33-1</f>
        <v>7</v>
      </c>
      <c r="D34" s="604">
        <f t="shared" si="0"/>
        <v>0.76666666666666661</v>
      </c>
      <c r="E34" s="603">
        <v>2</v>
      </c>
      <c r="F34" s="605">
        <f t="shared" ref="F34:F65" si="3">F33*(C34/B34)</f>
        <v>0.23333333333333334</v>
      </c>
    </row>
    <row r="35" spans="2:6">
      <c r="B35" s="602">
        <f t="shared" si="1"/>
        <v>14</v>
      </c>
      <c r="C35" s="603">
        <f t="shared" si="2"/>
        <v>6</v>
      </c>
      <c r="D35" s="604">
        <f t="shared" si="0"/>
        <v>0.9</v>
      </c>
      <c r="E35" s="603">
        <v>3</v>
      </c>
      <c r="F35" s="605">
        <f t="shared" si="3"/>
        <v>9.9999999999999992E-2</v>
      </c>
    </row>
    <row r="36" spans="2:6">
      <c r="B36" s="602">
        <f t="shared" si="1"/>
        <v>13</v>
      </c>
      <c r="C36" s="603">
        <f t="shared" si="2"/>
        <v>5</v>
      </c>
      <c r="D36" s="604">
        <f t="shared" si="0"/>
        <v>0.96153846153846156</v>
      </c>
      <c r="E36" s="603">
        <v>4</v>
      </c>
      <c r="F36" s="605">
        <f t="shared" si="3"/>
        <v>3.8461538461538464E-2</v>
      </c>
    </row>
    <row r="37" spans="2:6">
      <c r="B37" s="602">
        <f t="shared" si="1"/>
        <v>12</v>
      </c>
      <c r="C37" s="603">
        <f t="shared" si="2"/>
        <v>4</v>
      </c>
      <c r="D37" s="604">
        <f t="shared" si="0"/>
        <v>0.98717948717948723</v>
      </c>
      <c r="E37" s="603">
        <v>5</v>
      </c>
      <c r="F37" s="605">
        <f t="shared" si="3"/>
        <v>1.282051282051282E-2</v>
      </c>
    </row>
    <row r="38" spans="2:6">
      <c r="B38" s="602">
        <f t="shared" si="1"/>
        <v>11</v>
      </c>
      <c r="C38" s="603">
        <f t="shared" si="2"/>
        <v>3</v>
      </c>
      <c r="D38" s="604">
        <f t="shared" si="0"/>
        <v>0.99650349650349646</v>
      </c>
      <c r="E38" s="603">
        <v>6</v>
      </c>
      <c r="F38" s="605">
        <f t="shared" si="3"/>
        <v>3.4965034965034961E-3</v>
      </c>
    </row>
    <row r="39" spans="2:6">
      <c r="B39" s="602">
        <f t="shared" si="1"/>
        <v>10</v>
      </c>
      <c r="C39" s="603">
        <f t="shared" si="2"/>
        <v>2</v>
      </c>
      <c r="D39" s="604">
        <f t="shared" si="0"/>
        <v>0.99930069930069931</v>
      </c>
      <c r="E39" s="603">
        <v>7</v>
      </c>
      <c r="F39" s="605">
        <f t="shared" si="3"/>
        <v>6.993006993006993E-4</v>
      </c>
    </row>
    <row r="40" spans="2:6">
      <c r="B40" s="602">
        <f t="shared" si="1"/>
        <v>9</v>
      </c>
      <c r="C40" s="603">
        <f t="shared" si="2"/>
        <v>1</v>
      </c>
      <c r="D40" s="604">
        <f t="shared" si="0"/>
        <v>0.99992229992229997</v>
      </c>
      <c r="E40" s="603">
        <v>8</v>
      </c>
      <c r="F40" s="605">
        <f t="shared" si="3"/>
        <v>7.77000777000777E-5</v>
      </c>
    </row>
    <row r="41" spans="2:6">
      <c r="B41" s="602">
        <f t="shared" si="1"/>
        <v>8</v>
      </c>
      <c r="C41" s="603">
        <f t="shared" si="2"/>
        <v>0</v>
      </c>
      <c r="D41" s="604">
        <f t="shared" si="0"/>
        <v>1</v>
      </c>
      <c r="E41" s="603">
        <v>9</v>
      </c>
      <c r="F41" s="605">
        <f t="shared" si="3"/>
        <v>0</v>
      </c>
    </row>
    <row r="42" spans="2:6">
      <c r="B42" s="602">
        <f t="shared" si="1"/>
        <v>7</v>
      </c>
      <c r="C42" s="603">
        <f t="shared" si="2"/>
        <v>-1</v>
      </c>
      <c r="D42" s="604">
        <f t="shared" si="0"/>
        <v>1</v>
      </c>
      <c r="E42" s="603">
        <v>10</v>
      </c>
      <c r="F42" s="605">
        <f t="shared" si="3"/>
        <v>0</v>
      </c>
    </row>
    <row r="43" spans="2:6">
      <c r="B43" s="602">
        <f t="shared" si="1"/>
        <v>6</v>
      </c>
      <c r="C43" s="603">
        <f t="shared" si="2"/>
        <v>-2</v>
      </c>
      <c r="D43" s="604">
        <f t="shared" si="0"/>
        <v>1</v>
      </c>
      <c r="E43" s="603">
        <v>11</v>
      </c>
      <c r="F43" s="605">
        <f t="shared" si="3"/>
        <v>0</v>
      </c>
    </row>
    <row r="44" spans="2:6">
      <c r="B44" s="602">
        <f t="shared" si="1"/>
        <v>5</v>
      </c>
      <c r="C44" s="603">
        <f t="shared" si="2"/>
        <v>-3</v>
      </c>
      <c r="D44" s="604">
        <f t="shared" si="0"/>
        <v>1</v>
      </c>
      <c r="E44" s="603">
        <v>12</v>
      </c>
      <c r="F44" s="605">
        <f t="shared" si="3"/>
        <v>0</v>
      </c>
    </row>
    <row r="45" spans="2:6">
      <c r="B45" s="602">
        <f t="shared" si="1"/>
        <v>4</v>
      </c>
      <c r="C45" s="603">
        <f t="shared" si="2"/>
        <v>-4</v>
      </c>
      <c r="D45" s="604">
        <f t="shared" si="0"/>
        <v>1</v>
      </c>
      <c r="E45" s="603">
        <v>13</v>
      </c>
      <c r="F45" s="605">
        <f t="shared" si="3"/>
        <v>0</v>
      </c>
    </row>
    <row r="46" spans="2:6">
      <c r="B46" s="602">
        <f t="shared" si="1"/>
        <v>3</v>
      </c>
      <c r="C46" s="603">
        <f t="shared" si="2"/>
        <v>-5</v>
      </c>
      <c r="D46" s="604">
        <f t="shared" si="0"/>
        <v>1</v>
      </c>
      <c r="E46" s="603">
        <v>14</v>
      </c>
      <c r="F46" s="605">
        <f t="shared" si="3"/>
        <v>0</v>
      </c>
    </row>
    <row r="47" spans="2:6">
      <c r="B47" s="602">
        <f t="shared" si="1"/>
        <v>2</v>
      </c>
      <c r="C47" s="603">
        <f t="shared" si="2"/>
        <v>-6</v>
      </c>
      <c r="D47" s="604">
        <f t="shared" si="0"/>
        <v>1</v>
      </c>
      <c r="E47" s="603">
        <v>15</v>
      </c>
      <c r="F47" s="605">
        <f t="shared" si="3"/>
        <v>0</v>
      </c>
    </row>
    <row r="48" spans="2:6">
      <c r="B48" s="602">
        <f t="shared" si="1"/>
        <v>1</v>
      </c>
      <c r="C48" s="603">
        <f t="shared" si="2"/>
        <v>-7</v>
      </c>
      <c r="D48" s="604">
        <f t="shared" si="0"/>
        <v>1</v>
      </c>
      <c r="E48" s="603">
        <v>16</v>
      </c>
      <c r="F48" s="605">
        <f t="shared" si="3"/>
        <v>0</v>
      </c>
    </row>
    <row r="49" spans="2:6">
      <c r="B49" s="602">
        <f t="shared" si="1"/>
        <v>0</v>
      </c>
      <c r="C49" s="603">
        <f t="shared" si="2"/>
        <v>-8</v>
      </c>
      <c r="D49" s="604" t="e">
        <f t="shared" si="0"/>
        <v>#DIV/0!</v>
      </c>
      <c r="E49" s="603">
        <v>17</v>
      </c>
      <c r="F49" s="605" t="e">
        <f t="shared" si="3"/>
        <v>#DIV/0!</v>
      </c>
    </row>
    <row r="50" spans="2:6">
      <c r="B50" s="602">
        <f t="shared" si="1"/>
        <v>-1</v>
      </c>
      <c r="C50" s="603">
        <f t="shared" si="2"/>
        <v>-9</v>
      </c>
      <c r="D50" s="604" t="e">
        <f t="shared" si="0"/>
        <v>#DIV/0!</v>
      </c>
      <c r="E50" s="603">
        <v>18</v>
      </c>
      <c r="F50" s="605" t="e">
        <f t="shared" si="3"/>
        <v>#DIV/0!</v>
      </c>
    </row>
    <row r="51" spans="2:6">
      <c r="B51" s="602">
        <f t="shared" si="1"/>
        <v>-2</v>
      </c>
      <c r="C51" s="603">
        <f t="shared" si="2"/>
        <v>-10</v>
      </c>
      <c r="D51" s="604" t="e">
        <f t="shared" si="0"/>
        <v>#DIV/0!</v>
      </c>
      <c r="E51" s="603">
        <v>19</v>
      </c>
      <c r="F51" s="605" t="e">
        <f t="shared" si="3"/>
        <v>#DIV/0!</v>
      </c>
    </row>
    <row r="52" spans="2:6">
      <c r="B52" s="602">
        <f t="shared" si="1"/>
        <v>-3</v>
      </c>
      <c r="C52" s="603">
        <f t="shared" si="2"/>
        <v>-11</v>
      </c>
      <c r="D52" s="604" t="e">
        <f t="shared" si="0"/>
        <v>#DIV/0!</v>
      </c>
      <c r="E52" s="603">
        <v>20</v>
      </c>
      <c r="F52" s="605" t="e">
        <f t="shared" si="3"/>
        <v>#DIV/0!</v>
      </c>
    </row>
    <row r="53" spans="2:6">
      <c r="B53" s="602">
        <f t="shared" si="1"/>
        <v>-4</v>
      </c>
      <c r="C53" s="603">
        <f t="shared" si="2"/>
        <v>-12</v>
      </c>
      <c r="D53" s="604" t="e">
        <f t="shared" si="0"/>
        <v>#DIV/0!</v>
      </c>
      <c r="E53" s="603">
        <v>21</v>
      </c>
      <c r="F53" s="605" t="e">
        <f t="shared" si="3"/>
        <v>#DIV/0!</v>
      </c>
    </row>
    <row r="54" spans="2:6">
      <c r="B54" s="602">
        <f t="shared" si="1"/>
        <v>-5</v>
      </c>
      <c r="C54" s="603">
        <f t="shared" si="2"/>
        <v>-13</v>
      </c>
      <c r="D54" s="604" t="e">
        <f t="shared" si="0"/>
        <v>#DIV/0!</v>
      </c>
      <c r="E54" s="603">
        <v>22</v>
      </c>
      <c r="F54" s="605" t="e">
        <f t="shared" si="3"/>
        <v>#DIV/0!</v>
      </c>
    </row>
    <row r="55" spans="2:6">
      <c r="B55" s="602">
        <f t="shared" si="1"/>
        <v>-6</v>
      </c>
      <c r="C55" s="603">
        <f t="shared" si="2"/>
        <v>-14</v>
      </c>
      <c r="D55" s="604" t="e">
        <f t="shared" si="0"/>
        <v>#DIV/0!</v>
      </c>
      <c r="E55" s="603">
        <v>23</v>
      </c>
      <c r="F55" s="605" t="e">
        <f t="shared" si="3"/>
        <v>#DIV/0!</v>
      </c>
    </row>
    <row r="56" spans="2:6">
      <c r="B56" s="602">
        <f t="shared" si="1"/>
        <v>-7</v>
      </c>
      <c r="C56" s="603">
        <f t="shared" si="2"/>
        <v>-15</v>
      </c>
      <c r="D56" s="604" t="e">
        <f t="shared" si="0"/>
        <v>#DIV/0!</v>
      </c>
      <c r="E56" s="603">
        <v>24</v>
      </c>
      <c r="F56" s="605" t="e">
        <f t="shared" si="3"/>
        <v>#DIV/0!</v>
      </c>
    </row>
    <row r="57" spans="2:6">
      <c r="B57" s="602">
        <f t="shared" si="1"/>
        <v>-8</v>
      </c>
      <c r="C57" s="603">
        <f t="shared" si="2"/>
        <v>-16</v>
      </c>
      <c r="D57" s="604" t="e">
        <f t="shared" si="0"/>
        <v>#DIV/0!</v>
      </c>
      <c r="E57" s="603">
        <v>25</v>
      </c>
      <c r="F57" s="605" t="e">
        <f t="shared" si="3"/>
        <v>#DIV/0!</v>
      </c>
    </row>
    <row r="58" spans="2:6">
      <c r="B58" s="602">
        <f t="shared" si="1"/>
        <v>-9</v>
      </c>
      <c r="C58" s="603">
        <f t="shared" si="2"/>
        <v>-17</v>
      </c>
      <c r="D58" s="604" t="e">
        <f t="shared" si="0"/>
        <v>#DIV/0!</v>
      </c>
      <c r="E58" s="603">
        <v>26</v>
      </c>
      <c r="F58" s="605" t="e">
        <f t="shared" si="3"/>
        <v>#DIV/0!</v>
      </c>
    </row>
    <row r="59" spans="2:6">
      <c r="B59" s="602">
        <f t="shared" si="1"/>
        <v>-10</v>
      </c>
      <c r="C59" s="603">
        <f t="shared" si="2"/>
        <v>-18</v>
      </c>
      <c r="D59" s="604" t="e">
        <f t="shared" si="0"/>
        <v>#DIV/0!</v>
      </c>
      <c r="E59" s="603">
        <v>27</v>
      </c>
      <c r="F59" s="605" t="e">
        <f t="shared" si="3"/>
        <v>#DIV/0!</v>
      </c>
    </row>
    <row r="60" spans="2:6">
      <c r="B60" s="602">
        <f t="shared" si="1"/>
        <v>-11</v>
      </c>
      <c r="C60" s="603">
        <f t="shared" si="2"/>
        <v>-19</v>
      </c>
      <c r="D60" s="604" t="e">
        <f t="shared" si="0"/>
        <v>#DIV/0!</v>
      </c>
      <c r="E60" s="603">
        <v>28</v>
      </c>
      <c r="F60" s="605" t="e">
        <f t="shared" si="3"/>
        <v>#DIV/0!</v>
      </c>
    </row>
    <row r="61" spans="2:6">
      <c r="B61" s="602">
        <f t="shared" si="1"/>
        <v>-12</v>
      </c>
      <c r="C61" s="603">
        <f t="shared" si="2"/>
        <v>-20</v>
      </c>
      <c r="D61" s="604" t="e">
        <f t="shared" si="0"/>
        <v>#DIV/0!</v>
      </c>
      <c r="E61" s="603">
        <v>29</v>
      </c>
      <c r="F61" s="605" t="e">
        <f t="shared" si="3"/>
        <v>#DIV/0!</v>
      </c>
    </row>
    <row r="62" spans="2:6">
      <c r="B62" s="602">
        <f t="shared" si="1"/>
        <v>-13</v>
      </c>
      <c r="C62" s="603">
        <f t="shared" si="2"/>
        <v>-21</v>
      </c>
      <c r="D62" s="604" t="e">
        <f t="shared" si="0"/>
        <v>#DIV/0!</v>
      </c>
      <c r="E62" s="603">
        <v>30</v>
      </c>
      <c r="F62" s="605" t="e">
        <f t="shared" si="3"/>
        <v>#DIV/0!</v>
      </c>
    </row>
    <row r="63" spans="2:6">
      <c r="B63" s="602">
        <f t="shared" si="1"/>
        <v>-14</v>
      </c>
      <c r="C63" s="603">
        <f t="shared" si="2"/>
        <v>-22</v>
      </c>
      <c r="D63" s="604" t="e">
        <f t="shared" si="0"/>
        <v>#DIV/0!</v>
      </c>
      <c r="E63" s="603">
        <v>31</v>
      </c>
      <c r="F63" s="605" t="e">
        <f t="shared" si="3"/>
        <v>#DIV/0!</v>
      </c>
    </row>
    <row r="64" spans="2:6">
      <c r="B64" s="602">
        <f t="shared" si="1"/>
        <v>-15</v>
      </c>
      <c r="C64" s="603">
        <f t="shared" si="2"/>
        <v>-23</v>
      </c>
      <c r="D64" s="604" t="e">
        <f t="shared" si="0"/>
        <v>#DIV/0!</v>
      </c>
      <c r="E64" s="603">
        <v>32</v>
      </c>
      <c r="F64" s="605" t="e">
        <f t="shared" si="3"/>
        <v>#DIV/0!</v>
      </c>
    </row>
    <row r="65" spans="2:6">
      <c r="B65" s="602">
        <f t="shared" si="1"/>
        <v>-16</v>
      </c>
      <c r="C65" s="603">
        <f t="shared" si="2"/>
        <v>-24</v>
      </c>
      <c r="D65" s="604" t="e">
        <f t="shared" ref="D65:D96" si="4">1-F65</f>
        <v>#DIV/0!</v>
      </c>
      <c r="E65" s="603">
        <v>33</v>
      </c>
      <c r="F65" s="605" t="e">
        <f t="shared" si="3"/>
        <v>#DIV/0!</v>
      </c>
    </row>
    <row r="66" spans="2:6">
      <c r="B66" s="602">
        <f t="shared" ref="B66:B97" si="5">B65-1</f>
        <v>-17</v>
      </c>
      <c r="C66" s="603">
        <f t="shared" ref="C66:C97" si="6">C65-1</f>
        <v>-25</v>
      </c>
      <c r="D66" s="604" t="e">
        <f t="shared" si="4"/>
        <v>#DIV/0!</v>
      </c>
      <c r="E66" s="603">
        <v>34</v>
      </c>
      <c r="F66" s="605" t="e">
        <f t="shared" ref="F66:F97" si="7">F65*(C66/B66)</f>
        <v>#DIV/0!</v>
      </c>
    </row>
    <row r="67" spans="2:6">
      <c r="B67" s="602">
        <f t="shared" si="5"/>
        <v>-18</v>
      </c>
      <c r="C67" s="603">
        <f t="shared" si="6"/>
        <v>-26</v>
      </c>
      <c r="D67" s="604" t="e">
        <f t="shared" si="4"/>
        <v>#DIV/0!</v>
      </c>
      <c r="E67" s="603">
        <v>35</v>
      </c>
      <c r="F67" s="605" t="e">
        <f t="shared" si="7"/>
        <v>#DIV/0!</v>
      </c>
    </row>
    <row r="68" spans="2:6">
      <c r="B68" s="602">
        <f t="shared" si="5"/>
        <v>-19</v>
      </c>
      <c r="C68" s="603">
        <f t="shared" si="6"/>
        <v>-27</v>
      </c>
      <c r="D68" s="604" t="e">
        <f t="shared" si="4"/>
        <v>#DIV/0!</v>
      </c>
      <c r="E68" s="603">
        <v>36</v>
      </c>
      <c r="F68" s="605" t="e">
        <f t="shared" si="7"/>
        <v>#DIV/0!</v>
      </c>
    </row>
    <row r="69" spans="2:6">
      <c r="B69" s="602">
        <f t="shared" si="5"/>
        <v>-20</v>
      </c>
      <c r="C69" s="603">
        <f t="shared" si="6"/>
        <v>-28</v>
      </c>
      <c r="D69" s="604" t="e">
        <f t="shared" si="4"/>
        <v>#DIV/0!</v>
      </c>
      <c r="E69" s="603">
        <v>37</v>
      </c>
      <c r="F69" s="605" t="e">
        <f t="shared" si="7"/>
        <v>#DIV/0!</v>
      </c>
    </row>
    <row r="70" spans="2:6">
      <c r="B70" s="602">
        <f t="shared" si="5"/>
        <v>-21</v>
      </c>
      <c r="C70" s="603">
        <f t="shared" si="6"/>
        <v>-29</v>
      </c>
      <c r="D70" s="604" t="e">
        <f t="shared" si="4"/>
        <v>#DIV/0!</v>
      </c>
      <c r="E70" s="603">
        <v>38</v>
      </c>
      <c r="F70" s="605" t="e">
        <f t="shared" si="7"/>
        <v>#DIV/0!</v>
      </c>
    </row>
    <row r="71" spans="2:6">
      <c r="B71" s="602">
        <f t="shared" si="5"/>
        <v>-22</v>
      </c>
      <c r="C71" s="603">
        <f t="shared" si="6"/>
        <v>-30</v>
      </c>
      <c r="D71" s="604" t="e">
        <f t="shared" si="4"/>
        <v>#DIV/0!</v>
      </c>
      <c r="E71" s="603">
        <v>39</v>
      </c>
      <c r="F71" s="605" t="e">
        <f t="shared" si="7"/>
        <v>#DIV/0!</v>
      </c>
    </row>
    <row r="72" spans="2:6">
      <c r="B72" s="602">
        <f t="shared" si="5"/>
        <v>-23</v>
      </c>
      <c r="C72" s="603">
        <f t="shared" si="6"/>
        <v>-31</v>
      </c>
      <c r="D72" s="604" t="e">
        <f t="shared" si="4"/>
        <v>#DIV/0!</v>
      </c>
      <c r="E72" s="603">
        <v>40</v>
      </c>
      <c r="F72" s="605" t="e">
        <f t="shared" si="7"/>
        <v>#DIV/0!</v>
      </c>
    </row>
    <row r="73" spans="2:6">
      <c r="B73" s="602">
        <f t="shared" si="5"/>
        <v>-24</v>
      </c>
      <c r="C73" s="603">
        <f t="shared" si="6"/>
        <v>-32</v>
      </c>
      <c r="D73" s="604" t="e">
        <f t="shared" si="4"/>
        <v>#DIV/0!</v>
      </c>
      <c r="E73" s="603">
        <v>41</v>
      </c>
      <c r="F73" s="605" t="e">
        <f t="shared" si="7"/>
        <v>#DIV/0!</v>
      </c>
    </row>
    <row r="74" spans="2:6">
      <c r="B74" s="602">
        <f t="shared" si="5"/>
        <v>-25</v>
      </c>
      <c r="C74" s="603">
        <f t="shared" si="6"/>
        <v>-33</v>
      </c>
      <c r="D74" s="604" t="e">
        <f t="shared" si="4"/>
        <v>#DIV/0!</v>
      </c>
      <c r="E74" s="603">
        <v>42</v>
      </c>
      <c r="F74" s="605" t="e">
        <f t="shared" si="7"/>
        <v>#DIV/0!</v>
      </c>
    </row>
    <row r="75" spans="2:6">
      <c r="B75" s="602">
        <f t="shared" si="5"/>
        <v>-26</v>
      </c>
      <c r="C75" s="603">
        <f t="shared" si="6"/>
        <v>-34</v>
      </c>
      <c r="D75" s="604" t="e">
        <f t="shared" si="4"/>
        <v>#DIV/0!</v>
      </c>
      <c r="E75" s="603">
        <v>43</v>
      </c>
      <c r="F75" s="605" t="e">
        <f t="shared" si="7"/>
        <v>#DIV/0!</v>
      </c>
    </row>
    <row r="76" spans="2:6">
      <c r="B76" s="602">
        <f t="shared" si="5"/>
        <v>-27</v>
      </c>
      <c r="C76" s="603">
        <f t="shared" si="6"/>
        <v>-35</v>
      </c>
      <c r="D76" s="604" t="e">
        <f t="shared" si="4"/>
        <v>#DIV/0!</v>
      </c>
      <c r="E76" s="603">
        <v>44</v>
      </c>
      <c r="F76" s="605" t="e">
        <f t="shared" si="7"/>
        <v>#DIV/0!</v>
      </c>
    </row>
    <row r="77" spans="2:6">
      <c r="B77" s="602">
        <f t="shared" si="5"/>
        <v>-28</v>
      </c>
      <c r="C77" s="603">
        <f t="shared" si="6"/>
        <v>-36</v>
      </c>
      <c r="D77" s="604" t="e">
        <f t="shared" si="4"/>
        <v>#DIV/0!</v>
      </c>
      <c r="E77" s="603">
        <v>45</v>
      </c>
      <c r="F77" s="605" t="e">
        <f t="shared" si="7"/>
        <v>#DIV/0!</v>
      </c>
    </row>
    <row r="78" spans="2:6">
      <c r="B78" s="602">
        <f t="shared" si="5"/>
        <v>-29</v>
      </c>
      <c r="C78" s="603">
        <f t="shared" si="6"/>
        <v>-37</v>
      </c>
      <c r="D78" s="604" t="e">
        <f t="shared" si="4"/>
        <v>#DIV/0!</v>
      </c>
      <c r="E78" s="603">
        <v>46</v>
      </c>
      <c r="F78" s="605" t="e">
        <f t="shared" si="7"/>
        <v>#DIV/0!</v>
      </c>
    </row>
    <row r="79" spans="2:6">
      <c r="B79" s="602">
        <f t="shared" si="5"/>
        <v>-30</v>
      </c>
      <c r="C79" s="603">
        <f t="shared" si="6"/>
        <v>-38</v>
      </c>
      <c r="D79" s="604" t="e">
        <f t="shared" si="4"/>
        <v>#DIV/0!</v>
      </c>
      <c r="E79" s="603">
        <v>47</v>
      </c>
      <c r="F79" s="605" t="e">
        <f t="shared" si="7"/>
        <v>#DIV/0!</v>
      </c>
    </row>
    <row r="80" spans="2:6">
      <c r="B80" s="602">
        <f t="shared" si="5"/>
        <v>-31</v>
      </c>
      <c r="C80" s="603">
        <f t="shared" si="6"/>
        <v>-39</v>
      </c>
      <c r="D80" s="604" t="e">
        <f t="shared" si="4"/>
        <v>#DIV/0!</v>
      </c>
      <c r="E80" s="603">
        <v>48</v>
      </c>
      <c r="F80" s="605" t="e">
        <f t="shared" si="7"/>
        <v>#DIV/0!</v>
      </c>
    </row>
    <row r="81" spans="2:6">
      <c r="B81" s="602">
        <f t="shared" si="5"/>
        <v>-32</v>
      </c>
      <c r="C81" s="603">
        <f t="shared" si="6"/>
        <v>-40</v>
      </c>
      <c r="D81" s="604" t="e">
        <f t="shared" si="4"/>
        <v>#DIV/0!</v>
      </c>
      <c r="E81" s="603">
        <v>49</v>
      </c>
      <c r="F81" s="605" t="e">
        <f t="shared" si="7"/>
        <v>#DIV/0!</v>
      </c>
    </row>
    <row r="82" spans="2:6">
      <c r="B82" s="602">
        <f t="shared" si="5"/>
        <v>-33</v>
      </c>
      <c r="C82" s="603">
        <f t="shared" si="6"/>
        <v>-41</v>
      </c>
      <c r="D82" s="604" t="e">
        <f t="shared" si="4"/>
        <v>#DIV/0!</v>
      </c>
      <c r="E82" s="603">
        <v>50</v>
      </c>
      <c r="F82" s="605" t="e">
        <f t="shared" si="7"/>
        <v>#DIV/0!</v>
      </c>
    </row>
    <row r="83" spans="2:6">
      <c r="B83" s="602">
        <f t="shared" si="5"/>
        <v>-34</v>
      </c>
      <c r="C83" s="603">
        <f t="shared" si="6"/>
        <v>-42</v>
      </c>
      <c r="D83" s="604" t="e">
        <f t="shared" si="4"/>
        <v>#DIV/0!</v>
      </c>
      <c r="E83" s="603">
        <v>51</v>
      </c>
      <c r="F83" s="605" t="e">
        <f t="shared" si="7"/>
        <v>#DIV/0!</v>
      </c>
    </row>
    <row r="84" spans="2:6">
      <c r="B84" s="602">
        <f t="shared" si="5"/>
        <v>-35</v>
      </c>
      <c r="C84" s="603">
        <f t="shared" si="6"/>
        <v>-43</v>
      </c>
      <c r="D84" s="604" t="e">
        <f t="shared" si="4"/>
        <v>#DIV/0!</v>
      </c>
      <c r="E84" s="603">
        <v>52</v>
      </c>
      <c r="F84" s="605" t="e">
        <f t="shared" si="7"/>
        <v>#DIV/0!</v>
      </c>
    </row>
    <row r="85" spans="2:6">
      <c r="B85" s="602">
        <f t="shared" si="5"/>
        <v>-36</v>
      </c>
      <c r="C85" s="603">
        <f t="shared" si="6"/>
        <v>-44</v>
      </c>
      <c r="D85" s="604" t="e">
        <f t="shared" si="4"/>
        <v>#DIV/0!</v>
      </c>
      <c r="E85" s="603">
        <v>53</v>
      </c>
      <c r="F85" s="605" t="e">
        <f t="shared" si="7"/>
        <v>#DIV/0!</v>
      </c>
    </row>
    <row r="86" spans="2:6">
      <c r="B86" s="602">
        <f t="shared" si="5"/>
        <v>-37</v>
      </c>
      <c r="C86" s="603">
        <f t="shared" si="6"/>
        <v>-45</v>
      </c>
      <c r="D86" s="604" t="e">
        <f t="shared" si="4"/>
        <v>#DIV/0!</v>
      </c>
      <c r="E86" s="603">
        <v>54</v>
      </c>
      <c r="F86" s="605" t="e">
        <f t="shared" si="7"/>
        <v>#DIV/0!</v>
      </c>
    </row>
    <row r="87" spans="2:6">
      <c r="B87" s="602">
        <f t="shared" si="5"/>
        <v>-38</v>
      </c>
      <c r="C87" s="603">
        <f t="shared" si="6"/>
        <v>-46</v>
      </c>
      <c r="D87" s="604" t="e">
        <f t="shared" si="4"/>
        <v>#DIV/0!</v>
      </c>
      <c r="E87" s="603">
        <v>55</v>
      </c>
      <c r="F87" s="605" t="e">
        <f t="shared" si="7"/>
        <v>#DIV/0!</v>
      </c>
    </row>
    <row r="88" spans="2:6">
      <c r="B88" s="602">
        <f t="shared" si="5"/>
        <v>-39</v>
      </c>
      <c r="C88" s="603">
        <f t="shared" si="6"/>
        <v>-47</v>
      </c>
      <c r="D88" s="604" t="e">
        <f t="shared" si="4"/>
        <v>#DIV/0!</v>
      </c>
      <c r="E88" s="603">
        <v>56</v>
      </c>
      <c r="F88" s="605" t="e">
        <f t="shared" si="7"/>
        <v>#DIV/0!</v>
      </c>
    </row>
    <row r="89" spans="2:6">
      <c r="B89" s="602">
        <f t="shared" si="5"/>
        <v>-40</v>
      </c>
      <c r="C89" s="603">
        <f t="shared" si="6"/>
        <v>-48</v>
      </c>
      <c r="D89" s="604" t="e">
        <f t="shared" si="4"/>
        <v>#DIV/0!</v>
      </c>
      <c r="E89" s="603">
        <v>57</v>
      </c>
      <c r="F89" s="605" t="e">
        <f t="shared" si="7"/>
        <v>#DIV/0!</v>
      </c>
    </row>
    <row r="90" spans="2:6">
      <c r="B90" s="602">
        <f t="shared" si="5"/>
        <v>-41</v>
      </c>
      <c r="C90" s="603">
        <f t="shared" si="6"/>
        <v>-49</v>
      </c>
      <c r="D90" s="604" t="e">
        <f t="shared" si="4"/>
        <v>#DIV/0!</v>
      </c>
      <c r="E90" s="603">
        <v>58</v>
      </c>
      <c r="F90" s="605" t="e">
        <f t="shared" si="7"/>
        <v>#DIV/0!</v>
      </c>
    </row>
    <row r="91" spans="2:6">
      <c r="B91" s="602">
        <f t="shared" si="5"/>
        <v>-42</v>
      </c>
      <c r="C91" s="603">
        <f t="shared" si="6"/>
        <v>-50</v>
      </c>
      <c r="D91" s="604" t="e">
        <f t="shared" si="4"/>
        <v>#DIV/0!</v>
      </c>
      <c r="E91" s="603">
        <v>59</v>
      </c>
      <c r="F91" s="605" t="e">
        <f t="shared" si="7"/>
        <v>#DIV/0!</v>
      </c>
    </row>
    <row r="92" spans="2:6">
      <c r="B92" s="602">
        <f t="shared" si="5"/>
        <v>-43</v>
      </c>
      <c r="C92" s="603">
        <f t="shared" si="6"/>
        <v>-51</v>
      </c>
      <c r="D92" s="604" t="e">
        <f t="shared" si="4"/>
        <v>#DIV/0!</v>
      </c>
      <c r="E92" s="603">
        <v>60</v>
      </c>
      <c r="F92" s="605" t="e">
        <f t="shared" si="7"/>
        <v>#DIV/0!</v>
      </c>
    </row>
    <row r="93" spans="2:6">
      <c r="B93" s="602">
        <f t="shared" si="5"/>
        <v>-44</v>
      </c>
      <c r="C93" s="603">
        <f t="shared" si="6"/>
        <v>-52</v>
      </c>
      <c r="D93" s="604" t="e">
        <f t="shared" si="4"/>
        <v>#DIV/0!</v>
      </c>
      <c r="E93" s="603">
        <v>61</v>
      </c>
      <c r="F93" s="605" t="e">
        <f t="shared" si="7"/>
        <v>#DIV/0!</v>
      </c>
    </row>
    <row r="94" spans="2:6">
      <c r="B94" s="602">
        <f t="shared" si="5"/>
        <v>-45</v>
      </c>
      <c r="C94" s="603">
        <f t="shared" si="6"/>
        <v>-53</v>
      </c>
      <c r="D94" s="604" t="e">
        <f t="shared" si="4"/>
        <v>#DIV/0!</v>
      </c>
      <c r="E94" s="603">
        <v>62</v>
      </c>
      <c r="F94" s="605" t="e">
        <f t="shared" si="7"/>
        <v>#DIV/0!</v>
      </c>
    </row>
    <row r="95" spans="2:6">
      <c r="B95" s="602">
        <f t="shared" si="5"/>
        <v>-46</v>
      </c>
      <c r="C95" s="603">
        <f t="shared" si="6"/>
        <v>-54</v>
      </c>
      <c r="D95" s="604" t="e">
        <f t="shared" si="4"/>
        <v>#DIV/0!</v>
      </c>
      <c r="E95" s="603">
        <v>63</v>
      </c>
      <c r="F95" s="605" t="e">
        <f t="shared" si="7"/>
        <v>#DIV/0!</v>
      </c>
    </row>
    <row r="96" spans="2:6">
      <c r="B96" s="602">
        <f t="shared" si="5"/>
        <v>-47</v>
      </c>
      <c r="C96" s="603">
        <f t="shared" si="6"/>
        <v>-55</v>
      </c>
      <c r="D96" s="604" t="e">
        <f t="shared" si="4"/>
        <v>#DIV/0!</v>
      </c>
      <c r="E96" s="603">
        <v>64</v>
      </c>
      <c r="F96" s="605" t="e">
        <f t="shared" si="7"/>
        <v>#DIV/0!</v>
      </c>
    </row>
    <row r="97" spans="2:6">
      <c r="B97" s="602">
        <f t="shared" si="5"/>
        <v>-48</v>
      </c>
      <c r="C97" s="603">
        <f t="shared" si="6"/>
        <v>-56</v>
      </c>
      <c r="D97" s="604" t="e">
        <f t="shared" ref="D97:D132" si="8">1-F97</f>
        <v>#DIV/0!</v>
      </c>
      <c r="E97" s="603">
        <v>65</v>
      </c>
      <c r="F97" s="605" t="e">
        <f t="shared" si="7"/>
        <v>#DIV/0!</v>
      </c>
    </row>
    <row r="98" spans="2:6">
      <c r="B98" s="602">
        <f t="shared" ref="B98:B132" si="9">B97-1</f>
        <v>-49</v>
      </c>
      <c r="C98" s="603">
        <f t="shared" ref="C98:C132" si="10">C97-1</f>
        <v>-57</v>
      </c>
      <c r="D98" s="604" t="e">
        <f t="shared" si="8"/>
        <v>#DIV/0!</v>
      </c>
      <c r="E98" s="603">
        <v>66</v>
      </c>
      <c r="F98" s="605" t="e">
        <f t="shared" ref="F98:F132" si="11">F97*(C98/B98)</f>
        <v>#DIV/0!</v>
      </c>
    </row>
    <row r="99" spans="2:6">
      <c r="B99" s="602">
        <f t="shared" si="9"/>
        <v>-50</v>
      </c>
      <c r="C99" s="603">
        <f t="shared" si="10"/>
        <v>-58</v>
      </c>
      <c r="D99" s="604" t="e">
        <f t="shared" si="8"/>
        <v>#DIV/0!</v>
      </c>
      <c r="E99" s="603">
        <v>67</v>
      </c>
      <c r="F99" s="605" t="e">
        <f t="shared" si="11"/>
        <v>#DIV/0!</v>
      </c>
    </row>
    <row r="100" spans="2:6">
      <c r="B100" s="602">
        <f t="shared" si="9"/>
        <v>-51</v>
      </c>
      <c r="C100" s="603">
        <f t="shared" si="10"/>
        <v>-59</v>
      </c>
      <c r="D100" s="604" t="e">
        <f t="shared" si="8"/>
        <v>#DIV/0!</v>
      </c>
      <c r="E100" s="603">
        <v>68</v>
      </c>
      <c r="F100" s="605" t="e">
        <f t="shared" si="11"/>
        <v>#DIV/0!</v>
      </c>
    </row>
    <row r="101" spans="2:6">
      <c r="B101" s="602">
        <f t="shared" si="9"/>
        <v>-52</v>
      </c>
      <c r="C101" s="603">
        <f t="shared" si="10"/>
        <v>-60</v>
      </c>
      <c r="D101" s="604" t="e">
        <f t="shared" si="8"/>
        <v>#DIV/0!</v>
      </c>
      <c r="E101" s="603">
        <v>69</v>
      </c>
      <c r="F101" s="605" t="e">
        <f t="shared" si="11"/>
        <v>#DIV/0!</v>
      </c>
    </row>
    <row r="102" spans="2:6">
      <c r="B102" s="602">
        <f t="shared" si="9"/>
        <v>-53</v>
      </c>
      <c r="C102" s="603">
        <f t="shared" si="10"/>
        <v>-61</v>
      </c>
      <c r="D102" s="604" t="e">
        <f t="shared" si="8"/>
        <v>#DIV/0!</v>
      </c>
      <c r="E102" s="603">
        <v>70</v>
      </c>
      <c r="F102" s="605" t="e">
        <f t="shared" si="11"/>
        <v>#DIV/0!</v>
      </c>
    </row>
    <row r="103" spans="2:6">
      <c r="B103" s="602">
        <f t="shared" si="9"/>
        <v>-54</v>
      </c>
      <c r="C103" s="603">
        <f t="shared" si="10"/>
        <v>-62</v>
      </c>
      <c r="D103" s="604" t="e">
        <f t="shared" si="8"/>
        <v>#DIV/0!</v>
      </c>
      <c r="E103" s="603">
        <v>71</v>
      </c>
      <c r="F103" s="605" t="e">
        <f t="shared" si="11"/>
        <v>#DIV/0!</v>
      </c>
    </row>
    <row r="104" spans="2:6">
      <c r="B104" s="602">
        <f t="shared" si="9"/>
        <v>-55</v>
      </c>
      <c r="C104" s="603">
        <f t="shared" si="10"/>
        <v>-63</v>
      </c>
      <c r="D104" s="604" t="e">
        <f t="shared" si="8"/>
        <v>#DIV/0!</v>
      </c>
      <c r="E104" s="603">
        <v>72</v>
      </c>
      <c r="F104" s="605" t="e">
        <f t="shared" si="11"/>
        <v>#DIV/0!</v>
      </c>
    </row>
    <row r="105" spans="2:6">
      <c r="B105" s="602">
        <f t="shared" si="9"/>
        <v>-56</v>
      </c>
      <c r="C105" s="603">
        <f t="shared" si="10"/>
        <v>-64</v>
      </c>
      <c r="D105" s="604" t="e">
        <f t="shared" si="8"/>
        <v>#DIV/0!</v>
      </c>
      <c r="E105" s="603">
        <v>73</v>
      </c>
      <c r="F105" s="605" t="e">
        <f t="shared" si="11"/>
        <v>#DIV/0!</v>
      </c>
    </row>
    <row r="106" spans="2:6">
      <c r="B106" s="602">
        <f t="shared" si="9"/>
        <v>-57</v>
      </c>
      <c r="C106" s="603">
        <f t="shared" si="10"/>
        <v>-65</v>
      </c>
      <c r="D106" s="604" t="e">
        <f t="shared" si="8"/>
        <v>#DIV/0!</v>
      </c>
      <c r="E106" s="603">
        <v>74</v>
      </c>
      <c r="F106" s="605" t="e">
        <f t="shared" si="11"/>
        <v>#DIV/0!</v>
      </c>
    </row>
    <row r="107" spans="2:6">
      <c r="B107" s="602">
        <f t="shared" si="9"/>
        <v>-58</v>
      </c>
      <c r="C107" s="603">
        <f t="shared" si="10"/>
        <v>-66</v>
      </c>
      <c r="D107" s="604" t="e">
        <f t="shared" si="8"/>
        <v>#DIV/0!</v>
      </c>
      <c r="E107" s="603">
        <v>75</v>
      </c>
      <c r="F107" s="605" t="e">
        <f t="shared" si="11"/>
        <v>#DIV/0!</v>
      </c>
    </row>
    <row r="108" spans="2:6">
      <c r="B108" s="602">
        <f t="shared" si="9"/>
        <v>-59</v>
      </c>
      <c r="C108" s="603">
        <f t="shared" si="10"/>
        <v>-67</v>
      </c>
      <c r="D108" s="604" t="e">
        <f t="shared" si="8"/>
        <v>#DIV/0!</v>
      </c>
      <c r="E108" s="603">
        <v>76</v>
      </c>
      <c r="F108" s="605" t="e">
        <f t="shared" si="11"/>
        <v>#DIV/0!</v>
      </c>
    </row>
    <row r="109" spans="2:6">
      <c r="B109" s="602">
        <f t="shared" si="9"/>
        <v>-60</v>
      </c>
      <c r="C109" s="603">
        <f t="shared" si="10"/>
        <v>-68</v>
      </c>
      <c r="D109" s="604" t="e">
        <f t="shared" si="8"/>
        <v>#DIV/0!</v>
      </c>
      <c r="E109" s="603">
        <v>77</v>
      </c>
      <c r="F109" s="605" t="e">
        <f t="shared" si="11"/>
        <v>#DIV/0!</v>
      </c>
    </row>
    <row r="110" spans="2:6">
      <c r="B110" s="602">
        <f t="shared" si="9"/>
        <v>-61</v>
      </c>
      <c r="C110" s="603">
        <f t="shared" si="10"/>
        <v>-69</v>
      </c>
      <c r="D110" s="604" t="e">
        <f t="shared" si="8"/>
        <v>#DIV/0!</v>
      </c>
      <c r="E110" s="603">
        <v>78</v>
      </c>
      <c r="F110" s="605" t="e">
        <f t="shared" si="11"/>
        <v>#DIV/0!</v>
      </c>
    </row>
    <row r="111" spans="2:6">
      <c r="B111" s="602">
        <f t="shared" si="9"/>
        <v>-62</v>
      </c>
      <c r="C111" s="603">
        <f t="shared" si="10"/>
        <v>-70</v>
      </c>
      <c r="D111" s="604" t="e">
        <f t="shared" si="8"/>
        <v>#DIV/0!</v>
      </c>
      <c r="E111" s="603">
        <v>79</v>
      </c>
      <c r="F111" s="605" t="e">
        <f t="shared" si="11"/>
        <v>#DIV/0!</v>
      </c>
    </row>
    <row r="112" spans="2:6">
      <c r="B112" s="602">
        <f t="shared" si="9"/>
        <v>-63</v>
      </c>
      <c r="C112" s="603">
        <f t="shared" si="10"/>
        <v>-71</v>
      </c>
      <c r="D112" s="604" t="e">
        <f t="shared" si="8"/>
        <v>#DIV/0!</v>
      </c>
      <c r="E112" s="603">
        <v>80</v>
      </c>
      <c r="F112" s="605" t="e">
        <f t="shared" si="11"/>
        <v>#DIV/0!</v>
      </c>
    </row>
    <row r="113" spans="2:6">
      <c r="B113" s="602">
        <f t="shared" si="9"/>
        <v>-64</v>
      </c>
      <c r="C113" s="603">
        <f t="shared" si="10"/>
        <v>-72</v>
      </c>
      <c r="D113" s="604" t="e">
        <f t="shared" si="8"/>
        <v>#DIV/0!</v>
      </c>
      <c r="E113" s="603">
        <v>81</v>
      </c>
      <c r="F113" s="605" t="e">
        <f t="shared" si="11"/>
        <v>#DIV/0!</v>
      </c>
    </row>
    <row r="114" spans="2:6">
      <c r="B114" s="602">
        <f t="shared" si="9"/>
        <v>-65</v>
      </c>
      <c r="C114" s="603">
        <f t="shared" si="10"/>
        <v>-73</v>
      </c>
      <c r="D114" s="604" t="e">
        <f t="shared" si="8"/>
        <v>#DIV/0!</v>
      </c>
      <c r="E114" s="603">
        <v>82</v>
      </c>
      <c r="F114" s="605" t="e">
        <f t="shared" si="11"/>
        <v>#DIV/0!</v>
      </c>
    </row>
    <row r="115" spans="2:6">
      <c r="B115" s="602">
        <f t="shared" si="9"/>
        <v>-66</v>
      </c>
      <c r="C115" s="603">
        <f t="shared" si="10"/>
        <v>-74</v>
      </c>
      <c r="D115" s="604" t="e">
        <f t="shared" si="8"/>
        <v>#DIV/0!</v>
      </c>
      <c r="E115" s="603">
        <v>83</v>
      </c>
      <c r="F115" s="605" t="e">
        <f t="shared" si="11"/>
        <v>#DIV/0!</v>
      </c>
    </row>
    <row r="116" spans="2:6">
      <c r="B116" s="602">
        <f t="shared" si="9"/>
        <v>-67</v>
      </c>
      <c r="C116" s="603">
        <f t="shared" si="10"/>
        <v>-75</v>
      </c>
      <c r="D116" s="604" t="e">
        <f t="shared" si="8"/>
        <v>#DIV/0!</v>
      </c>
      <c r="E116" s="603">
        <v>84</v>
      </c>
      <c r="F116" s="605" t="e">
        <f t="shared" si="11"/>
        <v>#DIV/0!</v>
      </c>
    </row>
    <row r="117" spans="2:6">
      <c r="B117" s="602">
        <f t="shared" si="9"/>
        <v>-68</v>
      </c>
      <c r="C117" s="603">
        <f t="shared" si="10"/>
        <v>-76</v>
      </c>
      <c r="D117" s="604" t="e">
        <f t="shared" si="8"/>
        <v>#DIV/0!</v>
      </c>
      <c r="E117" s="603">
        <v>85</v>
      </c>
      <c r="F117" s="605" t="e">
        <f t="shared" si="11"/>
        <v>#DIV/0!</v>
      </c>
    </row>
    <row r="118" spans="2:6">
      <c r="B118" s="602">
        <f t="shared" si="9"/>
        <v>-69</v>
      </c>
      <c r="C118" s="603">
        <f t="shared" si="10"/>
        <v>-77</v>
      </c>
      <c r="D118" s="604" t="e">
        <f t="shared" si="8"/>
        <v>#DIV/0!</v>
      </c>
      <c r="E118" s="603">
        <v>86</v>
      </c>
      <c r="F118" s="605" t="e">
        <f t="shared" si="11"/>
        <v>#DIV/0!</v>
      </c>
    </row>
    <row r="119" spans="2:6">
      <c r="B119" s="602">
        <f t="shared" si="9"/>
        <v>-70</v>
      </c>
      <c r="C119" s="603">
        <f t="shared" si="10"/>
        <v>-78</v>
      </c>
      <c r="D119" s="604" t="e">
        <f t="shared" si="8"/>
        <v>#DIV/0!</v>
      </c>
      <c r="E119" s="603">
        <v>87</v>
      </c>
      <c r="F119" s="605" t="e">
        <f t="shared" si="11"/>
        <v>#DIV/0!</v>
      </c>
    </row>
    <row r="120" spans="2:6">
      <c r="B120" s="602">
        <f t="shared" si="9"/>
        <v>-71</v>
      </c>
      <c r="C120" s="603">
        <f t="shared" si="10"/>
        <v>-79</v>
      </c>
      <c r="D120" s="604" t="e">
        <f t="shared" si="8"/>
        <v>#DIV/0!</v>
      </c>
      <c r="E120" s="603">
        <v>88</v>
      </c>
      <c r="F120" s="605" t="e">
        <f t="shared" si="11"/>
        <v>#DIV/0!</v>
      </c>
    </row>
    <row r="121" spans="2:6">
      <c r="B121" s="602">
        <f t="shared" si="9"/>
        <v>-72</v>
      </c>
      <c r="C121" s="603">
        <f t="shared" si="10"/>
        <v>-80</v>
      </c>
      <c r="D121" s="604" t="e">
        <f t="shared" si="8"/>
        <v>#DIV/0!</v>
      </c>
      <c r="E121" s="603">
        <v>89</v>
      </c>
      <c r="F121" s="605" t="e">
        <f t="shared" si="11"/>
        <v>#DIV/0!</v>
      </c>
    </row>
    <row r="122" spans="2:6">
      <c r="B122" s="602">
        <f t="shared" si="9"/>
        <v>-73</v>
      </c>
      <c r="C122" s="603">
        <f t="shared" si="10"/>
        <v>-81</v>
      </c>
      <c r="D122" s="604" t="e">
        <f t="shared" si="8"/>
        <v>#DIV/0!</v>
      </c>
      <c r="E122" s="603">
        <v>90</v>
      </c>
      <c r="F122" s="605" t="e">
        <f t="shared" si="11"/>
        <v>#DIV/0!</v>
      </c>
    </row>
    <row r="123" spans="2:6">
      <c r="B123" s="602">
        <f t="shared" si="9"/>
        <v>-74</v>
      </c>
      <c r="C123" s="603">
        <f t="shared" si="10"/>
        <v>-82</v>
      </c>
      <c r="D123" s="604" t="e">
        <f t="shared" si="8"/>
        <v>#DIV/0!</v>
      </c>
      <c r="E123" s="603">
        <v>91</v>
      </c>
      <c r="F123" s="605" t="e">
        <f t="shared" si="11"/>
        <v>#DIV/0!</v>
      </c>
    </row>
    <row r="124" spans="2:6">
      <c r="B124" s="602">
        <f t="shared" si="9"/>
        <v>-75</v>
      </c>
      <c r="C124" s="603">
        <f t="shared" si="10"/>
        <v>-83</v>
      </c>
      <c r="D124" s="604" t="e">
        <f t="shared" si="8"/>
        <v>#DIV/0!</v>
      </c>
      <c r="E124" s="603">
        <v>92</v>
      </c>
      <c r="F124" s="605" t="e">
        <f t="shared" si="11"/>
        <v>#DIV/0!</v>
      </c>
    </row>
    <row r="125" spans="2:6">
      <c r="B125" s="602">
        <f t="shared" si="9"/>
        <v>-76</v>
      </c>
      <c r="C125" s="603">
        <f t="shared" si="10"/>
        <v>-84</v>
      </c>
      <c r="D125" s="604" t="e">
        <f t="shared" si="8"/>
        <v>#DIV/0!</v>
      </c>
      <c r="E125" s="603">
        <v>93</v>
      </c>
      <c r="F125" s="605" t="e">
        <f t="shared" si="11"/>
        <v>#DIV/0!</v>
      </c>
    </row>
    <row r="126" spans="2:6">
      <c r="B126" s="602">
        <f t="shared" si="9"/>
        <v>-77</v>
      </c>
      <c r="C126" s="603">
        <f t="shared" si="10"/>
        <v>-85</v>
      </c>
      <c r="D126" s="604" t="e">
        <f t="shared" si="8"/>
        <v>#DIV/0!</v>
      </c>
      <c r="E126" s="603">
        <v>94</v>
      </c>
      <c r="F126" s="605" t="e">
        <f t="shared" si="11"/>
        <v>#DIV/0!</v>
      </c>
    </row>
    <row r="127" spans="2:6">
      <c r="B127" s="602">
        <f t="shared" si="9"/>
        <v>-78</v>
      </c>
      <c r="C127" s="603">
        <f t="shared" si="10"/>
        <v>-86</v>
      </c>
      <c r="D127" s="604" t="e">
        <f t="shared" si="8"/>
        <v>#DIV/0!</v>
      </c>
      <c r="E127" s="603">
        <v>95</v>
      </c>
      <c r="F127" s="605" t="e">
        <f t="shared" si="11"/>
        <v>#DIV/0!</v>
      </c>
    </row>
    <row r="128" spans="2:6">
      <c r="B128" s="602">
        <f t="shared" si="9"/>
        <v>-79</v>
      </c>
      <c r="C128" s="603">
        <f t="shared" si="10"/>
        <v>-87</v>
      </c>
      <c r="D128" s="604" t="e">
        <f t="shared" si="8"/>
        <v>#DIV/0!</v>
      </c>
      <c r="E128" s="603">
        <v>96</v>
      </c>
      <c r="F128" s="605" t="e">
        <f t="shared" si="11"/>
        <v>#DIV/0!</v>
      </c>
    </row>
    <row r="129" spans="2:6">
      <c r="B129" s="602">
        <f t="shared" si="9"/>
        <v>-80</v>
      </c>
      <c r="C129" s="603">
        <f t="shared" si="10"/>
        <v>-88</v>
      </c>
      <c r="D129" s="604" t="e">
        <f t="shared" si="8"/>
        <v>#DIV/0!</v>
      </c>
      <c r="E129" s="603">
        <v>97</v>
      </c>
      <c r="F129" s="605" t="e">
        <f t="shared" si="11"/>
        <v>#DIV/0!</v>
      </c>
    </row>
    <row r="130" spans="2:6">
      <c r="B130" s="602">
        <f t="shared" si="9"/>
        <v>-81</v>
      </c>
      <c r="C130" s="603">
        <f t="shared" si="10"/>
        <v>-89</v>
      </c>
      <c r="D130" s="604" t="e">
        <f t="shared" si="8"/>
        <v>#DIV/0!</v>
      </c>
      <c r="E130" s="603">
        <v>98</v>
      </c>
      <c r="F130" s="605" t="e">
        <f t="shared" si="11"/>
        <v>#DIV/0!</v>
      </c>
    </row>
    <row r="131" spans="2:6">
      <c r="B131" s="602">
        <f t="shared" si="9"/>
        <v>-82</v>
      </c>
      <c r="C131" s="603">
        <f t="shared" si="10"/>
        <v>-90</v>
      </c>
      <c r="D131" s="604" t="e">
        <f t="shared" si="8"/>
        <v>#DIV/0!</v>
      </c>
      <c r="E131" s="603">
        <v>99</v>
      </c>
      <c r="F131" s="605" t="e">
        <f t="shared" si="11"/>
        <v>#DIV/0!</v>
      </c>
    </row>
    <row r="132" spans="2:6" ht="13.5" thickBot="1">
      <c r="B132" s="606">
        <f t="shared" si="9"/>
        <v>-83</v>
      </c>
      <c r="C132" s="607">
        <f t="shared" si="10"/>
        <v>-91</v>
      </c>
      <c r="D132" s="608" t="e">
        <f t="shared" si="8"/>
        <v>#DIV/0!</v>
      </c>
      <c r="E132" s="607">
        <v>100</v>
      </c>
      <c r="F132" s="609" t="e">
        <f t="shared" si="11"/>
        <v>#DIV/0!</v>
      </c>
    </row>
  </sheetData>
  <sheetProtection password="CC08" sheet="1" objects="1" scenarios="1"/>
  <protectedRanges>
    <protectedRange sqref="C3:C7 C21:C23" name="Range1"/>
  </protectedRanges>
  <phoneticPr fontId="100" type="noConversion"/>
  <conditionalFormatting sqref="D24">
    <cfRule type="cellIs" dxfId="22" priority="1" stopIfTrue="1" operator="equal">
      <formula>""</formula>
    </cfRule>
  </conditionalFormatting>
  <printOptions gridLinesSet="0"/>
  <pageMargins left="0.75" right="0.75" top="1" bottom="1" header="0.5" footer="0.5"/>
  <pageSetup orientation="landscape" r:id="rId1"/>
  <headerFooter alignWithMargins="0">
    <oddHeader>&amp;A</oddHeader>
    <oddFooter>Page &amp;P</oddFooter>
  </headerFooter>
  <drawing r:id="rId2"/>
  <legacyDrawing r:id="rId3"/>
  <oleObjects>
    <oleObject progId="Visio.Drawing.11" shapeId="48130" r:id="rId4"/>
    <oleObject progId="Equation.3" shapeId="48132" r:id="rId5"/>
  </oleObjects>
  <controls>
    <control shapeId="48133" r:id="rId6" name="MainMenu"/>
  </controls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2"/>
  <dimension ref="A1:BH114"/>
  <sheetViews>
    <sheetView showGridLines="0" zoomScale="70" workbookViewId="0">
      <selection activeCell="S5" sqref="S5"/>
    </sheetView>
  </sheetViews>
  <sheetFormatPr defaultColWidth="8" defaultRowHeight="12.75"/>
  <cols>
    <col min="1" max="1" width="8" style="560" customWidth="1"/>
    <col min="2" max="2" width="7.42578125" style="560" customWidth="1"/>
    <col min="3" max="10" width="8" style="560" customWidth="1"/>
    <col min="11" max="19" width="6.7109375" style="560" customWidth="1"/>
    <col min="20" max="20" width="11" style="560" customWidth="1"/>
    <col min="21" max="21" width="7.5703125" style="560" customWidth="1"/>
    <col min="22" max="24" width="8" style="560" customWidth="1"/>
    <col min="25" max="25" width="9" style="560" customWidth="1"/>
    <col min="26" max="16384" width="8" style="560"/>
  </cols>
  <sheetData>
    <row r="1" spans="2:60">
      <c r="B1" s="571" t="s">
        <v>445</v>
      </c>
      <c r="C1" s="958"/>
      <c r="D1" s="959"/>
      <c r="E1" s="959"/>
      <c r="F1" s="959"/>
      <c r="G1" s="960"/>
      <c r="H1" s="610" t="s">
        <v>865</v>
      </c>
      <c r="I1" s="610" t="s">
        <v>866</v>
      </c>
      <c r="M1" s="664" t="s">
        <v>855</v>
      </c>
      <c r="N1" s="567">
        <f>1-C5</f>
        <v>5.0000000000000044E-2</v>
      </c>
    </row>
    <row r="2" spans="2:60">
      <c r="B2" s="571" t="s">
        <v>868</v>
      </c>
      <c r="C2" s="958"/>
      <c r="D2" s="959"/>
      <c r="E2" s="959"/>
      <c r="F2" s="959"/>
      <c r="G2" s="960"/>
      <c r="H2" s="954"/>
      <c r="I2" s="954"/>
      <c r="M2" s="665" t="s">
        <v>924</v>
      </c>
      <c r="N2" s="567">
        <f>1-((1-N1)^(1/7))</f>
        <v>7.3008319790146547E-3</v>
      </c>
      <c r="X2" s="1533">
        <f>C1</f>
        <v>0</v>
      </c>
      <c r="Y2" s="1533"/>
      <c r="Z2" s="1533"/>
      <c r="AA2" s="1533"/>
      <c r="AB2" s="1533"/>
      <c r="AC2" s="1533"/>
      <c r="AH2" s="1533">
        <f>C1</f>
        <v>0</v>
      </c>
      <c r="AI2" s="1533"/>
      <c r="AJ2" s="1533"/>
      <c r="AK2" s="1533"/>
      <c r="AL2" s="1533"/>
      <c r="AM2" s="1533"/>
      <c r="AQ2" s="1533" t="s">
        <v>867</v>
      </c>
      <c r="AR2" s="1533"/>
      <c r="AS2" s="1533"/>
      <c r="AT2" s="1533"/>
      <c r="AU2" s="1533"/>
      <c r="AV2" s="1533"/>
      <c r="AW2" s="1533"/>
      <c r="AX2" s="1533"/>
      <c r="BA2" s="1533" t="s">
        <v>981</v>
      </c>
      <c r="BB2" s="1533"/>
      <c r="BC2" s="1533"/>
      <c r="BD2" s="1533"/>
      <c r="BE2" s="1533"/>
      <c r="BF2" s="1533"/>
      <c r="BG2" s="1533"/>
      <c r="BH2" s="1533"/>
    </row>
    <row r="3" spans="2:60">
      <c r="B3" s="571" t="s">
        <v>869</v>
      </c>
      <c r="C3" s="958"/>
      <c r="D3" s="959"/>
      <c r="E3" s="959"/>
      <c r="F3" s="959"/>
      <c r="G3" s="960"/>
      <c r="H3" s="954"/>
      <c r="I3" s="954"/>
      <c r="M3" s="666" t="s">
        <v>857</v>
      </c>
      <c r="N3" s="567">
        <f>1-N2</f>
        <v>0.99269916802098535</v>
      </c>
      <c r="AQ3" s="1533">
        <f>C1</f>
        <v>0</v>
      </c>
      <c r="AR3" s="1533"/>
      <c r="AS3" s="1533"/>
      <c r="AT3" s="1533"/>
      <c r="AU3" s="1533"/>
      <c r="AV3" s="1533"/>
      <c r="AW3" s="1533"/>
      <c r="AX3" s="1533"/>
      <c r="BA3" s="1533">
        <f>C1</f>
        <v>0</v>
      </c>
      <c r="BB3" s="1533"/>
      <c r="BC3" s="1533"/>
      <c r="BD3" s="1533"/>
      <c r="BE3" s="1533"/>
      <c r="BF3" s="1533"/>
      <c r="BG3" s="1533"/>
      <c r="BH3" s="1533"/>
    </row>
    <row r="4" spans="2:60">
      <c r="B4" s="571" t="s">
        <v>973</v>
      </c>
      <c r="C4" s="958"/>
      <c r="D4" s="959"/>
      <c r="E4" s="959"/>
      <c r="F4" s="959"/>
      <c r="G4" s="960"/>
      <c r="H4" s="954"/>
      <c r="I4" s="954"/>
    </row>
    <row r="5" spans="2:60">
      <c r="B5" s="571" t="s">
        <v>919</v>
      </c>
      <c r="C5" s="954">
        <v>0.95</v>
      </c>
      <c r="E5" s="570" t="s">
        <v>986</v>
      </c>
      <c r="AQ5" s="1533">
        <f>C2</f>
        <v>0</v>
      </c>
      <c r="AR5" s="1533"/>
      <c r="AS5" s="1533"/>
      <c r="AT5" s="1533"/>
      <c r="AU5" s="1533"/>
      <c r="AV5" s="1533"/>
      <c r="AW5" s="1533"/>
      <c r="AX5" s="1533"/>
    </row>
    <row r="7" spans="2:60" ht="15.75">
      <c r="B7" s="614" t="s">
        <v>992</v>
      </c>
      <c r="C7" s="615"/>
      <c r="D7" s="615"/>
      <c r="E7" s="615"/>
      <c r="F7" s="615"/>
      <c r="G7" s="615"/>
    </row>
    <row r="8" spans="2:60">
      <c r="C8" s="615"/>
      <c r="D8" s="615"/>
      <c r="E8" s="615"/>
      <c r="F8" s="615"/>
      <c r="G8" s="615"/>
      <c r="L8" s="614" t="s">
        <v>891</v>
      </c>
      <c r="M8" s="615"/>
      <c r="N8" s="615"/>
      <c r="O8" s="615"/>
      <c r="P8" s="615"/>
      <c r="Q8" s="615"/>
      <c r="R8" s="615"/>
      <c r="S8" s="615"/>
      <c r="T8" s="615"/>
    </row>
    <row r="9" spans="2:60">
      <c r="D9" s="614" t="s">
        <v>870</v>
      </c>
      <c r="E9" s="614"/>
      <c r="F9" s="616" t="s">
        <v>871</v>
      </c>
      <c r="G9" s="614"/>
      <c r="K9" s="667"/>
      <c r="L9" s="615" t="s">
        <v>893</v>
      </c>
      <c r="M9" s="615"/>
      <c r="N9" s="615"/>
      <c r="O9" s="615"/>
      <c r="P9" s="615"/>
      <c r="Q9" s="615"/>
      <c r="R9" s="615"/>
      <c r="S9" s="615"/>
      <c r="T9" s="615"/>
    </row>
    <row r="10" spans="2:60">
      <c r="B10" s="1534" t="s">
        <v>933</v>
      </c>
      <c r="C10" s="1538" t="s">
        <v>873</v>
      </c>
      <c r="D10" s="668" t="s">
        <v>872</v>
      </c>
      <c r="E10" s="955"/>
      <c r="F10" s="669" t="s">
        <v>460</v>
      </c>
      <c r="G10" s="955"/>
    </row>
    <row r="11" spans="2:60">
      <c r="B11" s="1535"/>
      <c r="C11" s="1539"/>
      <c r="D11" s="617"/>
      <c r="E11" s="956"/>
      <c r="F11" s="617"/>
      <c r="G11" s="956"/>
      <c r="K11" s="621" t="s">
        <v>896</v>
      </c>
      <c r="M11" s="670" t="s">
        <v>929</v>
      </c>
      <c r="N11" s="671"/>
      <c r="O11" s="671"/>
      <c r="P11" s="671"/>
      <c r="Q11" s="671"/>
      <c r="R11" s="671"/>
      <c r="S11" s="637"/>
      <c r="U11" s="621" t="s">
        <v>898</v>
      </c>
    </row>
    <row r="12" spans="2:60">
      <c r="B12" s="1535"/>
      <c r="C12" s="1538" t="s">
        <v>876</v>
      </c>
      <c r="D12" s="669" t="s">
        <v>874</v>
      </c>
      <c r="E12" s="955"/>
      <c r="F12" s="669" t="s">
        <v>875</v>
      </c>
      <c r="G12" s="955"/>
      <c r="K12" s="1359" t="s">
        <v>899</v>
      </c>
      <c r="L12" s="620" t="s">
        <v>879</v>
      </c>
      <c r="M12" s="620" t="s">
        <v>114</v>
      </c>
      <c r="N12" s="620" t="s">
        <v>115</v>
      </c>
      <c r="O12" s="620" t="s">
        <v>886</v>
      </c>
      <c r="P12" s="620" t="s">
        <v>847</v>
      </c>
      <c r="Q12" s="620" t="s">
        <v>930</v>
      </c>
      <c r="R12" s="620" t="s">
        <v>931</v>
      </c>
      <c r="S12" s="620" t="s">
        <v>932</v>
      </c>
      <c r="T12" s="620" t="s">
        <v>880</v>
      </c>
      <c r="U12" s="638" t="s">
        <v>899</v>
      </c>
    </row>
    <row r="13" spans="2:60">
      <c r="B13" s="1536"/>
      <c r="C13" s="1532"/>
      <c r="D13" s="617"/>
      <c r="E13" s="956"/>
      <c r="F13" s="617"/>
      <c r="G13" s="956"/>
      <c r="K13" s="972">
        <v>1</v>
      </c>
      <c r="L13" s="1357" t="s">
        <v>872</v>
      </c>
      <c r="M13" s="639" t="s">
        <v>900</v>
      </c>
      <c r="N13" s="639" t="s">
        <v>900</v>
      </c>
      <c r="O13" s="639" t="s">
        <v>901</v>
      </c>
      <c r="P13" s="639" t="s">
        <v>900</v>
      </c>
      <c r="Q13" s="639" t="s">
        <v>901</v>
      </c>
      <c r="R13" s="639" t="s">
        <v>901</v>
      </c>
      <c r="S13" s="639" t="s">
        <v>900</v>
      </c>
      <c r="T13" s="640"/>
      <c r="U13" s="641">
        <v>1</v>
      </c>
    </row>
    <row r="14" spans="2:60">
      <c r="B14" s="1537" t="s">
        <v>937</v>
      </c>
      <c r="C14" s="1531" t="s">
        <v>873</v>
      </c>
      <c r="D14" s="669" t="s">
        <v>934</v>
      </c>
      <c r="E14" s="955"/>
      <c r="F14" s="669" t="s">
        <v>935</v>
      </c>
      <c r="G14" s="955"/>
      <c r="K14" s="972">
        <v>7</v>
      </c>
      <c r="L14" s="1358" t="s">
        <v>460</v>
      </c>
      <c r="M14" s="639" t="s">
        <v>901</v>
      </c>
      <c r="N14" s="639" t="s">
        <v>900</v>
      </c>
      <c r="O14" s="639" t="s">
        <v>900</v>
      </c>
      <c r="P14" s="639" t="s">
        <v>900</v>
      </c>
      <c r="Q14" s="639" t="s">
        <v>900</v>
      </c>
      <c r="R14" s="639" t="s">
        <v>901</v>
      </c>
      <c r="S14" s="639" t="s">
        <v>901</v>
      </c>
      <c r="T14" s="640"/>
      <c r="U14" s="641">
        <v>2</v>
      </c>
    </row>
    <row r="15" spans="2:60">
      <c r="B15" s="1535"/>
      <c r="C15" s="1532"/>
      <c r="D15" s="617"/>
      <c r="E15" s="956"/>
      <c r="F15" s="617"/>
      <c r="G15" s="956"/>
      <c r="K15" s="972">
        <v>8</v>
      </c>
      <c r="L15" s="1358" t="s">
        <v>874</v>
      </c>
      <c r="M15" s="639" t="s">
        <v>900</v>
      </c>
      <c r="N15" s="639" t="s">
        <v>901</v>
      </c>
      <c r="O15" s="639" t="s">
        <v>900</v>
      </c>
      <c r="P15" s="639" t="s">
        <v>900</v>
      </c>
      <c r="Q15" s="639" t="s">
        <v>901</v>
      </c>
      <c r="R15" s="639" t="s">
        <v>900</v>
      </c>
      <c r="S15" s="639" t="s">
        <v>901</v>
      </c>
      <c r="T15" s="640"/>
      <c r="U15" s="641">
        <v>3</v>
      </c>
    </row>
    <row r="16" spans="2:60">
      <c r="B16" s="1535"/>
      <c r="C16" s="1531" t="s">
        <v>876</v>
      </c>
      <c r="D16" s="669" t="s">
        <v>936</v>
      </c>
      <c r="E16" s="955"/>
      <c r="F16" s="669" t="s">
        <v>938</v>
      </c>
      <c r="G16" s="955"/>
      <c r="K16" s="972">
        <v>6</v>
      </c>
      <c r="L16" s="1358" t="s">
        <v>875</v>
      </c>
      <c r="M16" s="639" t="s">
        <v>901</v>
      </c>
      <c r="N16" s="639" t="s">
        <v>901</v>
      </c>
      <c r="O16" s="639" t="s">
        <v>901</v>
      </c>
      <c r="P16" s="639" t="s">
        <v>900</v>
      </c>
      <c r="Q16" s="639" t="s">
        <v>900</v>
      </c>
      <c r="R16" s="639" t="s">
        <v>900</v>
      </c>
      <c r="S16" s="639" t="s">
        <v>900</v>
      </c>
      <c r="T16" s="640"/>
      <c r="U16" s="641">
        <v>4</v>
      </c>
    </row>
    <row r="17" spans="1:50">
      <c r="B17" s="1535"/>
      <c r="C17" s="1532"/>
      <c r="D17" s="618"/>
      <c r="E17" s="957"/>
      <c r="F17" s="618"/>
      <c r="G17" s="957"/>
      <c r="K17" s="972">
        <v>10</v>
      </c>
      <c r="L17" s="1358" t="s">
        <v>934</v>
      </c>
      <c r="M17" s="639" t="s">
        <v>900</v>
      </c>
      <c r="N17" s="639" t="s">
        <v>900</v>
      </c>
      <c r="O17" s="639" t="s">
        <v>901</v>
      </c>
      <c r="P17" s="639" t="s">
        <v>901</v>
      </c>
      <c r="Q17" s="639" t="s">
        <v>900</v>
      </c>
      <c r="R17" s="639" t="s">
        <v>900</v>
      </c>
      <c r="S17" s="639" t="s">
        <v>901</v>
      </c>
      <c r="T17" s="640"/>
      <c r="U17" s="641">
        <v>5</v>
      </c>
    </row>
    <row r="18" spans="1:50">
      <c r="A18" s="612"/>
      <c r="B18" s="612" t="str">
        <f>IF(K13="","Don't forget to enter the random run order of your trials in the ANOVA Table!","")</f>
        <v/>
      </c>
      <c r="K18" s="972">
        <v>12</v>
      </c>
      <c r="L18" s="1358" t="s">
        <v>935</v>
      </c>
      <c r="M18" s="639" t="s">
        <v>901</v>
      </c>
      <c r="N18" s="639" t="s">
        <v>900</v>
      </c>
      <c r="O18" s="639" t="s">
        <v>900</v>
      </c>
      <c r="P18" s="639" t="s">
        <v>901</v>
      </c>
      <c r="Q18" s="639" t="s">
        <v>901</v>
      </c>
      <c r="R18" s="639" t="s">
        <v>900</v>
      </c>
      <c r="S18" s="639" t="s">
        <v>900</v>
      </c>
      <c r="T18" s="640"/>
      <c r="U18" s="641">
        <v>6</v>
      </c>
      <c r="X18" s="1533" t="s">
        <v>927</v>
      </c>
      <c r="Y18" s="1533"/>
      <c r="Z18" s="1533"/>
      <c r="AA18" s="1533"/>
      <c r="AB18" s="1533"/>
      <c r="AC18" s="1533"/>
    </row>
    <row r="19" spans="1:50">
      <c r="A19" s="614" t="s">
        <v>926</v>
      </c>
      <c r="B19" s="615"/>
      <c r="C19" s="615"/>
      <c r="D19" s="615"/>
      <c r="E19" s="615"/>
      <c r="F19" s="615"/>
      <c r="G19" s="615"/>
      <c r="H19" s="615"/>
      <c r="I19" s="615"/>
      <c r="K19" s="972">
        <v>15</v>
      </c>
      <c r="L19" s="1358" t="s">
        <v>936</v>
      </c>
      <c r="M19" s="639" t="s">
        <v>900</v>
      </c>
      <c r="N19" s="639" t="s">
        <v>901</v>
      </c>
      <c r="O19" s="639" t="s">
        <v>900</v>
      </c>
      <c r="P19" s="639" t="s">
        <v>901</v>
      </c>
      <c r="Q19" s="639" t="s">
        <v>900</v>
      </c>
      <c r="R19" s="639" t="s">
        <v>901</v>
      </c>
      <c r="S19" s="639" t="s">
        <v>900</v>
      </c>
      <c r="T19" s="640"/>
      <c r="U19" s="641">
        <v>7</v>
      </c>
      <c r="X19" s="1533" t="s">
        <v>928</v>
      </c>
      <c r="Y19" s="1533"/>
      <c r="Z19" s="1533"/>
      <c r="AA19" s="1533"/>
      <c r="AB19" s="1533"/>
      <c r="AC19" s="1533"/>
    </row>
    <row r="20" spans="1:50">
      <c r="A20" s="615" t="s">
        <v>878</v>
      </c>
      <c r="B20" s="615"/>
      <c r="C20" s="615"/>
      <c r="D20" s="615"/>
      <c r="E20" s="615"/>
      <c r="F20" s="615"/>
      <c r="G20" s="615"/>
      <c r="H20" s="615"/>
      <c r="I20" s="615"/>
      <c r="K20" s="972">
        <v>3</v>
      </c>
      <c r="L20" s="1358" t="s">
        <v>938</v>
      </c>
      <c r="M20" s="643" t="s">
        <v>901</v>
      </c>
      <c r="N20" s="643" t="s">
        <v>901</v>
      </c>
      <c r="O20" s="643" t="s">
        <v>901</v>
      </c>
      <c r="P20" s="643" t="s">
        <v>901</v>
      </c>
      <c r="Q20" s="643" t="s">
        <v>901</v>
      </c>
      <c r="R20" s="643" t="s">
        <v>901</v>
      </c>
      <c r="S20" s="643" t="s">
        <v>901</v>
      </c>
      <c r="T20" s="644"/>
      <c r="U20" s="641">
        <v>8</v>
      </c>
      <c r="AQ20" s="1533">
        <f>C3</f>
        <v>0</v>
      </c>
      <c r="AR20" s="1533"/>
      <c r="AS20" s="1533"/>
      <c r="AT20" s="1533"/>
      <c r="AU20" s="1533"/>
      <c r="AV20" s="1533"/>
      <c r="AW20" s="1533"/>
      <c r="AX20" s="1533"/>
    </row>
    <row r="21" spans="1:50">
      <c r="K21" s="972">
        <v>2</v>
      </c>
      <c r="L21" s="1357" t="s">
        <v>872</v>
      </c>
      <c r="M21" s="639" t="s">
        <v>900</v>
      </c>
      <c r="N21" s="639" t="s">
        <v>900</v>
      </c>
      <c r="O21" s="639" t="s">
        <v>901</v>
      </c>
      <c r="P21" s="639" t="s">
        <v>900</v>
      </c>
      <c r="Q21" s="639" t="s">
        <v>901</v>
      </c>
      <c r="R21" s="639" t="s">
        <v>901</v>
      </c>
      <c r="S21" s="639" t="s">
        <v>900</v>
      </c>
      <c r="T21" s="640"/>
      <c r="U21" s="641">
        <v>9</v>
      </c>
    </row>
    <row r="22" spans="1:50">
      <c r="A22" s="620" t="s">
        <v>879</v>
      </c>
      <c r="B22" s="620" t="s">
        <v>880</v>
      </c>
      <c r="C22" s="620">
        <v>1</v>
      </c>
      <c r="D22" s="620">
        <v>2</v>
      </c>
      <c r="E22" s="620">
        <v>3</v>
      </c>
      <c r="F22" s="672" t="s">
        <v>993</v>
      </c>
      <c r="I22" s="673" t="s">
        <v>881</v>
      </c>
      <c r="K22" s="972">
        <v>4</v>
      </c>
      <c r="L22" s="1358" t="s">
        <v>460</v>
      </c>
      <c r="M22" s="639" t="s">
        <v>901</v>
      </c>
      <c r="N22" s="639" t="s">
        <v>900</v>
      </c>
      <c r="O22" s="639" t="s">
        <v>900</v>
      </c>
      <c r="P22" s="639" t="s">
        <v>900</v>
      </c>
      <c r="Q22" s="639" t="s">
        <v>900</v>
      </c>
      <c r="R22" s="639" t="s">
        <v>901</v>
      </c>
      <c r="S22" s="639" t="s">
        <v>901</v>
      </c>
      <c r="T22" s="640"/>
      <c r="U22" s="641">
        <v>10</v>
      </c>
    </row>
    <row r="23" spans="1:50">
      <c r="A23" s="622" t="s">
        <v>872</v>
      </c>
      <c r="B23" s="623" t="e">
        <f>AVERAGE(E10:E11)</f>
        <v>#DIV/0!</v>
      </c>
      <c r="C23" s="624" t="e">
        <f>B24+B23</f>
        <v>#DIV/0!</v>
      </c>
      <c r="D23" s="624" t="e">
        <f>C24+C23</f>
        <v>#DIV/0!</v>
      </c>
      <c r="E23" s="628" t="e">
        <f>D24+D23</f>
        <v>#DIV/0!</v>
      </c>
      <c r="F23" s="625" t="s">
        <v>994</v>
      </c>
      <c r="G23" s="674" t="s">
        <v>882</v>
      </c>
      <c r="H23" s="620" t="s">
        <v>883</v>
      </c>
      <c r="I23" s="625" t="s">
        <v>884</v>
      </c>
      <c r="K23" s="972">
        <v>11</v>
      </c>
      <c r="L23" s="1358" t="s">
        <v>874</v>
      </c>
      <c r="M23" s="639" t="s">
        <v>900</v>
      </c>
      <c r="N23" s="639" t="s">
        <v>901</v>
      </c>
      <c r="O23" s="639" t="s">
        <v>900</v>
      </c>
      <c r="P23" s="639" t="s">
        <v>900</v>
      </c>
      <c r="Q23" s="639" t="s">
        <v>901</v>
      </c>
      <c r="R23" s="639" t="s">
        <v>900</v>
      </c>
      <c r="S23" s="639" t="s">
        <v>901</v>
      </c>
      <c r="T23" s="640"/>
      <c r="U23" s="641">
        <v>11</v>
      </c>
    </row>
    <row r="24" spans="1:50">
      <c r="A24" s="626" t="s">
        <v>460</v>
      </c>
      <c r="B24" s="623" t="e">
        <f>AVERAGE(G10:G11)</f>
        <v>#DIV/0!</v>
      </c>
      <c r="C24" s="633" t="e">
        <f>B26+B25</f>
        <v>#DIV/0!</v>
      </c>
      <c r="D24" s="633" t="e">
        <f>C26+C25</f>
        <v>#DIV/0!</v>
      </c>
      <c r="E24" s="633" t="e">
        <f>D26+D25</f>
        <v>#DIV/0!</v>
      </c>
      <c r="F24" s="627" t="e">
        <f t="shared" ref="F24:F30" si="0">E24/4</f>
        <v>#DIV/0!</v>
      </c>
      <c r="G24" s="620" t="s">
        <v>114</v>
      </c>
      <c r="H24" s="627" t="e">
        <f>LOOKUP(I$24,Q$88:Q$94,R$88:R$94)</f>
        <v>#DIV/0!</v>
      </c>
      <c r="I24" s="627" t="e">
        <f t="shared" ref="I24:I30" si="1">ABS(F24)</f>
        <v>#DIV/0!</v>
      </c>
      <c r="K24" s="972">
        <v>14</v>
      </c>
      <c r="L24" s="1358" t="s">
        <v>875</v>
      </c>
      <c r="M24" s="639" t="s">
        <v>901</v>
      </c>
      <c r="N24" s="639" t="s">
        <v>901</v>
      </c>
      <c r="O24" s="639" t="s">
        <v>901</v>
      </c>
      <c r="P24" s="639" t="s">
        <v>900</v>
      </c>
      <c r="Q24" s="639" t="s">
        <v>900</v>
      </c>
      <c r="R24" s="639" t="s">
        <v>900</v>
      </c>
      <c r="S24" s="639" t="s">
        <v>900</v>
      </c>
      <c r="T24" s="640"/>
      <c r="U24" s="641">
        <v>12</v>
      </c>
    </row>
    <row r="25" spans="1:50">
      <c r="A25" s="626" t="s">
        <v>874</v>
      </c>
      <c r="B25" s="623" t="e">
        <f>AVERAGE(E12:E13)</f>
        <v>#DIV/0!</v>
      </c>
      <c r="C25" s="624" t="e">
        <f>B28+B27</f>
        <v>#DIV/0!</v>
      </c>
      <c r="D25" s="624" t="e">
        <f>C28+C27</f>
        <v>#DIV/0!</v>
      </c>
      <c r="E25" s="624" t="e">
        <f>D28+D27</f>
        <v>#DIV/0!</v>
      </c>
      <c r="F25" s="627" t="e">
        <f t="shared" si="0"/>
        <v>#DIV/0!</v>
      </c>
      <c r="G25" s="620" t="s">
        <v>115</v>
      </c>
      <c r="H25" s="627" t="e">
        <f>LOOKUP(I$25,Q$88:Q$94,R$88:R$94)</f>
        <v>#DIV/0!</v>
      </c>
      <c r="I25" s="627" t="e">
        <f t="shared" si="1"/>
        <v>#DIV/0!</v>
      </c>
      <c r="K25" s="972">
        <v>16</v>
      </c>
      <c r="L25" s="1358" t="s">
        <v>934</v>
      </c>
      <c r="M25" s="639" t="s">
        <v>900</v>
      </c>
      <c r="N25" s="639" t="s">
        <v>900</v>
      </c>
      <c r="O25" s="639" t="s">
        <v>901</v>
      </c>
      <c r="P25" s="639" t="s">
        <v>901</v>
      </c>
      <c r="Q25" s="639" t="s">
        <v>900</v>
      </c>
      <c r="R25" s="639" t="s">
        <v>900</v>
      </c>
      <c r="S25" s="639" t="s">
        <v>901</v>
      </c>
      <c r="T25" s="640"/>
      <c r="U25" s="641">
        <v>13</v>
      </c>
    </row>
    <row r="26" spans="1:50">
      <c r="A26" s="626" t="s">
        <v>875</v>
      </c>
      <c r="B26" s="623" t="e">
        <f>AVERAGE(G12:G13)</f>
        <v>#DIV/0!</v>
      </c>
      <c r="C26" s="633" t="e">
        <f>B30+B29</f>
        <v>#DIV/0!</v>
      </c>
      <c r="D26" s="633" t="e">
        <f>C30+C29</f>
        <v>#DIV/0!</v>
      </c>
      <c r="E26" s="633" t="e">
        <f>D30+D29</f>
        <v>#DIV/0!</v>
      </c>
      <c r="F26" s="627" t="e">
        <f t="shared" si="0"/>
        <v>#DIV/0!</v>
      </c>
      <c r="G26" s="620" t="s">
        <v>886</v>
      </c>
      <c r="H26" s="627" t="e">
        <f>LOOKUP(I$26,Q$88:Q$94,R$88:R$94)</f>
        <v>#DIV/0!</v>
      </c>
      <c r="I26" s="627" t="e">
        <f t="shared" si="1"/>
        <v>#DIV/0!</v>
      </c>
      <c r="K26" s="972">
        <v>9</v>
      </c>
      <c r="L26" s="1358" t="s">
        <v>935</v>
      </c>
      <c r="M26" s="639" t="s">
        <v>901</v>
      </c>
      <c r="N26" s="639" t="s">
        <v>900</v>
      </c>
      <c r="O26" s="639" t="s">
        <v>900</v>
      </c>
      <c r="P26" s="639" t="s">
        <v>901</v>
      </c>
      <c r="Q26" s="639" t="s">
        <v>901</v>
      </c>
      <c r="R26" s="639" t="s">
        <v>900</v>
      </c>
      <c r="S26" s="639" t="s">
        <v>900</v>
      </c>
      <c r="T26" s="640"/>
      <c r="U26" s="641">
        <v>14</v>
      </c>
    </row>
    <row r="27" spans="1:50">
      <c r="A27" s="626" t="s">
        <v>934</v>
      </c>
      <c r="B27" s="623" t="e">
        <f>AVERAGE(E14:E15)</f>
        <v>#DIV/0!</v>
      </c>
      <c r="C27" s="624" t="e">
        <f>B24-B23</f>
        <v>#DIV/0!</v>
      </c>
      <c r="D27" s="624" t="e">
        <f>C24-C23</f>
        <v>#DIV/0!</v>
      </c>
      <c r="E27" s="624" t="e">
        <f>D24-D23</f>
        <v>#DIV/0!</v>
      </c>
      <c r="F27" s="627" t="e">
        <f t="shared" si="0"/>
        <v>#DIV/0!</v>
      </c>
      <c r="G27" s="620" t="s">
        <v>847</v>
      </c>
      <c r="H27" s="627" t="e">
        <f>LOOKUP(I$27,Q$88:Q$94,R$88:R$94)</f>
        <v>#DIV/0!</v>
      </c>
      <c r="I27" s="627" t="e">
        <f t="shared" si="1"/>
        <v>#DIV/0!</v>
      </c>
      <c r="K27" s="972">
        <v>5</v>
      </c>
      <c r="L27" s="1358" t="s">
        <v>936</v>
      </c>
      <c r="M27" s="639" t="s">
        <v>900</v>
      </c>
      <c r="N27" s="639" t="s">
        <v>901</v>
      </c>
      <c r="O27" s="639" t="s">
        <v>900</v>
      </c>
      <c r="P27" s="639" t="s">
        <v>901</v>
      </c>
      <c r="Q27" s="639" t="s">
        <v>900</v>
      </c>
      <c r="R27" s="639" t="s">
        <v>901</v>
      </c>
      <c r="S27" s="639" t="s">
        <v>900</v>
      </c>
      <c r="T27" s="640"/>
      <c r="U27" s="641">
        <v>15</v>
      </c>
    </row>
    <row r="28" spans="1:50">
      <c r="A28" s="626" t="s">
        <v>935</v>
      </c>
      <c r="B28" s="623" t="e">
        <f>AVERAGE(G14:G15)</f>
        <v>#DIV/0!</v>
      </c>
      <c r="C28" s="633" t="e">
        <f>B26-B25</f>
        <v>#DIV/0!</v>
      </c>
      <c r="D28" s="633" t="e">
        <f>C26-C25</f>
        <v>#DIV/0!</v>
      </c>
      <c r="E28" s="633" t="e">
        <f>D26-D25</f>
        <v>#DIV/0!</v>
      </c>
      <c r="F28" s="627" t="e">
        <f t="shared" si="0"/>
        <v>#DIV/0!</v>
      </c>
      <c r="G28" s="620" t="s">
        <v>930</v>
      </c>
      <c r="H28" s="627" t="e">
        <f>LOOKUP(I$28,Q$88:Q$94,R$88:R$94)</f>
        <v>#DIV/0!</v>
      </c>
      <c r="I28" s="627" t="e">
        <f t="shared" si="1"/>
        <v>#DIV/0!</v>
      </c>
      <c r="K28" s="972">
        <v>13</v>
      </c>
      <c r="L28" s="1358" t="s">
        <v>938</v>
      </c>
      <c r="M28" s="643" t="s">
        <v>901</v>
      </c>
      <c r="N28" s="643" t="s">
        <v>901</v>
      </c>
      <c r="O28" s="643" t="s">
        <v>901</v>
      </c>
      <c r="P28" s="643" t="s">
        <v>901</v>
      </c>
      <c r="Q28" s="643" t="s">
        <v>901</v>
      </c>
      <c r="R28" s="643" t="s">
        <v>901</v>
      </c>
      <c r="S28" s="643" t="s">
        <v>901</v>
      </c>
      <c r="T28" s="644"/>
      <c r="U28" s="641">
        <v>16</v>
      </c>
    </row>
    <row r="29" spans="1:50">
      <c r="A29" s="626" t="s">
        <v>936</v>
      </c>
      <c r="B29" s="623" t="e">
        <f>AVERAGE(E16:E17)</f>
        <v>#DIV/0!</v>
      </c>
      <c r="C29" s="624" t="e">
        <f>B28-B27</f>
        <v>#DIV/0!</v>
      </c>
      <c r="D29" s="624" t="e">
        <f>C28-C27</f>
        <v>#DIV/0!</v>
      </c>
      <c r="E29" s="624" t="e">
        <f>D28-D27</f>
        <v>#DIV/0!</v>
      </c>
      <c r="F29" s="627" t="e">
        <f t="shared" si="0"/>
        <v>#DIV/0!</v>
      </c>
      <c r="G29" s="620" t="s">
        <v>931</v>
      </c>
      <c r="H29" s="627" t="e">
        <f>LOOKUP(I$29,Q$88:Q$94,R$88:R$94)</f>
        <v>#DIV/0!</v>
      </c>
      <c r="I29" s="627" t="e">
        <f t="shared" si="1"/>
        <v>#DIV/0!</v>
      </c>
      <c r="L29" s="571" t="s">
        <v>902</v>
      </c>
      <c r="M29" s="611">
        <f t="shared" ref="M29:S29" si="2">IF(M28=M13,0,COUNT(M53:M68))</f>
        <v>2</v>
      </c>
      <c r="N29" s="611">
        <f t="shared" si="2"/>
        <v>4</v>
      </c>
      <c r="O29" s="611">
        <f t="shared" si="2"/>
        <v>0</v>
      </c>
      <c r="P29" s="611">
        <f t="shared" si="2"/>
        <v>8</v>
      </c>
      <c r="Q29" s="611">
        <f t="shared" si="2"/>
        <v>0</v>
      </c>
      <c r="R29" s="611">
        <f t="shared" si="2"/>
        <v>0</v>
      </c>
      <c r="S29" s="611">
        <f t="shared" si="2"/>
        <v>2</v>
      </c>
    </row>
    <row r="30" spans="1:50">
      <c r="A30" s="626" t="s">
        <v>938</v>
      </c>
      <c r="B30" s="623" t="e">
        <f>AVERAGE(G16:G17)</f>
        <v>#DIV/0!</v>
      </c>
      <c r="C30" s="633" t="e">
        <f>B30-B29</f>
        <v>#DIV/0!</v>
      </c>
      <c r="D30" s="633" t="e">
        <f>C30-C29</f>
        <v>#DIV/0!</v>
      </c>
      <c r="E30" s="633" t="e">
        <f>D30-D29</f>
        <v>#DIV/0!</v>
      </c>
      <c r="F30" s="627" t="e">
        <f t="shared" si="0"/>
        <v>#DIV/0!</v>
      </c>
      <c r="G30" s="620" t="s">
        <v>932</v>
      </c>
      <c r="H30" s="627" t="e">
        <f>LOOKUP(I$30,Q$88:Q$94,R$88:R$94)</f>
        <v>#DIV/0!</v>
      </c>
      <c r="I30" s="627" t="e">
        <f t="shared" si="1"/>
        <v>#DIV/0!</v>
      </c>
      <c r="L30" s="571" t="s">
        <v>903</v>
      </c>
      <c r="M30" s="611">
        <f t="shared" ref="M30:S30" si="3">T114</f>
        <v>1</v>
      </c>
      <c r="N30" s="611">
        <f t="shared" si="3"/>
        <v>2</v>
      </c>
      <c r="O30" s="611">
        <f t="shared" si="3"/>
        <v>1</v>
      </c>
      <c r="P30" s="611">
        <f t="shared" si="3"/>
        <v>4</v>
      </c>
      <c r="Q30" s="611">
        <f t="shared" si="3"/>
        <v>1</v>
      </c>
      <c r="R30" s="611">
        <f t="shared" si="3"/>
        <v>2</v>
      </c>
      <c r="S30" s="611">
        <f t="shared" si="3"/>
        <v>1</v>
      </c>
    </row>
    <row r="31" spans="1:50">
      <c r="B31" s="628" t="e">
        <f>SUM(B23:B30)</f>
        <v>#DIV/0!</v>
      </c>
    </row>
    <row r="32" spans="1:50">
      <c r="O32" s="571" t="s">
        <v>987</v>
      </c>
      <c r="P32" s="611">
        <f>P83</f>
        <v>8</v>
      </c>
    </row>
    <row r="33" spans="1:50">
      <c r="A33" s="563" t="s">
        <v>939</v>
      </c>
      <c r="C33" s="619"/>
      <c r="O33" s="571" t="s">
        <v>895</v>
      </c>
      <c r="P33" s="611">
        <f>R109</f>
        <v>6</v>
      </c>
      <c r="W33" s="675" t="s">
        <v>939</v>
      </c>
    </row>
    <row r="34" spans="1:50">
      <c r="A34" s="563">
        <v>1</v>
      </c>
      <c r="B34" s="563" t="e">
        <f>IF(H24=1,G24,IF(H25=1,G25,IF(H26=1,G26,IF(H27=1,G27,IF(H28=1,G28,IF(H29=1,G29,G30))))))</f>
        <v>#DIV/0!</v>
      </c>
      <c r="C34" s="619"/>
      <c r="W34" s="675">
        <v>1</v>
      </c>
      <c r="X34" s="675" t="e">
        <f>B34</f>
        <v>#DIV/0!</v>
      </c>
    </row>
    <row r="35" spans="1:50">
      <c r="A35" s="563">
        <v>2</v>
      </c>
      <c r="B35" s="563" t="e">
        <f>IF(H24=2,G24,IF(H25=2,G25,IF(H26=2,G26,IF(H27=2,G27,IF(H28=2,G28,IF(H29=2,G29,G30))))))</f>
        <v>#DIV/0!</v>
      </c>
      <c r="C35" s="619"/>
      <c r="W35" s="675">
        <v>2</v>
      </c>
      <c r="X35" s="675" t="e">
        <f>B35</f>
        <v>#DIV/0!</v>
      </c>
      <c r="AQ35" s="1533">
        <f>C4</f>
        <v>0</v>
      </c>
      <c r="AR35" s="1533"/>
      <c r="AS35" s="1533"/>
      <c r="AT35" s="1533"/>
      <c r="AU35" s="1533"/>
      <c r="AV35" s="1533"/>
      <c r="AW35" s="1533"/>
      <c r="AX35" s="1533"/>
    </row>
    <row r="36" spans="1:50">
      <c r="P36" s="642"/>
    </row>
    <row r="37" spans="1:50">
      <c r="P37" s="642"/>
      <c r="W37" s="1540" t="s">
        <v>887</v>
      </c>
      <c r="X37" s="1541"/>
      <c r="Y37" s="1541"/>
      <c r="Z37" s="1541"/>
      <c r="AA37" s="1541"/>
      <c r="AB37" s="1541"/>
      <c r="AC37" s="1541"/>
      <c r="AD37" s="636"/>
    </row>
    <row r="38" spans="1:50" ht="13.5" thickBot="1">
      <c r="P38" s="642"/>
      <c r="W38" s="1542" t="s">
        <v>991</v>
      </c>
      <c r="X38" s="1542"/>
      <c r="Y38" s="1542" t="s">
        <v>990</v>
      </c>
      <c r="Z38" s="1542"/>
      <c r="AA38" s="1542"/>
      <c r="AB38" s="1542"/>
      <c r="AC38" s="629" t="s">
        <v>889</v>
      </c>
      <c r="AD38" s="629" t="s">
        <v>890</v>
      </c>
    </row>
    <row r="39" spans="1:50" ht="13.5" thickTop="1">
      <c r="P39" s="645"/>
      <c r="W39" s="618"/>
      <c r="X39" s="676" t="s">
        <v>971</v>
      </c>
      <c r="Y39" s="618">
        <f>C2</f>
        <v>0</v>
      </c>
      <c r="Z39" s="631"/>
      <c r="AA39" s="631"/>
      <c r="AB39" s="632"/>
      <c r="AC39" s="633">
        <f>M29</f>
        <v>2</v>
      </c>
      <c r="AD39" s="633">
        <f>M30</f>
        <v>1</v>
      </c>
    </row>
    <row r="40" spans="1:50">
      <c r="P40" s="642"/>
      <c r="W40" s="634"/>
      <c r="X40" s="677" t="s">
        <v>972</v>
      </c>
      <c r="Y40" s="634">
        <f>C3</f>
        <v>0</v>
      </c>
      <c r="Z40" s="635"/>
      <c r="AA40" s="635"/>
      <c r="AB40" s="636"/>
      <c r="AC40" s="627">
        <f>N29</f>
        <v>4</v>
      </c>
      <c r="AD40" s="627">
        <f>N30</f>
        <v>2</v>
      </c>
    </row>
    <row r="41" spans="1:50">
      <c r="P41" s="642"/>
      <c r="W41" s="634"/>
      <c r="X41" s="677" t="s">
        <v>974</v>
      </c>
      <c r="Y41" s="634">
        <f>C4</f>
        <v>0</v>
      </c>
      <c r="Z41" s="635"/>
      <c r="AA41" s="635"/>
      <c r="AB41" s="636"/>
      <c r="AC41" s="627">
        <f>P29</f>
        <v>8</v>
      </c>
      <c r="AD41" s="627">
        <f>O30</f>
        <v>1</v>
      </c>
    </row>
    <row r="42" spans="1:50">
      <c r="P42" s="642"/>
      <c r="W42" s="634"/>
      <c r="X42" s="677" t="s">
        <v>975</v>
      </c>
      <c r="Y42" s="634" t="s">
        <v>886</v>
      </c>
      <c r="Z42" s="635"/>
      <c r="AA42" s="635"/>
      <c r="AB42" s="636"/>
      <c r="AC42" s="627">
        <f>O29</f>
        <v>0</v>
      </c>
      <c r="AD42" s="627">
        <f>P30</f>
        <v>4</v>
      </c>
    </row>
    <row r="43" spans="1:50">
      <c r="W43" s="634"/>
      <c r="X43" s="677" t="s">
        <v>975</v>
      </c>
      <c r="Y43" s="634" t="s">
        <v>930</v>
      </c>
      <c r="Z43" s="635"/>
      <c r="AA43" s="635"/>
      <c r="AB43" s="636"/>
      <c r="AC43" s="627">
        <f>Q29</f>
        <v>0</v>
      </c>
      <c r="AD43" s="627">
        <f>Q30</f>
        <v>1</v>
      </c>
    </row>
    <row r="44" spans="1:50">
      <c r="P44" s="564"/>
      <c r="W44" s="634"/>
      <c r="X44" s="677" t="s">
        <v>975</v>
      </c>
      <c r="Y44" s="634" t="s">
        <v>931</v>
      </c>
      <c r="Z44" s="635"/>
      <c r="AA44" s="635"/>
      <c r="AB44" s="636"/>
      <c r="AC44" s="627">
        <f>R29</f>
        <v>0</v>
      </c>
      <c r="AD44" s="627">
        <f>R30</f>
        <v>2</v>
      </c>
    </row>
    <row r="45" spans="1:50">
      <c r="P45" s="564"/>
      <c r="W45" s="634"/>
      <c r="X45" s="677" t="s">
        <v>975</v>
      </c>
      <c r="Y45" s="634" t="s">
        <v>932</v>
      </c>
      <c r="Z45" s="635"/>
      <c r="AA45" s="635"/>
      <c r="AB45" s="636"/>
      <c r="AC45" s="627">
        <f>S29</f>
        <v>2</v>
      </c>
      <c r="AD45" s="627">
        <f>S30</f>
        <v>1</v>
      </c>
    </row>
    <row r="46" spans="1:50">
      <c r="P46" s="564"/>
      <c r="X46" s="675"/>
      <c r="Y46" s="675"/>
      <c r="AB46" s="572" t="str">
        <f>O32</f>
        <v xml:space="preserve">Required Endcount:  </v>
      </c>
      <c r="AC46" s="570">
        <f>P32</f>
        <v>8</v>
      </c>
    </row>
    <row r="47" spans="1:50">
      <c r="P47" s="564"/>
      <c r="AC47" s="572" t="s">
        <v>895</v>
      </c>
      <c r="AD47" s="572">
        <f>R109</f>
        <v>6</v>
      </c>
    </row>
    <row r="48" spans="1:50">
      <c r="P48" s="564"/>
    </row>
    <row r="52" spans="1:27">
      <c r="K52" s="647" t="s">
        <v>989</v>
      </c>
      <c r="L52" s="647"/>
      <c r="M52" s="647"/>
      <c r="N52" s="647"/>
      <c r="O52" s="647"/>
      <c r="P52" s="647"/>
      <c r="Q52" s="647"/>
      <c r="R52" s="647"/>
      <c r="S52" s="647"/>
    </row>
    <row r="53" spans="1:27">
      <c r="A53" s="648"/>
      <c r="B53" s="648" t="s">
        <v>904</v>
      </c>
      <c r="C53" s="648" t="s">
        <v>905</v>
      </c>
      <c r="D53" s="648" t="s">
        <v>906</v>
      </c>
      <c r="E53" s="648"/>
      <c r="F53" s="648"/>
      <c r="G53" s="648"/>
      <c r="H53" s="648"/>
      <c r="I53" s="648"/>
      <c r="J53" s="648"/>
      <c r="K53" s="646"/>
      <c r="L53" s="651">
        <v>1</v>
      </c>
      <c r="M53" s="651">
        <f t="shared" ref="M53:S53" si="4">IF(M13="-",-1,1)</f>
        <v>-1</v>
      </c>
      <c r="N53" s="651">
        <f t="shared" si="4"/>
        <v>-1</v>
      </c>
      <c r="O53" s="651">
        <f t="shared" si="4"/>
        <v>1</v>
      </c>
      <c r="P53" s="651">
        <f t="shared" si="4"/>
        <v>-1</v>
      </c>
      <c r="Q53" s="651">
        <f t="shared" si="4"/>
        <v>1</v>
      </c>
      <c r="R53" s="651">
        <f t="shared" si="4"/>
        <v>1</v>
      </c>
      <c r="S53" s="651">
        <f t="shared" si="4"/>
        <v>-1</v>
      </c>
    </row>
    <row r="54" spans="1:27">
      <c r="A54" s="648" t="s">
        <v>870</v>
      </c>
      <c r="B54" s="648" t="e">
        <f>AVERAGE(E10:E17)</f>
        <v>#DIV/0!</v>
      </c>
      <c r="C54" s="648"/>
      <c r="D54" s="648"/>
      <c r="E54" s="648"/>
      <c r="F54" s="648"/>
      <c r="G54" s="648"/>
      <c r="H54" s="648"/>
      <c r="I54" s="648"/>
      <c r="J54" s="648"/>
      <c r="K54" s="646"/>
      <c r="L54" s="651">
        <v>2</v>
      </c>
      <c r="M54" s="651" t="str">
        <f t="shared" ref="M54:S60" si="5">IF(M14=M$13,M53,"")</f>
        <v/>
      </c>
      <c r="N54" s="651">
        <f t="shared" si="5"/>
        <v>-1</v>
      </c>
      <c r="O54" s="651" t="str">
        <f t="shared" si="5"/>
        <v/>
      </c>
      <c r="P54" s="651">
        <f t="shared" si="5"/>
        <v>-1</v>
      </c>
      <c r="Q54" s="651" t="str">
        <f t="shared" si="5"/>
        <v/>
      </c>
      <c r="R54" s="651">
        <f t="shared" si="5"/>
        <v>1</v>
      </c>
      <c r="S54" s="651" t="str">
        <f t="shared" si="5"/>
        <v/>
      </c>
    </row>
    <row r="55" spans="1:27">
      <c r="A55" s="648" t="s">
        <v>908</v>
      </c>
      <c r="B55" s="648" t="e">
        <f>AVERAGE(G10:G17)</f>
        <v>#DIV/0!</v>
      </c>
      <c r="C55" s="648"/>
      <c r="D55" s="648"/>
      <c r="E55" s="648"/>
      <c r="F55" s="648"/>
      <c r="G55" s="648"/>
      <c r="H55" s="648"/>
      <c r="I55" s="648"/>
      <c r="J55" s="648"/>
      <c r="K55" s="646"/>
      <c r="L55" s="651">
        <v>3</v>
      </c>
      <c r="M55" s="651" t="str">
        <f t="shared" si="5"/>
        <v/>
      </c>
      <c r="N55" s="651" t="str">
        <f t="shared" si="5"/>
        <v/>
      </c>
      <c r="O55" s="651" t="str">
        <f t="shared" si="5"/>
        <v/>
      </c>
      <c r="P55" s="651">
        <f t="shared" si="5"/>
        <v>-1</v>
      </c>
      <c r="Q55" s="651" t="str">
        <f t="shared" si="5"/>
        <v/>
      </c>
      <c r="R55" s="651" t="str">
        <f t="shared" si="5"/>
        <v/>
      </c>
      <c r="S55" s="651" t="str">
        <f t="shared" si="5"/>
        <v/>
      </c>
      <c r="X55" s="678" t="s">
        <v>896</v>
      </c>
      <c r="Y55" s="679"/>
      <c r="Z55" s="568"/>
      <c r="AA55" s="680" t="s">
        <v>898</v>
      </c>
    </row>
    <row r="56" spans="1:27">
      <c r="A56" s="648"/>
      <c r="B56" s="648"/>
      <c r="C56" s="648"/>
      <c r="D56" s="648"/>
      <c r="E56" s="648"/>
      <c r="F56" s="648"/>
      <c r="G56" s="648"/>
      <c r="H56" s="648"/>
      <c r="I56" s="648"/>
      <c r="J56" s="648"/>
      <c r="K56" s="646"/>
      <c r="L56" s="651">
        <v>4</v>
      </c>
      <c r="M56" s="651" t="str">
        <f t="shared" si="5"/>
        <v/>
      </c>
      <c r="N56" s="651" t="str">
        <f t="shared" si="5"/>
        <v/>
      </c>
      <c r="O56" s="651" t="str">
        <f t="shared" si="5"/>
        <v/>
      </c>
      <c r="P56" s="651">
        <f t="shared" si="5"/>
        <v>-1</v>
      </c>
      <c r="Q56" s="651" t="str">
        <f t="shared" si="5"/>
        <v/>
      </c>
      <c r="R56" s="651" t="str">
        <f t="shared" si="5"/>
        <v/>
      </c>
      <c r="S56" s="651" t="str">
        <f t="shared" si="5"/>
        <v/>
      </c>
      <c r="X56" s="681" t="s">
        <v>899</v>
      </c>
      <c r="Y56" s="650" t="s">
        <v>879</v>
      </c>
      <c r="Z56" s="682" t="s">
        <v>880</v>
      </c>
      <c r="AA56" s="681" t="s">
        <v>899</v>
      </c>
    </row>
    <row r="57" spans="1:27">
      <c r="A57" s="648" t="s">
        <v>909</v>
      </c>
      <c r="B57" s="648" t="e">
        <f>AVERAGE(E10:G11,E14:G15)</f>
        <v>#DIV/0!</v>
      </c>
      <c r="C57" s="648"/>
      <c r="D57" s="648"/>
      <c r="E57" s="648"/>
      <c r="F57" s="648"/>
      <c r="G57" s="648"/>
      <c r="H57" s="648"/>
      <c r="I57" s="648"/>
      <c r="J57" s="648"/>
      <c r="K57" s="646"/>
      <c r="L57" s="651">
        <v>5</v>
      </c>
      <c r="M57" s="651" t="str">
        <f t="shared" si="5"/>
        <v/>
      </c>
      <c r="N57" s="651" t="str">
        <f t="shared" si="5"/>
        <v/>
      </c>
      <c r="O57" s="651" t="str">
        <f t="shared" si="5"/>
        <v/>
      </c>
      <c r="P57" s="651" t="str">
        <f t="shared" si="5"/>
        <v/>
      </c>
      <c r="Q57" s="651" t="str">
        <f t="shared" si="5"/>
        <v/>
      </c>
      <c r="R57" s="651" t="str">
        <f t="shared" si="5"/>
        <v/>
      </c>
      <c r="S57" s="651" t="str">
        <f t="shared" si="5"/>
        <v/>
      </c>
      <c r="X57" s="683"/>
      <c r="Y57" s="684" t="s">
        <v>872</v>
      </c>
      <c r="Z57" s="685"/>
      <c r="AA57" s="686">
        <v>1</v>
      </c>
    </row>
    <row r="58" spans="1:27">
      <c r="A58" s="648" t="s">
        <v>910</v>
      </c>
      <c r="B58" s="648" t="e">
        <f>AVERAGE(E12:G13,E16:G17)</f>
        <v>#DIV/0!</v>
      </c>
      <c r="C58" s="648"/>
      <c r="D58" s="648"/>
      <c r="E58" s="648"/>
      <c r="F58" s="648"/>
      <c r="G58" s="648"/>
      <c r="H58" s="648"/>
      <c r="I58" s="648"/>
      <c r="J58" s="648"/>
      <c r="K58" s="646"/>
      <c r="L58" s="651">
        <v>6</v>
      </c>
      <c r="M58" s="651" t="str">
        <f t="shared" si="5"/>
        <v/>
      </c>
      <c r="N58" s="651" t="str">
        <f t="shared" si="5"/>
        <v/>
      </c>
      <c r="O58" s="651" t="str">
        <f t="shared" si="5"/>
        <v/>
      </c>
      <c r="P58" s="651" t="str">
        <f t="shared" si="5"/>
        <v/>
      </c>
      <c r="Q58" s="651" t="str">
        <f t="shared" si="5"/>
        <v/>
      </c>
      <c r="R58" s="651" t="str">
        <f t="shared" si="5"/>
        <v/>
      </c>
      <c r="S58" s="651" t="str">
        <f t="shared" si="5"/>
        <v/>
      </c>
      <c r="X58" s="652"/>
      <c r="Y58" s="626" t="s">
        <v>460</v>
      </c>
      <c r="Z58" s="687"/>
      <c r="AA58" s="686">
        <v>2</v>
      </c>
    </row>
    <row r="59" spans="1:27">
      <c r="A59" s="648"/>
      <c r="B59" s="648"/>
      <c r="C59" s="648"/>
      <c r="D59" s="648"/>
      <c r="E59" s="648"/>
      <c r="F59" s="648"/>
      <c r="G59" s="648"/>
      <c r="H59" s="648"/>
      <c r="I59" s="648"/>
      <c r="J59" s="648"/>
      <c r="K59" s="646"/>
      <c r="L59" s="651">
        <v>7</v>
      </c>
      <c r="M59" s="651" t="str">
        <f t="shared" si="5"/>
        <v/>
      </c>
      <c r="N59" s="651" t="str">
        <f t="shared" si="5"/>
        <v/>
      </c>
      <c r="O59" s="651" t="str">
        <f t="shared" si="5"/>
        <v/>
      </c>
      <c r="P59" s="651" t="str">
        <f t="shared" si="5"/>
        <v/>
      </c>
      <c r="Q59" s="651" t="str">
        <f t="shared" si="5"/>
        <v/>
      </c>
      <c r="R59" s="651" t="str">
        <f t="shared" si="5"/>
        <v/>
      </c>
      <c r="S59" s="651" t="str">
        <f t="shared" si="5"/>
        <v/>
      </c>
      <c r="X59" s="652"/>
      <c r="Y59" s="626" t="s">
        <v>874</v>
      </c>
      <c r="Z59" s="687"/>
      <c r="AA59" s="686">
        <v>3</v>
      </c>
    </row>
    <row r="60" spans="1:27">
      <c r="A60" s="648" t="s">
        <v>911</v>
      </c>
      <c r="B60" s="648" t="e">
        <f>AVERAGE(E12:E13,E16:E17,G10:G11,G14:G15)</f>
        <v>#DIV/0!</v>
      </c>
      <c r="C60" s="648"/>
      <c r="D60" s="648"/>
      <c r="E60" s="648"/>
      <c r="F60" s="648"/>
      <c r="G60" s="648"/>
      <c r="H60" s="648"/>
      <c r="I60" s="648"/>
      <c r="J60" s="648"/>
      <c r="K60" s="646"/>
      <c r="L60" s="651">
        <v>8</v>
      </c>
      <c r="M60" s="651" t="str">
        <f t="shared" si="5"/>
        <v/>
      </c>
      <c r="N60" s="651" t="str">
        <f t="shared" si="5"/>
        <v/>
      </c>
      <c r="O60" s="651" t="str">
        <f t="shared" si="5"/>
        <v/>
      </c>
      <c r="P60" s="651" t="str">
        <f t="shared" si="5"/>
        <v/>
      </c>
      <c r="Q60" s="651" t="str">
        <f t="shared" si="5"/>
        <v/>
      </c>
      <c r="R60" s="651" t="str">
        <f t="shared" si="5"/>
        <v/>
      </c>
      <c r="S60" s="651" t="str">
        <f t="shared" si="5"/>
        <v/>
      </c>
      <c r="X60" s="652"/>
      <c r="Y60" s="626" t="s">
        <v>875</v>
      </c>
      <c r="Z60" s="687"/>
      <c r="AA60" s="686">
        <v>4</v>
      </c>
    </row>
    <row r="61" spans="1:27">
      <c r="A61" s="648" t="s">
        <v>912</v>
      </c>
      <c r="B61" s="648" t="e">
        <f>AVERAGE(E10:E11,E14:E15,G12:G13,G16:G17)</f>
        <v>#DIV/0!</v>
      </c>
      <c r="C61" s="648"/>
      <c r="D61" s="648"/>
      <c r="E61" s="648"/>
      <c r="F61" s="648"/>
      <c r="G61" s="648"/>
      <c r="H61" s="648"/>
      <c r="I61" s="648"/>
      <c r="J61" s="648"/>
      <c r="K61" s="646"/>
      <c r="L61" s="651">
        <v>9</v>
      </c>
      <c r="M61" s="651" t="str">
        <f t="shared" ref="M61:S67" si="6">IF(M21=M$28,M62,"")</f>
        <v/>
      </c>
      <c r="N61" s="651" t="str">
        <f t="shared" si="6"/>
        <v/>
      </c>
      <c r="O61" s="651" t="str">
        <f t="shared" si="6"/>
        <v/>
      </c>
      <c r="P61" s="651" t="str">
        <f t="shared" si="6"/>
        <v/>
      </c>
      <c r="Q61" s="651" t="str">
        <f t="shared" si="6"/>
        <v/>
      </c>
      <c r="R61" s="651" t="str">
        <f t="shared" si="6"/>
        <v/>
      </c>
      <c r="S61" s="651" t="str">
        <f t="shared" si="6"/>
        <v/>
      </c>
      <c r="X61" s="652"/>
      <c r="Y61" s="626" t="s">
        <v>934</v>
      </c>
      <c r="Z61" s="687"/>
      <c r="AA61" s="686">
        <v>5</v>
      </c>
    </row>
    <row r="62" spans="1:27">
      <c r="A62" s="648"/>
      <c r="B62" s="648"/>
      <c r="C62" s="648"/>
      <c r="D62" s="648"/>
      <c r="E62" s="648"/>
      <c r="F62" s="648"/>
      <c r="G62" s="648"/>
      <c r="H62" s="653" t="s">
        <v>873</v>
      </c>
      <c r="I62" s="653" t="s">
        <v>876</v>
      </c>
      <c r="J62" s="648"/>
      <c r="K62" s="646"/>
      <c r="L62" s="651">
        <v>10</v>
      </c>
      <c r="M62" s="651" t="str">
        <f t="shared" si="6"/>
        <v/>
      </c>
      <c r="N62" s="651" t="str">
        <f t="shared" si="6"/>
        <v/>
      </c>
      <c r="O62" s="651" t="str">
        <f t="shared" si="6"/>
        <v/>
      </c>
      <c r="P62" s="651" t="str">
        <f t="shared" si="6"/>
        <v/>
      </c>
      <c r="Q62" s="651" t="str">
        <f t="shared" si="6"/>
        <v/>
      </c>
      <c r="R62" s="651" t="str">
        <f t="shared" si="6"/>
        <v/>
      </c>
      <c r="S62" s="651" t="str">
        <f t="shared" si="6"/>
        <v/>
      </c>
      <c r="X62" s="652"/>
      <c r="Y62" s="626" t="s">
        <v>935</v>
      </c>
      <c r="Z62" s="687"/>
      <c r="AA62" s="686">
        <v>6</v>
      </c>
    </row>
    <row r="63" spans="1:27">
      <c r="A63" s="648" t="s">
        <v>870</v>
      </c>
      <c r="B63" s="648"/>
      <c r="C63" s="688" t="e">
        <f>AVERAGE(E10:E11,E14:E15)</f>
        <v>#DIV/0!</v>
      </c>
      <c r="D63" s="688" t="e">
        <f>AVERAGE(E12:E13,E16:E17)</f>
        <v>#DIV/0!</v>
      </c>
      <c r="E63" s="648"/>
      <c r="F63" s="648"/>
      <c r="G63" s="648" t="s">
        <v>870</v>
      </c>
      <c r="H63" s="688" t="e">
        <f>C63</f>
        <v>#DIV/0!</v>
      </c>
      <c r="I63" s="688" t="e">
        <f>D63</f>
        <v>#DIV/0!</v>
      </c>
      <c r="J63" s="648"/>
      <c r="K63" s="646"/>
      <c r="L63" s="651">
        <v>11</v>
      </c>
      <c r="M63" s="651" t="str">
        <f t="shared" si="6"/>
        <v/>
      </c>
      <c r="N63" s="651" t="str">
        <f t="shared" si="6"/>
        <v/>
      </c>
      <c r="O63" s="651" t="str">
        <f t="shared" si="6"/>
        <v/>
      </c>
      <c r="P63" s="651" t="str">
        <f t="shared" si="6"/>
        <v/>
      </c>
      <c r="Q63" s="651" t="str">
        <f t="shared" si="6"/>
        <v/>
      </c>
      <c r="R63" s="651" t="str">
        <f t="shared" si="6"/>
        <v/>
      </c>
      <c r="S63" s="651" t="str">
        <f t="shared" si="6"/>
        <v/>
      </c>
      <c r="X63" s="652"/>
      <c r="Y63" s="626" t="s">
        <v>936</v>
      </c>
      <c r="Z63" s="687"/>
      <c r="AA63" s="686">
        <v>7</v>
      </c>
    </row>
    <row r="64" spans="1:27">
      <c r="A64" s="648" t="s">
        <v>871</v>
      </c>
      <c r="B64" s="648"/>
      <c r="C64" s="688" t="e">
        <f>AVERAGE(G10:G11,G14:G15)</f>
        <v>#DIV/0!</v>
      </c>
      <c r="D64" s="688" t="e">
        <f>AVERAGE(G12:G13,G16:G17)</f>
        <v>#DIV/0!</v>
      </c>
      <c r="E64" s="648"/>
      <c r="F64" s="648"/>
      <c r="G64" s="648" t="s">
        <v>871</v>
      </c>
      <c r="H64" s="688" t="e">
        <f>C64</f>
        <v>#DIV/0!</v>
      </c>
      <c r="I64" s="688" t="e">
        <f>D64</f>
        <v>#DIV/0!</v>
      </c>
      <c r="J64" s="648"/>
      <c r="K64" s="646"/>
      <c r="L64" s="651">
        <v>12</v>
      </c>
      <c r="M64" s="651" t="str">
        <f t="shared" si="6"/>
        <v/>
      </c>
      <c r="N64" s="651" t="str">
        <f t="shared" si="6"/>
        <v/>
      </c>
      <c r="O64" s="651" t="str">
        <f t="shared" si="6"/>
        <v/>
      </c>
      <c r="P64" s="651" t="str">
        <f t="shared" si="6"/>
        <v/>
      </c>
      <c r="Q64" s="651" t="str">
        <f t="shared" si="6"/>
        <v/>
      </c>
      <c r="R64" s="651" t="str">
        <f t="shared" si="6"/>
        <v/>
      </c>
      <c r="S64" s="651" t="str">
        <f t="shared" si="6"/>
        <v/>
      </c>
      <c r="X64" s="652"/>
      <c r="Y64" s="622" t="s">
        <v>938</v>
      </c>
      <c r="Z64" s="687"/>
      <c r="AA64" s="686">
        <v>8</v>
      </c>
    </row>
    <row r="65" spans="1:27">
      <c r="A65" s="648"/>
      <c r="B65" s="648"/>
      <c r="C65" s="648"/>
      <c r="D65" s="648"/>
      <c r="E65" s="648"/>
      <c r="F65" s="648"/>
      <c r="G65" s="648"/>
      <c r="H65" s="648"/>
      <c r="I65" s="648"/>
      <c r="J65" s="648"/>
      <c r="K65" s="646"/>
      <c r="L65" s="651">
        <v>13</v>
      </c>
      <c r="M65" s="651" t="str">
        <f t="shared" si="6"/>
        <v/>
      </c>
      <c r="N65" s="651" t="str">
        <f t="shared" si="6"/>
        <v/>
      </c>
      <c r="O65" s="651" t="str">
        <f t="shared" si="6"/>
        <v/>
      </c>
      <c r="P65" s="651">
        <f t="shared" si="6"/>
        <v>1</v>
      </c>
      <c r="Q65" s="651" t="str">
        <f t="shared" si="6"/>
        <v/>
      </c>
      <c r="R65" s="651" t="str">
        <f t="shared" si="6"/>
        <v/>
      </c>
      <c r="S65" s="651" t="str">
        <f t="shared" si="6"/>
        <v/>
      </c>
      <c r="X65" s="652"/>
      <c r="Y65" s="626" t="s">
        <v>872</v>
      </c>
      <c r="Z65" s="687"/>
      <c r="AA65" s="686">
        <v>9</v>
      </c>
    </row>
    <row r="66" spans="1:27">
      <c r="A66" s="648" t="s">
        <v>933</v>
      </c>
      <c r="B66" s="648" t="e">
        <f>AVERAGE(E10:G13)</f>
        <v>#DIV/0!</v>
      </c>
      <c r="C66" s="648"/>
      <c r="D66" s="648"/>
      <c r="E66" s="648"/>
      <c r="F66" s="648"/>
      <c r="G66" s="648"/>
      <c r="H66" s="648"/>
      <c r="I66" s="648"/>
      <c r="J66" s="648"/>
      <c r="K66" s="646"/>
      <c r="L66" s="651">
        <v>14</v>
      </c>
      <c r="M66" s="651" t="str">
        <f t="shared" si="6"/>
        <v/>
      </c>
      <c r="N66" s="651" t="str">
        <f t="shared" si="6"/>
        <v/>
      </c>
      <c r="O66" s="651" t="str">
        <f t="shared" si="6"/>
        <v/>
      </c>
      <c r="P66" s="651">
        <f t="shared" si="6"/>
        <v>1</v>
      </c>
      <c r="Q66" s="651" t="str">
        <f t="shared" si="6"/>
        <v/>
      </c>
      <c r="R66" s="651" t="str">
        <f t="shared" si="6"/>
        <v/>
      </c>
      <c r="S66" s="651" t="str">
        <f t="shared" si="6"/>
        <v/>
      </c>
      <c r="X66" s="652"/>
      <c r="Y66" s="626" t="s">
        <v>460</v>
      </c>
      <c r="Z66" s="687"/>
      <c r="AA66" s="686">
        <v>10</v>
      </c>
    </row>
    <row r="67" spans="1:27">
      <c r="A67" s="648" t="s">
        <v>937</v>
      </c>
      <c r="B67" s="648" t="e">
        <f>AVERAGE(E14:G17)</f>
        <v>#DIV/0!</v>
      </c>
      <c r="C67" s="648"/>
      <c r="D67" s="648"/>
      <c r="E67" s="648"/>
      <c r="F67" s="648"/>
      <c r="G67" s="648"/>
      <c r="H67" s="648"/>
      <c r="I67" s="648"/>
      <c r="J67" s="648"/>
      <c r="K67" s="646"/>
      <c r="L67" s="651">
        <v>15</v>
      </c>
      <c r="M67" s="651" t="str">
        <f t="shared" si="6"/>
        <v/>
      </c>
      <c r="N67" s="651">
        <f t="shared" si="6"/>
        <v>1</v>
      </c>
      <c r="O67" s="651" t="str">
        <f t="shared" si="6"/>
        <v/>
      </c>
      <c r="P67" s="651">
        <f t="shared" si="6"/>
        <v>1</v>
      </c>
      <c r="Q67" s="651" t="str">
        <f t="shared" si="6"/>
        <v/>
      </c>
      <c r="R67" s="651" t="str">
        <f t="shared" si="6"/>
        <v/>
      </c>
      <c r="S67" s="651" t="str">
        <f t="shared" si="6"/>
        <v/>
      </c>
      <c r="X67" s="652"/>
      <c r="Y67" s="626" t="s">
        <v>874</v>
      </c>
      <c r="Z67" s="687"/>
      <c r="AA67" s="686">
        <v>11</v>
      </c>
    </row>
    <row r="68" spans="1:27">
      <c r="A68" s="648"/>
      <c r="B68" s="648"/>
      <c r="C68" s="648"/>
      <c r="D68" s="648"/>
      <c r="E68" s="648"/>
      <c r="F68" s="648"/>
      <c r="G68" s="648"/>
      <c r="H68" s="648"/>
      <c r="I68" s="648"/>
      <c r="J68" s="648"/>
      <c r="K68" s="646"/>
      <c r="L68" s="651">
        <v>16</v>
      </c>
      <c r="M68" s="651">
        <f t="shared" ref="M68:S68" si="7">IF(M28=M13,"",IF(M28="-",-1,1))</f>
        <v>1</v>
      </c>
      <c r="N68" s="651">
        <f t="shared" si="7"/>
        <v>1</v>
      </c>
      <c r="O68" s="651" t="str">
        <f t="shared" si="7"/>
        <v/>
      </c>
      <c r="P68" s="651">
        <f t="shared" si="7"/>
        <v>1</v>
      </c>
      <c r="Q68" s="651" t="str">
        <f t="shared" si="7"/>
        <v/>
      </c>
      <c r="R68" s="651" t="str">
        <f t="shared" si="7"/>
        <v/>
      </c>
      <c r="S68" s="651">
        <f t="shared" si="7"/>
        <v>1</v>
      </c>
      <c r="X68" s="652"/>
      <c r="Y68" s="626" t="s">
        <v>875</v>
      </c>
      <c r="Z68" s="687"/>
      <c r="AA68" s="686">
        <v>12</v>
      </c>
    </row>
    <row r="69" spans="1:27">
      <c r="A69" s="648" t="s">
        <v>940</v>
      </c>
      <c r="B69" s="648" t="e">
        <f>AVERAGE(E14:E17,G10:G13)</f>
        <v>#DIV/0!</v>
      </c>
      <c r="C69" s="648"/>
      <c r="D69" s="648"/>
      <c r="E69" s="648"/>
      <c r="F69" s="648"/>
      <c r="G69" s="648"/>
      <c r="H69" s="648"/>
      <c r="I69" s="648"/>
      <c r="J69" s="648"/>
      <c r="X69" s="652"/>
      <c r="Y69" s="626" t="s">
        <v>934</v>
      </c>
      <c r="Z69" s="687"/>
      <c r="AA69" s="686">
        <v>13</v>
      </c>
    </row>
    <row r="70" spans="1:27">
      <c r="A70" s="648" t="s">
        <v>941</v>
      </c>
      <c r="B70" s="648" t="e">
        <f>AVERAGE(E10:E13,G14:G17)</f>
        <v>#DIV/0!</v>
      </c>
      <c r="C70" s="648"/>
      <c r="D70" s="648"/>
      <c r="E70" s="648"/>
      <c r="F70" s="648"/>
      <c r="G70" s="648"/>
      <c r="H70" s="648"/>
      <c r="I70" s="648"/>
      <c r="J70" s="648"/>
      <c r="X70" s="652"/>
      <c r="Y70" s="626" t="s">
        <v>935</v>
      </c>
      <c r="Z70" s="687"/>
      <c r="AA70" s="686">
        <v>14</v>
      </c>
    </row>
    <row r="71" spans="1:27">
      <c r="A71" s="648"/>
      <c r="B71" s="648"/>
      <c r="C71" s="648"/>
      <c r="D71" s="648"/>
      <c r="E71" s="648"/>
      <c r="F71" s="648"/>
      <c r="G71" s="648"/>
      <c r="H71" s="653" t="s">
        <v>933</v>
      </c>
      <c r="I71" s="653" t="s">
        <v>937</v>
      </c>
      <c r="J71" s="648"/>
      <c r="X71" s="689"/>
      <c r="Y71" s="626" t="s">
        <v>936</v>
      </c>
      <c r="Z71" s="687"/>
      <c r="AA71" s="686">
        <v>15</v>
      </c>
    </row>
    <row r="72" spans="1:27">
      <c r="A72" s="648" t="s">
        <v>914</v>
      </c>
      <c r="B72" s="648"/>
      <c r="C72" s="688" t="e">
        <f>AVERAGE(E10:E13)</f>
        <v>#DIV/0!</v>
      </c>
      <c r="D72" s="688" t="e">
        <f>AVERAGE(E14:E17)</f>
        <v>#DIV/0!</v>
      </c>
      <c r="E72" s="648"/>
      <c r="F72" s="648"/>
      <c r="G72" s="648" t="s">
        <v>914</v>
      </c>
      <c r="H72" s="688" t="e">
        <f>C72</f>
        <v>#DIV/0!</v>
      </c>
      <c r="I72" s="688" t="e">
        <f>D72</f>
        <v>#DIV/0!</v>
      </c>
      <c r="J72" s="648"/>
      <c r="L72" s="690"/>
      <c r="M72" s="690"/>
      <c r="N72" s="690"/>
      <c r="O72" s="691" t="s">
        <v>839</v>
      </c>
      <c r="P72" s="692">
        <v>2</v>
      </c>
      <c r="X72" s="689"/>
      <c r="Y72" s="626" t="s">
        <v>938</v>
      </c>
      <c r="Z72" s="687"/>
      <c r="AA72" s="686">
        <v>16</v>
      </c>
    </row>
    <row r="73" spans="1:27">
      <c r="A73" s="648" t="s">
        <v>908</v>
      </c>
      <c r="B73" s="648"/>
      <c r="C73" s="688" t="e">
        <f>AVERAGE(G10:G13)</f>
        <v>#DIV/0!</v>
      </c>
      <c r="D73" s="688" t="e">
        <f>AVERAGE(G14:G17)</f>
        <v>#DIV/0!</v>
      </c>
      <c r="E73" s="648"/>
      <c r="F73" s="648"/>
      <c r="G73" s="648" t="s">
        <v>908</v>
      </c>
      <c r="H73" s="688" t="e">
        <f>C73</f>
        <v>#DIV/0!</v>
      </c>
      <c r="I73" s="688" t="e">
        <f>D73</f>
        <v>#DIV/0!</v>
      </c>
      <c r="J73" s="648"/>
      <c r="L73" s="690"/>
      <c r="M73" s="690"/>
      <c r="N73" s="690"/>
      <c r="O73" s="691" t="s">
        <v>840</v>
      </c>
      <c r="P73" s="692">
        <v>3</v>
      </c>
    </row>
    <row r="74" spans="1:27">
      <c r="A74" s="648"/>
      <c r="B74" s="648"/>
      <c r="C74" s="648"/>
      <c r="D74" s="648"/>
      <c r="E74" s="648"/>
      <c r="F74" s="648"/>
      <c r="G74" s="648"/>
      <c r="H74" s="648"/>
      <c r="I74" s="648"/>
      <c r="J74" s="648"/>
      <c r="L74" s="690"/>
      <c r="M74" s="690"/>
      <c r="N74" s="690"/>
      <c r="O74" s="691" t="s">
        <v>841</v>
      </c>
      <c r="P74" s="693">
        <f>COUNT(E10:E11)</f>
        <v>0</v>
      </c>
    </row>
    <row r="75" spans="1:27">
      <c r="A75" s="648" t="s">
        <v>942</v>
      </c>
      <c r="B75" s="648" t="e">
        <f>AVERAGE(E12:G13,E14:G15)</f>
        <v>#DIV/0!</v>
      </c>
      <c r="C75" s="648"/>
      <c r="D75" s="648"/>
      <c r="E75" s="648"/>
      <c r="F75" s="648"/>
      <c r="G75" s="648"/>
      <c r="H75" s="648"/>
      <c r="I75" s="648"/>
      <c r="J75" s="648"/>
      <c r="L75" s="690"/>
      <c r="M75" s="690" t="s">
        <v>842</v>
      </c>
      <c r="N75" s="690"/>
      <c r="O75" s="691" t="s">
        <v>484</v>
      </c>
      <c r="P75" s="693">
        <f>C5</f>
        <v>0.95</v>
      </c>
    </row>
    <row r="76" spans="1:27" ht="14.25">
      <c r="A76" s="648" t="s">
        <v>943</v>
      </c>
      <c r="B76" s="648" t="e">
        <f>AVERAGE(E10:G11,E16:G17)</f>
        <v>#DIV/0!</v>
      </c>
      <c r="C76" s="648"/>
      <c r="D76" s="648"/>
      <c r="E76" s="648"/>
      <c r="F76" s="648"/>
      <c r="G76" s="648"/>
      <c r="H76" s="648"/>
      <c r="I76" s="648"/>
      <c r="J76" s="648"/>
      <c r="L76" s="690"/>
      <c r="M76" s="690" t="s">
        <v>995</v>
      </c>
      <c r="N76" s="690"/>
      <c r="O76" s="691" t="s">
        <v>845</v>
      </c>
      <c r="P76" s="694">
        <f>(P72^P73*P74)/2</f>
        <v>0</v>
      </c>
    </row>
    <row r="77" spans="1:27" ht="14.25">
      <c r="A77" s="648"/>
      <c r="B77" s="648"/>
      <c r="C77" s="648"/>
      <c r="D77" s="648"/>
      <c r="E77" s="648"/>
      <c r="F77" s="648"/>
      <c r="G77" s="648"/>
      <c r="H77" s="653" t="s">
        <v>933</v>
      </c>
      <c r="I77" s="653" t="s">
        <v>937</v>
      </c>
      <c r="J77" s="648"/>
      <c r="L77" s="690"/>
      <c r="M77" s="690" t="s">
        <v>996</v>
      </c>
      <c r="N77" s="690"/>
      <c r="O77" s="691" t="s">
        <v>846</v>
      </c>
      <c r="P77" s="694">
        <f>(P72^P73*P74)/2</f>
        <v>0</v>
      </c>
    </row>
    <row r="78" spans="1:27">
      <c r="A78" s="648" t="s">
        <v>909</v>
      </c>
      <c r="B78" s="648"/>
      <c r="C78" s="688" t="e">
        <f>AVERAGE(E10:G11)</f>
        <v>#DIV/0!</v>
      </c>
      <c r="D78" s="688" t="e">
        <f>AVERAGE(E14:G15)</f>
        <v>#DIV/0!</v>
      </c>
      <c r="E78" s="648"/>
      <c r="F78" s="648"/>
      <c r="G78" s="648" t="s">
        <v>909</v>
      </c>
      <c r="H78" s="688" t="e">
        <f>C78</f>
        <v>#DIV/0!</v>
      </c>
      <c r="I78" s="688" t="e">
        <f>D78</f>
        <v>#DIV/0!</v>
      </c>
      <c r="J78" s="648"/>
      <c r="L78" s="690"/>
      <c r="M78" s="690" t="s">
        <v>847</v>
      </c>
      <c r="N78" s="690"/>
      <c r="O78" s="691" t="s">
        <v>848</v>
      </c>
      <c r="P78" s="694">
        <f>P72^P73-1</f>
        <v>7</v>
      </c>
    </row>
    <row r="79" spans="1:27">
      <c r="A79" s="648" t="s">
        <v>910</v>
      </c>
      <c r="B79" s="648"/>
      <c r="C79" s="688" t="e">
        <f>AVERAGE(E12:G13)</f>
        <v>#DIV/0!</v>
      </c>
      <c r="D79" s="688" t="e">
        <f>AVERAGE(E16:G17)</f>
        <v>#DIV/0!</v>
      </c>
      <c r="E79" s="648"/>
      <c r="F79" s="648"/>
      <c r="G79" s="648" t="s">
        <v>910</v>
      </c>
      <c r="H79" s="688" t="e">
        <f>C79</f>
        <v>#DIV/0!</v>
      </c>
      <c r="I79" s="688" t="e">
        <f>D79</f>
        <v>#DIV/0!</v>
      </c>
      <c r="J79" s="648"/>
      <c r="L79" s="690"/>
      <c r="M79" s="690"/>
      <c r="N79" s="690"/>
      <c r="O79" s="691"/>
      <c r="P79" s="690"/>
    </row>
    <row r="80" spans="1:27">
      <c r="A80" s="648"/>
      <c r="B80" s="648"/>
      <c r="C80" s="648"/>
      <c r="D80" s="648"/>
      <c r="E80" s="648"/>
      <c r="F80" s="648"/>
      <c r="G80" s="648"/>
      <c r="H80" s="648"/>
      <c r="I80" s="648"/>
      <c r="J80" s="648"/>
      <c r="L80" s="690"/>
      <c r="M80" s="690"/>
      <c r="N80" s="690"/>
      <c r="O80" s="691"/>
      <c r="P80" s="690"/>
    </row>
    <row r="81" spans="1:18" ht="14.25">
      <c r="A81" s="648" t="s">
        <v>944</v>
      </c>
      <c r="B81" s="648" t="e">
        <f>AVERAGE(E10:E11,G12:G13,G14:G15,E16:E17)</f>
        <v>#DIV/0!</v>
      </c>
      <c r="C81" s="648"/>
      <c r="D81" s="695" t="s">
        <v>933</v>
      </c>
      <c r="E81" s="696"/>
      <c r="F81" s="696"/>
      <c r="G81" s="697"/>
      <c r="H81" s="696" t="s">
        <v>937</v>
      </c>
      <c r="I81" s="696"/>
      <c r="J81" s="698"/>
      <c r="L81" s="690"/>
      <c r="M81" s="690"/>
      <c r="N81" s="690"/>
      <c r="O81" s="691" t="s">
        <v>997</v>
      </c>
      <c r="P81" s="690">
        <f>(FACT(P76+P77))/(FACT(P76)*FACT(P77))</f>
        <v>1</v>
      </c>
    </row>
    <row r="82" spans="1:18" ht="14.25">
      <c r="A82" s="648" t="s">
        <v>945</v>
      </c>
      <c r="B82" s="648" t="e">
        <f>AVERAGE(G10:G11,E12:E13,E14:E15,G16:G17)</f>
        <v>#DIV/0!</v>
      </c>
      <c r="C82" s="648"/>
      <c r="D82" s="699"/>
      <c r="E82" s="700" t="s">
        <v>873</v>
      </c>
      <c r="F82" s="701" t="s">
        <v>876</v>
      </c>
      <c r="G82" s="702"/>
      <c r="H82" s="702"/>
      <c r="I82" s="700" t="s">
        <v>873</v>
      </c>
      <c r="J82" s="703" t="s">
        <v>876</v>
      </c>
      <c r="L82" s="690"/>
      <c r="M82" s="690"/>
      <c r="N82" s="690"/>
      <c r="O82" s="691" t="s">
        <v>998</v>
      </c>
      <c r="P82" s="690">
        <f>P76+P77</f>
        <v>0</v>
      </c>
    </row>
    <row r="83" spans="1:18">
      <c r="A83" s="648"/>
      <c r="B83" s="648"/>
      <c r="C83" s="648"/>
      <c r="D83" s="701" t="s">
        <v>870</v>
      </c>
      <c r="E83" s="688" t="e">
        <f>AVERAGE(E10:E11)</f>
        <v>#DIV/0!</v>
      </c>
      <c r="F83" s="688" t="e">
        <f>AVERAGE(E12:E13)</f>
        <v>#DIV/0!</v>
      </c>
      <c r="G83" s="702"/>
      <c r="H83" s="700" t="s">
        <v>870</v>
      </c>
      <c r="I83" s="688" t="e">
        <f>AVERAGE(E14:E15)</f>
        <v>#DIV/0!</v>
      </c>
      <c r="J83" s="688" t="e">
        <f>AVERAGE(E16:E17)</f>
        <v>#DIV/0!</v>
      </c>
      <c r="L83" s="690"/>
      <c r="M83" s="690"/>
      <c r="N83" s="690"/>
      <c r="O83" s="704" t="s">
        <v>849</v>
      </c>
      <c r="P83" s="705">
        <f>ROUNDUP(P82-(LN(P81*(1-(P75^(1/P78))))/LN(2)),0)</f>
        <v>8</v>
      </c>
    </row>
    <row r="84" spans="1:18">
      <c r="A84" s="648"/>
      <c r="B84" s="648"/>
      <c r="C84" s="648"/>
      <c r="D84" s="706" t="s">
        <v>871</v>
      </c>
      <c r="E84" s="688" t="e">
        <f>AVERAGE(G10:G11)</f>
        <v>#DIV/0!</v>
      </c>
      <c r="F84" s="688" t="e">
        <f>AVERAGE(G12:G13)</f>
        <v>#DIV/0!</v>
      </c>
      <c r="G84" s="707"/>
      <c r="H84" s="708" t="s">
        <v>871</v>
      </c>
      <c r="I84" s="688" t="e">
        <f>AVERAGE(G14:G15)</f>
        <v>#DIV/0!</v>
      </c>
      <c r="J84" s="688" t="e">
        <f>AVERAGE(G16:G17)</f>
        <v>#DIV/0!</v>
      </c>
      <c r="L84" s="690"/>
      <c r="M84" s="690"/>
      <c r="N84" s="690"/>
      <c r="O84" s="691"/>
      <c r="P84" s="690"/>
    </row>
    <row r="85" spans="1:18">
      <c r="L85" s="690"/>
      <c r="M85" s="690"/>
      <c r="N85" s="690"/>
      <c r="O85" s="704" t="s">
        <v>850</v>
      </c>
      <c r="P85" s="705">
        <f>(P72^P73)*P74</f>
        <v>0</v>
      </c>
    </row>
    <row r="88" spans="1:18">
      <c r="B88" s="648" t="s">
        <v>914</v>
      </c>
      <c r="C88" s="648" t="s">
        <v>908</v>
      </c>
      <c r="D88" s="648"/>
      <c r="E88" s="648" t="s">
        <v>909</v>
      </c>
      <c r="F88" s="648" t="s">
        <v>910</v>
      </c>
      <c r="G88" s="648"/>
      <c r="H88" s="648" t="s">
        <v>979</v>
      </c>
      <c r="I88" s="648" t="s">
        <v>980</v>
      </c>
      <c r="J88" s="648"/>
      <c r="K88" s="648"/>
      <c r="L88" s="648"/>
      <c r="N88" s="648"/>
      <c r="O88" s="648"/>
      <c r="P88" s="648">
        <v>1</v>
      </c>
      <c r="Q88" s="648">
        <f>O94</f>
        <v>0</v>
      </c>
      <c r="R88" s="648">
        <v>7</v>
      </c>
    </row>
    <row r="89" spans="1:18">
      <c r="B89" s="648">
        <f t="shared" ref="B89:B96" si="8">E10</f>
        <v>0</v>
      </c>
      <c r="C89" s="648">
        <f t="shared" ref="C89:C96" si="9">G10</f>
        <v>0</v>
      </c>
      <c r="D89" s="648"/>
      <c r="E89" s="648">
        <f>E10</f>
        <v>0</v>
      </c>
      <c r="F89" s="648">
        <f>E12</f>
        <v>0</v>
      </c>
      <c r="G89" s="648"/>
      <c r="H89" s="648">
        <f>E10</f>
        <v>0</v>
      </c>
      <c r="I89" s="648">
        <f>E14</f>
        <v>0</v>
      </c>
      <c r="J89" s="648"/>
      <c r="K89" s="648"/>
      <c r="L89" s="648"/>
      <c r="N89" s="648"/>
      <c r="O89" s="648"/>
      <c r="P89" s="648">
        <v>2</v>
      </c>
      <c r="Q89" s="648">
        <f>O93</f>
        <v>0</v>
      </c>
      <c r="R89" s="648">
        <v>6</v>
      </c>
    </row>
    <row r="90" spans="1:18">
      <c r="B90" s="648">
        <f t="shared" si="8"/>
        <v>0</v>
      </c>
      <c r="C90" s="648">
        <f t="shared" si="9"/>
        <v>0</v>
      </c>
      <c r="D90" s="648"/>
      <c r="E90" s="648">
        <f>E11</f>
        <v>0</v>
      </c>
      <c r="F90" s="648">
        <f>E13</f>
        <v>0</v>
      </c>
      <c r="G90" s="648"/>
      <c r="H90" s="648">
        <f>E11</f>
        <v>0</v>
      </c>
      <c r="I90" s="648">
        <f>E15</f>
        <v>0</v>
      </c>
      <c r="J90" s="648"/>
      <c r="K90" s="648"/>
      <c r="L90" s="648"/>
      <c r="N90" s="648"/>
      <c r="O90" s="648"/>
      <c r="P90" s="648">
        <v>3</v>
      </c>
      <c r="Q90" s="648">
        <f>O92</f>
        <v>0</v>
      </c>
      <c r="R90" s="648">
        <v>5</v>
      </c>
    </row>
    <row r="91" spans="1:18">
      <c r="B91" s="648">
        <f t="shared" si="8"/>
        <v>0</v>
      </c>
      <c r="C91" s="648">
        <f t="shared" si="9"/>
        <v>0</v>
      </c>
      <c r="D91" s="648"/>
      <c r="E91" s="648">
        <f>E14</f>
        <v>0</v>
      </c>
      <c r="F91" s="648">
        <f>E16</f>
        <v>0</v>
      </c>
      <c r="G91" s="648"/>
      <c r="H91" s="648">
        <f>E12</f>
        <v>0</v>
      </c>
      <c r="I91" s="648">
        <f>E16</f>
        <v>0</v>
      </c>
      <c r="J91" s="648"/>
      <c r="K91" s="648"/>
      <c r="L91" s="648"/>
      <c r="N91" s="648"/>
      <c r="O91" s="648"/>
      <c r="P91" s="648">
        <v>4</v>
      </c>
      <c r="Q91" s="648">
        <f>O91</f>
        <v>0</v>
      </c>
      <c r="R91" s="648">
        <v>4</v>
      </c>
    </row>
    <row r="92" spans="1:18">
      <c r="B92" s="648">
        <f t="shared" si="8"/>
        <v>0</v>
      </c>
      <c r="C92" s="648">
        <f t="shared" si="9"/>
        <v>0</v>
      </c>
      <c r="D92" s="648"/>
      <c r="E92" s="648">
        <f>E15</f>
        <v>0</v>
      </c>
      <c r="F92" s="648">
        <f>E17</f>
        <v>0</v>
      </c>
      <c r="G92" s="648"/>
      <c r="H92" s="648">
        <f>E13</f>
        <v>0</v>
      </c>
      <c r="I92" s="648">
        <f>E17</f>
        <v>0</v>
      </c>
      <c r="J92" s="648"/>
      <c r="K92" s="648"/>
      <c r="L92" s="648"/>
      <c r="N92" s="648"/>
      <c r="O92" s="648"/>
      <c r="P92" s="648">
        <v>5</v>
      </c>
      <c r="Q92" s="648">
        <f>O90</f>
        <v>0</v>
      </c>
      <c r="R92" s="648">
        <v>3</v>
      </c>
    </row>
    <row r="93" spans="1:18">
      <c r="B93" s="648">
        <f t="shared" si="8"/>
        <v>0</v>
      </c>
      <c r="C93" s="648">
        <f t="shared" si="9"/>
        <v>0</v>
      </c>
      <c r="D93" s="648"/>
      <c r="E93" s="648">
        <f>G10</f>
        <v>0</v>
      </c>
      <c r="F93" s="648">
        <f>G12</f>
        <v>0</v>
      </c>
      <c r="G93" s="648"/>
      <c r="H93" s="648">
        <f>G10</f>
        <v>0</v>
      </c>
      <c r="I93" s="648">
        <f>G14</f>
        <v>0</v>
      </c>
      <c r="J93" s="648"/>
      <c r="K93" s="648"/>
      <c r="L93" s="648"/>
      <c r="N93" s="648"/>
      <c r="O93" s="648"/>
      <c r="P93" s="648">
        <v>6</v>
      </c>
      <c r="Q93" s="648">
        <f>O89</f>
        <v>0</v>
      </c>
      <c r="R93" s="648">
        <v>2</v>
      </c>
    </row>
    <row r="94" spans="1:18">
      <c r="B94" s="648">
        <f t="shared" si="8"/>
        <v>0</v>
      </c>
      <c r="C94" s="648">
        <f t="shared" si="9"/>
        <v>0</v>
      </c>
      <c r="D94" s="648"/>
      <c r="E94" s="648">
        <f>G11</f>
        <v>0</v>
      </c>
      <c r="F94" s="648">
        <f>G13</f>
        <v>0</v>
      </c>
      <c r="G94" s="648"/>
      <c r="H94" s="648">
        <f>G11</f>
        <v>0</v>
      </c>
      <c r="I94" s="648">
        <f>G15</f>
        <v>0</v>
      </c>
      <c r="J94" s="648"/>
      <c r="K94" s="648"/>
      <c r="L94" s="648"/>
      <c r="N94" s="648"/>
      <c r="O94" s="648"/>
      <c r="P94" s="648">
        <v>7</v>
      </c>
      <c r="Q94" s="648">
        <f>O88</f>
        <v>0</v>
      </c>
      <c r="R94" s="648">
        <v>1</v>
      </c>
    </row>
    <row r="95" spans="1:18">
      <c r="B95" s="648">
        <f t="shared" si="8"/>
        <v>0</v>
      </c>
      <c r="C95" s="648">
        <f t="shared" si="9"/>
        <v>0</v>
      </c>
      <c r="D95" s="648"/>
      <c r="E95" s="648">
        <f>G14</f>
        <v>0</v>
      </c>
      <c r="F95" s="648">
        <f>G16</f>
        <v>0</v>
      </c>
      <c r="G95" s="648"/>
      <c r="H95" s="648">
        <f>G12</f>
        <v>0</v>
      </c>
      <c r="I95" s="648">
        <f>G16</f>
        <v>0</v>
      </c>
      <c r="J95" s="648"/>
      <c r="K95" s="648"/>
      <c r="L95" s="648"/>
    </row>
    <row r="96" spans="1:18">
      <c r="B96" s="648">
        <f t="shared" si="8"/>
        <v>0</v>
      </c>
      <c r="C96" s="648">
        <f t="shared" si="9"/>
        <v>0</v>
      </c>
      <c r="D96" s="648"/>
      <c r="E96" s="648">
        <f>G15</f>
        <v>0</v>
      </c>
      <c r="F96" s="648">
        <f>G17</f>
        <v>0</v>
      </c>
      <c r="G96" s="648"/>
      <c r="H96" s="648">
        <f>G13</f>
        <v>0</v>
      </c>
      <c r="I96" s="648">
        <f>G17</f>
        <v>0</v>
      </c>
      <c r="J96" s="648"/>
      <c r="K96" s="648"/>
      <c r="L96" s="648"/>
    </row>
    <row r="97" spans="2:26">
      <c r="B97" s="648">
        <f>AVERAGE(B89:B96)</f>
        <v>0</v>
      </c>
      <c r="C97" s="648">
        <f>AVERAGE(C89:C96)</f>
        <v>0</v>
      </c>
      <c r="D97" s="648"/>
      <c r="E97" s="648">
        <f>AVERAGE(E89:E96)</f>
        <v>0</v>
      </c>
      <c r="F97" s="648">
        <f>AVERAGE(F89:F96)</f>
        <v>0</v>
      </c>
      <c r="G97" s="648"/>
      <c r="H97" s="648">
        <f>AVERAGE(H89:H96)</f>
        <v>0</v>
      </c>
      <c r="I97" s="648">
        <f>AVERAGE(I89:I96)</f>
        <v>0</v>
      </c>
      <c r="J97" s="648"/>
      <c r="K97" s="648"/>
      <c r="L97" s="648"/>
      <c r="N97" s="648" t="s">
        <v>917</v>
      </c>
      <c r="O97" s="648"/>
      <c r="P97" s="648"/>
      <c r="Q97" s="648"/>
      <c r="R97" s="648"/>
      <c r="T97" s="709" t="s">
        <v>114</v>
      </c>
      <c r="U97" s="709" t="s">
        <v>115</v>
      </c>
      <c r="V97" s="709" t="s">
        <v>886</v>
      </c>
      <c r="W97" s="709" t="s">
        <v>847</v>
      </c>
      <c r="X97" s="709" t="s">
        <v>930</v>
      </c>
      <c r="Y97" s="709" t="s">
        <v>931</v>
      </c>
      <c r="Z97" s="709" t="s">
        <v>932</v>
      </c>
    </row>
    <row r="98" spans="2:26">
      <c r="B98" s="648"/>
      <c r="C98" s="648"/>
      <c r="D98" s="648"/>
      <c r="E98" s="648"/>
      <c r="F98" s="648"/>
      <c r="G98" s="648"/>
      <c r="H98" s="648"/>
      <c r="I98" s="648"/>
      <c r="J98" s="648"/>
      <c r="K98" s="648"/>
      <c r="L98" s="648"/>
      <c r="N98" s="659" t="s">
        <v>498</v>
      </c>
      <c r="O98" s="659" t="s">
        <v>453</v>
      </c>
      <c r="P98" s="660" t="s">
        <v>858</v>
      </c>
      <c r="Q98" s="663" t="s">
        <v>854</v>
      </c>
      <c r="R98" s="660" t="s">
        <v>460</v>
      </c>
      <c r="T98" s="688">
        <v>1</v>
      </c>
      <c r="U98" s="688">
        <v>1</v>
      </c>
      <c r="V98" s="688">
        <v>1</v>
      </c>
      <c r="W98" s="688">
        <v>1</v>
      </c>
      <c r="X98" s="688">
        <v>1</v>
      </c>
      <c r="Y98" s="688">
        <v>1</v>
      </c>
      <c r="Z98" s="688">
        <v>1</v>
      </c>
    </row>
    <row r="99" spans="2:26">
      <c r="B99" s="648"/>
      <c r="C99" s="1543" t="s">
        <v>886</v>
      </c>
      <c r="D99" s="1543"/>
      <c r="E99" s="648"/>
      <c r="F99" s="648"/>
      <c r="G99" s="1543" t="s">
        <v>930</v>
      </c>
      <c r="H99" s="1543"/>
      <c r="I99" s="648"/>
      <c r="J99" s="648"/>
      <c r="K99" s="1543" t="s">
        <v>931</v>
      </c>
      <c r="L99" s="1543"/>
      <c r="N99" s="648">
        <v>16</v>
      </c>
      <c r="O99" s="653">
        <f>N99/2</f>
        <v>8</v>
      </c>
      <c r="P99" s="649">
        <f t="shared" ref="P99:P107" si="10">1-R99</f>
        <v>0.5</v>
      </c>
      <c r="Q99" s="653">
        <v>1</v>
      </c>
      <c r="R99" s="649">
        <f>O99/N99</f>
        <v>0.5</v>
      </c>
      <c r="T99" s="688" t="str">
        <f t="shared" ref="T99:Z99" si="11">IF(M14=M13,1,"")</f>
        <v/>
      </c>
      <c r="U99" s="688">
        <f t="shared" si="11"/>
        <v>1</v>
      </c>
      <c r="V99" s="688" t="str">
        <f t="shared" si="11"/>
        <v/>
      </c>
      <c r="W99" s="688">
        <f t="shared" si="11"/>
        <v>1</v>
      </c>
      <c r="X99" s="688" t="str">
        <f t="shared" si="11"/>
        <v/>
      </c>
      <c r="Y99" s="688">
        <f t="shared" si="11"/>
        <v>1</v>
      </c>
      <c r="Z99" s="688" t="str">
        <f t="shared" si="11"/>
        <v/>
      </c>
    </row>
    <row r="100" spans="2:26">
      <c r="B100" s="648"/>
      <c r="C100" s="648" t="s">
        <v>914</v>
      </c>
      <c r="D100" s="648" t="s">
        <v>908</v>
      </c>
      <c r="E100" s="648"/>
      <c r="F100" s="648"/>
      <c r="G100" s="648" t="s">
        <v>914</v>
      </c>
      <c r="H100" s="648" t="s">
        <v>908</v>
      </c>
      <c r="I100" s="648"/>
      <c r="J100" s="648"/>
      <c r="K100" s="648" t="s">
        <v>909</v>
      </c>
      <c r="L100" s="648" t="s">
        <v>910</v>
      </c>
      <c r="N100" s="648">
        <f t="shared" ref="N100:O107" si="12">N99-1</f>
        <v>15</v>
      </c>
      <c r="O100" s="653">
        <f t="shared" si="12"/>
        <v>7</v>
      </c>
      <c r="P100" s="649">
        <f t="shared" si="10"/>
        <v>0.76666666666666661</v>
      </c>
      <c r="Q100" s="653">
        <v>2</v>
      </c>
      <c r="R100" s="649">
        <f t="shared" ref="R100:R107" si="13">R99*(O100/N100)</f>
        <v>0.23333333333333334</v>
      </c>
      <c r="T100" s="688" t="str">
        <f t="shared" ref="T100:T113" si="14">IF(AND(M15=M14,T99=1),1,"")</f>
        <v/>
      </c>
      <c r="U100" s="688" t="str">
        <f t="shared" ref="U100:U113" si="15">IF(AND(N15=N14,U99=1),1,"")</f>
        <v/>
      </c>
      <c r="V100" s="688" t="str">
        <f t="shared" ref="V100:V113" si="16">IF(AND(O15=O14,V99=1),1,"")</f>
        <v/>
      </c>
      <c r="W100" s="688">
        <f t="shared" ref="W100:W113" si="17">IF(AND(P15=P14,W99=1),1,"")</f>
        <v>1</v>
      </c>
      <c r="X100" s="688" t="str">
        <f t="shared" ref="X100:X113" si="18">IF(AND(Q15=Q14,X99=1),1,"")</f>
        <v/>
      </c>
      <c r="Y100" s="688" t="str">
        <f t="shared" ref="Y100:Y113" si="19">IF(AND(R15=R14,Y99=1),1,"")</f>
        <v/>
      </c>
      <c r="Z100" s="688" t="str">
        <f t="shared" ref="Z100:Z113" si="20">IF(AND(S15=S14,Z99=1),1,"")</f>
        <v/>
      </c>
    </row>
    <row r="101" spans="2:26">
      <c r="B101" s="648" t="s">
        <v>909</v>
      </c>
      <c r="C101" s="648">
        <f>E10</f>
        <v>0</v>
      </c>
      <c r="D101" s="648">
        <f>G10</f>
        <v>0</v>
      </c>
      <c r="E101" s="648"/>
      <c r="F101" s="648" t="s">
        <v>979</v>
      </c>
      <c r="G101" s="648">
        <f t="shared" ref="G101:G108" si="21">E10</f>
        <v>0</v>
      </c>
      <c r="H101" s="648">
        <f t="shared" ref="H101:H108" si="22">G10</f>
        <v>0</v>
      </c>
      <c r="I101" s="648"/>
      <c r="J101" s="648" t="s">
        <v>979</v>
      </c>
      <c r="K101" s="648">
        <f>E10</f>
        <v>0</v>
      </c>
      <c r="L101" s="648">
        <f>E12</f>
        <v>0</v>
      </c>
      <c r="N101" s="648">
        <f t="shared" si="12"/>
        <v>14</v>
      </c>
      <c r="O101" s="653">
        <f t="shared" si="12"/>
        <v>6</v>
      </c>
      <c r="P101" s="649">
        <f t="shared" si="10"/>
        <v>0.9</v>
      </c>
      <c r="Q101" s="653">
        <v>3</v>
      </c>
      <c r="R101" s="649">
        <f t="shared" si="13"/>
        <v>9.9999999999999992E-2</v>
      </c>
      <c r="T101" s="688" t="str">
        <f t="shared" si="14"/>
        <v/>
      </c>
      <c r="U101" s="688" t="str">
        <f t="shared" si="15"/>
        <v/>
      </c>
      <c r="V101" s="688" t="str">
        <f t="shared" si="16"/>
        <v/>
      </c>
      <c r="W101" s="688">
        <f t="shared" si="17"/>
        <v>1</v>
      </c>
      <c r="X101" s="688" t="str">
        <f t="shared" si="18"/>
        <v/>
      </c>
      <c r="Y101" s="688" t="str">
        <f t="shared" si="19"/>
        <v/>
      </c>
      <c r="Z101" s="688" t="str">
        <f t="shared" si="20"/>
        <v/>
      </c>
    </row>
    <row r="102" spans="2:26">
      <c r="B102" s="648"/>
      <c r="C102" s="648">
        <f>E11</f>
        <v>0</v>
      </c>
      <c r="D102" s="648">
        <f>G11</f>
        <v>0</v>
      </c>
      <c r="E102" s="648"/>
      <c r="F102" s="648"/>
      <c r="G102" s="648">
        <f t="shared" si="21"/>
        <v>0</v>
      </c>
      <c r="H102" s="648">
        <f t="shared" si="22"/>
        <v>0</v>
      </c>
      <c r="I102" s="648"/>
      <c r="J102" s="648"/>
      <c r="K102" s="648">
        <f>E11</f>
        <v>0</v>
      </c>
      <c r="L102" s="648">
        <f>E13</f>
        <v>0</v>
      </c>
      <c r="N102" s="648">
        <f t="shared" si="12"/>
        <v>13</v>
      </c>
      <c r="O102" s="653">
        <f t="shared" si="12"/>
        <v>5</v>
      </c>
      <c r="P102" s="649">
        <f t="shared" si="10"/>
        <v>0.96153846153846156</v>
      </c>
      <c r="Q102" s="653">
        <v>4</v>
      </c>
      <c r="R102" s="649">
        <f t="shared" si="13"/>
        <v>3.8461538461538464E-2</v>
      </c>
      <c r="T102" s="688" t="str">
        <f t="shared" si="14"/>
        <v/>
      </c>
      <c r="U102" s="688" t="str">
        <f t="shared" si="15"/>
        <v/>
      </c>
      <c r="V102" s="688" t="str">
        <f t="shared" si="16"/>
        <v/>
      </c>
      <c r="W102" s="688" t="str">
        <f t="shared" si="17"/>
        <v/>
      </c>
      <c r="X102" s="688" t="str">
        <f t="shared" si="18"/>
        <v/>
      </c>
      <c r="Y102" s="688" t="str">
        <f t="shared" si="19"/>
        <v/>
      </c>
      <c r="Z102" s="688" t="str">
        <f t="shared" si="20"/>
        <v/>
      </c>
    </row>
    <row r="103" spans="2:26">
      <c r="B103" s="648"/>
      <c r="C103" s="648">
        <f>E14</f>
        <v>0</v>
      </c>
      <c r="D103" s="648">
        <f>G14</f>
        <v>0</v>
      </c>
      <c r="E103" s="648"/>
      <c r="F103" s="648"/>
      <c r="G103" s="648">
        <f t="shared" si="21"/>
        <v>0</v>
      </c>
      <c r="H103" s="648">
        <f t="shared" si="22"/>
        <v>0</v>
      </c>
      <c r="I103" s="648"/>
      <c r="J103" s="648"/>
      <c r="K103" s="648">
        <f>G10</f>
        <v>0</v>
      </c>
      <c r="L103" s="648">
        <f>G12</f>
        <v>0</v>
      </c>
      <c r="N103" s="648">
        <f t="shared" si="12"/>
        <v>12</v>
      </c>
      <c r="O103" s="653">
        <f t="shared" si="12"/>
        <v>4</v>
      </c>
      <c r="P103" s="649">
        <f t="shared" si="10"/>
        <v>0.98717948717948723</v>
      </c>
      <c r="Q103" s="653">
        <v>5</v>
      </c>
      <c r="R103" s="649">
        <f t="shared" si="13"/>
        <v>1.282051282051282E-2</v>
      </c>
      <c r="T103" s="688" t="str">
        <f t="shared" si="14"/>
        <v/>
      </c>
      <c r="U103" s="688" t="str">
        <f t="shared" si="15"/>
        <v/>
      </c>
      <c r="V103" s="688" t="str">
        <f t="shared" si="16"/>
        <v/>
      </c>
      <c r="W103" s="688" t="str">
        <f t="shared" si="17"/>
        <v/>
      </c>
      <c r="X103" s="688" t="str">
        <f t="shared" si="18"/>
        <v/>
      </c>
      <c r="Y103" s="688" t="str">
        <f t="shared" si="19"/>
        <v/>
      </c>
      <c r="Z103" s="688" t="str">
        <f t="shared" si="20"/>
        <v/>
      </c>
    </row>
    <row r="104" spans="2:26">
      <c r="B104" s="648"/>
      <c r="C104" s="648">
        <f>E15</f>
        <v>0</v>
      </c>
      <c r="D104" s="648">
        <f>G15</f>
        <v>0</v>
      </c>
      <c r="E104" s="648"/>
      <c r="F104" s="648"/>
      <c r="G104" s="648">
        <f t="shared" si="21"/>
        <v>0</v>
      </c>
      <c r="H104" s="648">
        <f t="shared" si="22"/>
        <v>0</v>
      </c>
      <c r="I104" s="648"/>
      <c r="J104" s="648"/>
      <c r="K104" s="648">
        <f>G11</f>
        <v>0</v>
      </c>
      <c r="L104" s="648">
        <f>G13</f>
        <v>0</v>
      </c>
      <c r="N104" s="648">
        <f t="shared" si="12"/>
        <v>11</v>
      </c>
      <c r="O104" s="653">
        <f t="shared" si="12"/>
        <v>3</v>
      </c>
      <c r="P104" s="649">
        <f t="shared" si="10"/>
        <v>0.99650349650349646</v>
      </c>
      <c r="Q104" s="653">
        <v>6</v>
      </c>
      <c r="R104" s="649">
        <f t="shared" si="13"/>
        <v>3.4965034965034961E-3</v>
      </c>
      <c r="T104" s="688" t="str">
        <f t="shared" si="14"/>
        <v/>
      </c>
      <c r="U104" s="688" t="str">
        <f t="shared" si="15"/>
        <v/>
      </c>
      <c r="V104" s="688" t="str">
        <f t="shared" si="16"/>
        <v/>
      </c>
      <c r="W104" s="688" t="str">
        <f t="shared" si="17"/>
        <v/>
      </c>
      <c r="X104" s="688" t="str">
        <f t="shared" si="18"/>
        <v/>
      </c>
      <c r="Y104" s="688" t="str">
        <f t="shared" si="19"/>
        <v/>
      </c>
      <c r="Z104" s="688" t="str">
        <f t="shared" si="20"/>
        <v/>
      </c>
    </row>
    <row r="105" spans="2:26">
      <c r="B105" s="648" t="s">
        <v>910</v>
      </c>
      <c r="C105" s="648">
        <f>E12</f>
        <v>0</v>
      </c>
      <c r="D105" s="648">
        <f>G12</f>
        <v>0</v>
      </c>
      <c r="E105" s="648"/>
      <c r="F105" s="648" t="s">
        <v>980</v>
      </c>
      <c r="G105" s="648">
        <f t="shared" si="21"/>
        <v>0</v>
      </c>
      <c r="H105" s="648">
        <f t="shared" si="22"/>
        <v>0</v>
      </c>
      <c r="I105" s="648"/>
      <c r="J105" s="648" t="s">
        <v>980</v>
      </c>
      <c r="K105" s="648">
        <f>E14</f>
        <v>0</v>
      </c>
      <c r="L105" s="648">
        <f>E16</f>
        <v>0</v>
      </c>
      <c r="N105" s="648">
        <f t="shared" si="12"/>
        <v>10</v>
      </c>
      <c r="O105" s="653">
        <f t="shared" si="12"/>
        <v>2</v>
      </c>
      <c r="P105" s="649">
        <f t="shared" si="10"/>
        <v>0.99930069930069931</v>
      </c>
      <c r="Q105" s="653">
        <v>7</v>
      </c>
      <c r="R105" s="649">
        <f t="shared" si="13"/>
        <v>6.993006993006993E-4</v>
      </c>
      <c r="T105" s="688" t="str">
        <f t="shared" si="14"/>
        <v/>
      </c>
      <c r="U105" s="688" t="str">
        <f t="shared" si="15"/>
        <v/>
      </c>
      <c r="V105" s="688" t="str">
        <f t="shared" si="16"/>
        <v/>
      </c>
      <c r="W105" s="688" t="str">
        <f t="shared" si="17"/>
        <v/>
      </c>
      <c r="X105" s="688" t="str">
        <f t="shared" si="18"/>
        <v/>
      </c>
      <c r="Y105" s="688" t="str">
        <f t="shared" si="19"/>
        <v/>
      </c>
      <c r="Z105" s="688" t="str">
        <f t="shared" si="20"/>
        <v/>
      </c>
    </row>
    <row r="106" spans="2:26">
      <c r="B106" s="648"/>
      <c r="C106" s="648">
        <f>E13</f>
        <v>0</v>
      </c>
      <c r="D106" s="648">
        <f>G13</f>
        <v>0</v>
      </c>
      <c r="E106" s="648"/>
      <c r="F106" s="648"/>
      <c r="G106" s="648">
        <f t="shared" si="21"/>
        <v>0</v>
      </c>
      <c r="H106" s="648">
        <f t="shared" si="22"/>
        <v>0</v>
      </c>
      <c r="I106" s="648"/>
      <c r="J106" s="648"/>
      <c r="K106" s="648">
        <f>E15</f>
        <v>0</v>
      </c>
      <c r="L106" s="648">
        <f>E17</f>
        <v>0</v>
      </c>
      <c r="N106" s="648">
        <f t="shared" si="12"/>
        <v>9</v>
      </c>
      <c r="O106" s="653">
        <f t="shared" si="12"/>
        <v>1</v>
      </c>
      <c r="P106" s="649">
        <f t="shared" si="10"/>
        <v>0.99992229992229997</v>
      </c>
      <c r="Q106" s="653">
        <v>8</v>
      </c>
      <c r="R106" s="649">
        <f t="shared" si="13"/>
        <v>7.77000777000777E-5</v>
      </c>
      <c r="T106" s="688" t="str">
        <f t="shared" si="14"/>
        <v/>
      </c>
      <c r="U106" s="688" t="str">
        <f t="shared" si="15"/>
        <v/>
      </c>
      <c r="V106" s="688" t="str">
        <f t="shared" si="16"/>
        <v/>
      </c>
      <c r="W106" s="688" t="str">
        <f t="shared" si="17"/>
        <v/>
      </c>
      <c r="X106" s="688" t="str">
        <f t="shared" si="18"/>
        <v/>
      </c>
      <c r="Y106" s="688" t="str">
        <f t="shared" si="19"/>
        <v/>
      </c>
      <c r="Z106" s="688" t="str">
        <f t="shared" si="20"/>
        <v/>
      </c>
    </row>
    <row r="107" spans="2:26">
      <c r="B107" s="648"/>
      <c r="C107" s="648">
        <f>E16</f>
        <v>0</v>
      </c>
      <c r="D107" s="648">
        <f>G16</f>
        <v>0</v>
      </c>
      <c r="E107" s="648"/>
      <c r="F107" s="648"/>
      <c r="G107" s="648">
        <f t="shared" si="21"/>
        <v>0</v>
      </c>
      <c r="H107" s="648">
        <f t="shared" si="22"/>
        <v>0</v>
      </c>
      <c r="I107" s="648"/>
      <c r="J107" s="648"/>
      <c r="K107" s="648">
        <f>G14</f>
        <v>0</v>
      </c>
      <c r="L107" s="648">
        <f>G16</f>
        <v>0</v>
      </c>
      <c r="N107" s="648">
        <f t="shared" si="12"/>
        <v>8</v>
      </c>
      <c r="O107" s="653">
        <f t="shared" si="12"/>
        <v>0</v>
      </c>
      <c r="P107" s="649">
        <f t="shared" si="10"/>
        <v>1</v>
      </c>
      <c r="Q107" s="653">
        <v>9</v>
      </c>
      <c r="R107" s="649">
        <f t="shared" si="13"/>
        <v>0</v>
      </c>
      <c r="T107" s="688" t="str">
        <f t="shared" si="14"/>
        <v/>
      </c>
      <c r="U107" s="688" t="str">
        <f t="shared" si="15"/>
        <v/>
      </c>
      <c r="V107" s="688" t="str">
        <f t="shared" si="16"/>
        <v/>
      </c>
      <c r="W107" s="688" t="str">
        <f t="shared" si="17"/>
        <v/>
      </c>
      <c r="X107" s="688" t="str">
        <f t="shared" si="18"/>
        <v/>
      </c>
      <c r="Y107" s="688" t="str">
        <f t="shared" si="19"/>
        <v/>
      </c>
      <c r="Z107" s="688" t="str">
        <f t="shared" si="20"/>
        <v/>
      </c>
    </row>
    <row r="108" spans="2:26">
      <c r="B108" s="648"/>
      <c r="C108" s="648">
        <f>E17</f>
        <v>0</v>
      </c>
      <c r="D108" s="648">
        <f>G17</f>
        <v>0</v>
      </c>
      <c r="E108" s="648"/>
      <c r="F108" s="648"/>
      <c r="G108" s="648">
        <f t="shared" si="21"/>
        <v>0</v>
      </c>
      <c r="H108" s="648">
        <f t="shared" si="22"/>
        <v>0</v>
      </c>
      <c r="I108" s="648"/>
      <c r="J108" s="648"/>
      <c r="K108" s="648">
        <f>G15</f>
        <v>0</v>
      </c>
      <c r="L108" s="648">
        <f>G17</f>
        <v>0</v>
      </c>
      <c r="T108" s="688" t="str">
        <f t="shared" si="14"/>
        <v/>
      </c>
      <c r="U108" s="688" t="str">
        <f t="shared" si="15"/>
        <v/>
      </c>
      <c r="V108" s="688" t="str">
        <f t="shared" si="16"/>
        <v/>
      </c>
      <c r="W108" s="688" t="str">
        <f t="shared" si="17"/>
        <v/>
      </c>
      <c r="X108" s="688" t="str">
        <f t="shared" si="18"/>
        <v/>
      </c>
      <c r="Y108" s="688" t="str">
        <f t="shared" si="19"/>
        <v/>
      </c>
      <c r="Z108" s="688" t="str">
        <f t="shared" si="20"/>
        <v/>
      </c>
    </row>
    <row r="109" spans="2:26">
      <c r="B109" s="648"/>
      <c r="C109" s="648"/>
      <c r="D109" s="648"/>
      <c r="E109" s="648"/>
      <c r="F109" s="648"/>
      <c r="G109" s="648"/>
      <c r="H109" s="648"/>
      <c r="I109" s="648"/>
      <c r="J109" s="648"/>
      <c r="K109" s="648"/>
      <c r="L109" s="648"/>
      <c r="N109" s="661"/>
      <c r="O109" s="661"/>
      <c r="P109" s="661"/>
      <c r="Q109" s="662" t="s">
        <v>918</v>
      </c>
      <c r="R109" s="663">
        <f>LOOKUP(N3,P99:P107,Q99:Q107)+1</f>
        <v>6</v>
      </c>
      <c r="T109" s="688" t="str">
        <f t="shared" si="14"/>
        <v/>
      </c>
      <c r="U109" s="688" t="str">
        <f t="shared" si="15"/>
        <v/>
      </c>
      <c r="V109" s="688" t="str">
        <f t="shared" si="16"/>
        <v/>
      </c>
      <c r="W109" s="688" t="str">
        <f t="shared" si="17"/>
        <v/>
      </c>
      <c r="X109" s="688" t="str">
        <f t="shared" si="18"/>
        <v/>
      </c>
      <c r="Y109" s="688" t="str">
        <f t="shared" si="19"/>
        <v/>
      </c>
      <c r="Z109" s="688" t="str">
        <f t="shared" si="20"/>
        <v/>
      </c>
    </row>
    <row r="110" spans="2:26">
      <c r="B110" s="648" t="s">
        <v>909</v>
      </c>
      <c r="C110" s="648" t="e">
        <f>C63</f>
        <v>#DIV/0!</v>
      </c>
      <c r="D110" s="648" t="e">
        <f>C64</f>
        <v>#DIV/0!</v>
      </c>
      <c r="E110" s="648"/>
      <c r="F110" s="648" t="s">
        <v>979</v>
      </c>
      <c r="G110" s="648">
        <f>AVERAGE(G101:G104)</f>
        <v>0</v>
      </c>
      <c r="H110" s="648">
        <f>AVERAGE(H101:H104)</f>
        <v>0</v>
      </c>
      <c r="I110" s="648"/>
      <c r="J110" s="648" t="s">
        <v>979</v>
      </c>
      <c r="K110" s="648">
        <f>AVERAGE(K101:K104)</f>
        <v>0</v>
      </c>
      <c r="L110" s="648">
        <f>AVERAGE(L101:L104)</f>
        <v>0</v>
      </c>
      <c r="T110" s="688" t="str">
        <f t="shared" si="14"/>
        <v/>
      </c>
      <c r="U110" s="688" t="str">
        <f t="shared" si="15"/>
        <v/>
      </c>
      <c r="V110" s="688" t="str">
        <f t="shared" si="16"/>
        <v/>
      </c>
      <c r="W110" s="688" t="str">
        <f t="shared" si="17"/>
        <v/>
      </c>
      <c r="X110" s="688" t="str">
        <f t="shared" si="18"/>
        <v/>
      </c>
      <c r="Y110" s="688" t="str">
        <f t="shared" si="19"/>
        <v/>
      </c>
      <c r="Z110" s="688" t="str">
        <f t="shared" si="20"/>
        <v/>
      </c>
    </row>
    <row r="111" spans="2:26">
      <c r="B111" s="648" t="s">
        <v>910</v>
      </c>
      <c r="C111" s="648" t="e">
        <f>D63</f>
        <v>#DIV/0!</v>
      </c>
      <c r="D111" s="648" t="e">
        <f>D64</f>
        <v>#DIV/0!</v>
      </c>
      <c r="E111" s="648"/>
      <c r="F111" s="648" t="s">
        <v>980</v>
      </c>
      <c r="G111" s="648">
        <f>AVERAGE(G105:G108)</f>
        <v>0</v>
      </c>
      <c r="H111" s="648">
        <f>AVERAGE(H105:H108)</f>
        <v>0</v>
      </c>
      <c r="I111" s="648"/>
      <c r="J111" s="648" t="s">
        <v>980</v>
      </c>
      <c r="K111" s="648">
        <f>AVERAGE(K105:K108)</f>
        <v>0</v>
      </c>
      <c r="L111" s="648">
        <f>AVERAGE(L105:L108)</f>
        <v>0</v>
      </c>
      <c r="T111" s="688" t="str">
        <f t="shared" si="14"/>
        <v/>
      </c>
      <c r="U111" s="688" t="str">
        <f t="shared" si="15"/>
        <v/>
      </c>
      <c r="V111" s="688" t="str">
        <f t="shared" si="16"/>
        <v/>
      </c>
      <c r="W111" s="688" t="str">
        <f t="shared" si="17"/>
        <v/>
      </c>
      <c r="X111" s="688" t="str">
        <f t="shared" si="18"/>
        <v/>
      </c>
      <c r="Y111" s="688" t="str">
        <f t="shared" si="19"/>
        <v/>
      </c>
      <c r="Z111" s="688" t="str">
        <f t="shared" si="20"/>
        <v/>
      </c>
    </row>
    <row r="112" spans="2:26">
      <c r="T112" s="688" t="str">
        <f t="shared" si="14"/>
        <v/>
      </c>
      <c r="U112" s="688" t="str">
        <f t="shared" si="15"/>
        <v/>
      </c>
      <c r="V112" s="688" t="str">
        <f t="shared" si="16"/>
        <v/>
      </c>
      <c r="W112" s="688" t="str">
        <f t="shared" si="17"/>
        <v/>
      </c>
      <c r="X112" s="688" t="str">
        <f t="shared" si="18"/>
        <v/>
      </c>
      <c r="Y112" s="688" t="str">
        <f t="shared" si="19"/>
        <v/>
      </c>
      <c r="Z112" s="688" t="str">
        <f t="shared" si="20"/>
        <v/>
      </c>
    </row>
    <row r="113" spans="19:26" ht="13.5" thickBot="1">
      <c r="T113" s="710" t="str">
        <f t="shared" si="14"/>
        <v/>
      </c>
      <c r="U113" s="710" t="str">
        <f t="shared" si="15"/>
        <v/>
      </c>
      <c r="V113" s="710" t="str">
        <f t="shared" si="16"/>
        <v/>
      </c>
      <c r="W113" s="710" t="str">
        <f t="shared" si="17"/>
        <v/>
      </c>
      <c r="X113" s="710" t="str">
        <f t="shared" si="18"/>
        <v/>
      </c>
      <c r="Y113" s="710" t="str">
        <f t="shared" si="19"/>
        <v/>
      </c>
      <c r="Z113" s="710" t="str">
        <f t="shared" si="20"/>
        <v/>
      </c>
    </row>
    <row r="114" spans="19:26" ht="13.5" thickTop="1">
      <c r="S114" s="571" t="s">
        <v>988</v>
      </c>
      <c r="T114" s="711">
        <f t="shared" ref="T114:Z114" si="23">SUM(T98:T113)</f>
        <v>1</v>
      </c>
      <c r="U114" s="711">
        <f t="shared" si="23"/>
        <v>2</v>
      </c>
      <c r="V114" s="711">
        <f t="shared" si="23"/>
        <v>1</v>
      </c>
      <c r="W114" s="711">
        <f t="shared" si="23"/>
        <v>4</v>
      </c>
      <c r="X114" s="711">
        <f t="shared" si="23"/>
        <v>1</v>
      </c>
      <c r="Y114" s="711">
        <f t="shared" si="23"/>
        <v>2</v>
      </c>
      <c r="Z114" s="711">
        <f t="shared" si="23"/>
        <v>1</v>
      </c>
    </row>
  </sheetData>
  <sheetProtection password="CC08" sheet="1" scenarios="1"/>
  <sortState ref="X57:AA72">
    <sortCondition ref="AA57"/>
  </sortState>
  <mergeCells count="23">
    <mergeCell ref="Y38:AB38"/>
    <mergeCell ref="W38:X38"/>
    <mergeCell ref="G99:H99"/>
    <mergeCell ref="C99:D99"/>
    <mergeCell ref="K99:L99"/>
    <mergeCell ref="BA3:BH3"/>
    <mergeCell ref="W37:AC37"/>
    <mergeCell ref="BA2:BH2"/>
    <mergeCell ref="AQ2:AX2"/>
    <mergeCell ref="AQ5:AX5"/>
    <mergeCell ref="AQ20:AX20"/>
    <mergeCell ref="X18:AC18"/>
    <mergeCell ref="X19:AC19"/>
    <mergeCell ref="C16:C17"/>
    <mergeCell ref="AQ35:AX35"/>
    <mergeCell ref="AH2:AM2"/>
    <mergeCell ref="B10:B13"/>
    <mergeCell ref="B14:B17"/>
    <mergeCell ref="C10:C11"/>
    <mergeCell ref="C12:C13"/>
    <mergeCell ref="C14:C15"/>
    <mergeCell ref="X2:AC2"/>
    <mergeCell ref="AQ3:AX3"/>
  </mergeCells>
  <phoneticPr fontId="100" type="noConversion"/>
  <conditionalFormatting sqref="AC39:AC45">
    <cfRule type="cellIs" dxfId="21" priority="1" stopIfTrue="1" operator="greaterThanOrEqual">
      <formula>$AC$46</formula>
    </cfRule>
  </conditionalFormatting>
  <conditionalFormatting sqref="X39:Y45">
    <cfRule type="expression" dxfId="20" priority="2" stopIfTrue="1">
      <formula>$AC39&gt;=$AC$46</formula>
    </cfRule>
  </conditionalFormatting>
  <conditionalFormatting sqref="AD39:AD45">
    <cfRule type="cellIs" dxfId="19" priority="3" stopIfTrue="1" operator="greaterThanOrEqual">
      <formula>$AD$47</formula>
    </cfRule>
  </conditionalFormatting>
  <printOptions horizontalCentered="1"/>
  <pageMargins left="0.75" right="0.75" top="1" bottom="1" header="0.5" footer="0.5"/>
  <pageSetup orientation="portrait" r:id="rId1"/>
  <headerFooter alignWithMargins="0">
    <oddHeader>&amp;C&amp;"Times New Roman,Bold"&amp;12 2&amp;X3&amp;X Full Factorial DOE</oddHeader>
    <oddFooter>&amp;L&amp;F&amp;CPage &amp;P of &amp;N&amp;R&amp;D</oddFooter>
  </headerFooter>
  <drawing r:id="rId2"/>
  <legacyDrawing r:id="rId3"/>
  <oleObjects>
    <oleObject progId="Equation.3" shapeId="51215" r:id="rId4"/>
  </oleObjects>
  <controls>
    <control shapeId="51216" r:id="rId5" name="MainMenu"/>
  </controls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3"/>
  <dimension ref="A1:CM138"/>
  <sheetViews>
    <sheetView showGridLines="0" zoomScale="75" workbookViewId="0">
      <selection activeCell="AF5" sqref="AF5"/>
    </sheetView>
  </sheetViews>
  <sheetFormatPr defaultColWidth="8" defaultRowHeight="12.75"/>
  <cols>
    <col min="1" max="11" width="8" style="560" customWidth="1"/>
    <col min="12" max="12" width="5.85546875" style="645" customWidth="1"/>
    <col min="13" max="13" width="5" style="645" customWidth="1"/>
    <col min="14" max="15" width="2.85546875" style="560" customWidth="1"/>
    <col min="16" max="16" width="3.5703125" style="560" customWidth="1"/>
    <col min="17" max="17" width="2.85546875" style="560" customWidth="1"/>
    <col min="18" max="19" width="3.5703125" style="560" customWidth="1"/>
    <col min="20" max="20" width="4.7109375" style="560" customWidth="1"/>
    <col min="21" max="21" width="2.85546875" style="560" customWidth="1"/>
    <col min="22" max="23" width="3.5703125" style="560" customWidth="1"/>
    <col min="24" max="24" width="4.7109375" style="560" customWidth="1"/>
    <col min="25" max="25" width="3.5703125" style="560" customWidth="1"/>
    <col min="26" max="27" width="4.7109375" style="560" customWidth="1"/>
    <col min="28" max="28" width="6.28515625" style="560" customWidth="1"/>
    <col min="29" max="30" width="8" style="645" customWidth="1"/>
    <col min="31" max="16384" width="8" style="560"/>
  </cols>
  <sheetData>
    <row r="1" spans="1:91" ht="13.5" thickBot="1">
      <c r="B1" s="571" t="s">
        <v>445</v>
      </c>
      <c r="C1" s="958"/>
      <c r="D1" s="959"/>
      <c r="E1" s="959"/>
      <c r="F1" s="959"/>
      <c r="G1" s="960"/>
      <c r="H1" s="610" t="s">
        <v>865</v>
      </c>
      <c r="I1" s="610" t="s">
        <v>866</v>
      </c>
      <c r="AR1" s="1533">
        <f>C1</f>
        <v>0</v>
      </c>
      <c r="AS1" s="1533"/>
      <c r="AT1" s="1533"/>
      <c r="AU1" s="1533"/>
      <c r="AV1" s="1533"/>
      <c r="AW1" s="1533"/>
      <c r="AX1" s="1533"/>
      <c r="AY1" s="1533"/>
      <c r="BB1" s="1533">
        <f>C1</f>
        <v>0</v>
      </c>
      <c r="BC1" s="1533"/>
      <c r="BD1" s="1533"/>
      <c r="BE1" s="1533"/>
      <c r="BF1" s="1533"/>
      <c r="BG1" s="1533"/>
      <c r="BH1" s="1533"/>
      <c r="BI1" s="1533"/>
      <c r="BL1" s="1533" t="s">
        <v>984</v>
      </c>
      <c r="BM1" s="1533"/>
      <c r="BN1" s="1533"/>
      <c r="BO1" s="1533"/>
      <c r="BP1" s="1533"/>
      <c r="BQ1" s="1533"/>
      <c r="BR1" s="1533"/>
      <c r="BS1" s="1533"/>
      <c r="BV1" s="1533" t="s">
        <v>985</v>
      </c>
      <c r="BW1" s="1533"/>
      <c r="BX1" s="1533"/>
      <c r="BY1" s="1533"/>
      <c r="BZ1" s="1533"/>
      <c r="CA1" s="1533"/>
      <c r="CB1" s="1533"/>
      <c r="CC1" s="1533"/>
      <c r="CD1" s="712"/>
      <c r="CF1" s="1533" t="s">
        <v>985</v>
      </c>
      <c r="CG1" s="1533"/>
      <c r="CH1" s="1533"/>
      <c r="CI1" s="1533"/>
      <c r="CJ1" s="1533"/>
      <c r="CK1" s="1533"/>
      <c r="CL1" s="1533"/>
      <c r="CM1" s="1533"/>
    </row>
    <row r="2" spans="1:91">
      <c r="B2" s="571" t="s">
        <v>868</v>
      </c>
      <c r="C2" s="958"/>
      <c r="D2" s="959"/>
      <c r="E2" s="959"/>
      <c r="F2" s="959"/>
      <c r="G2" s="960"/>
      <c r="H2" s="954"/>
      <c r="I2" s="954"/>
      <c r="K2" s="615"/>
      <c r="V2" s="613">
        <f>C1</f>
        <v>0</v>
      </c>
      <c r="AE2" s="614"/>
      <c r="AF2" s="614"/>
      <c r="AG2" s="614"/>
      <c r="AH2" s="614"/>
      <c r="AI2" s="614"/>
      <c r="AJ2" s="614"/>
      <c r="AK2" s="614"/>
      <c r="AL2" s="614"/>
      <c r="AM2" s="614"/>
      <c r="AN2" s="614"/>
      <c r="AO2" s="614"/>
      <c r="AP2" s="615"/>
      <c r="AQ2" s="615"/>
      <c r="AR2" s="615"/>
      <c r="AS2" s="615"/>
      <c r="AT2" s="615"/>
      <c r="AU2" s="615"/>
      <c r="AV2" s="615"/>
      <c r="AW2" s="615"/>
      <c r="AX2" s="615"/>
      <c r="AY2" s="615"/>
      <c r="AZ2" s="615"/>
      <c r="BB2" s="611"/>
      <c r="BC2" s="611"/>
      <c r="BD2" s="611"/>
      <c r="BE2" s="611"/>
      <c r="BF2" s="611"/>
      <c r="BG2" s="611"/>
      <c r="BH2" s="611"/>
      <c r="BI2" s="611"/>
      <c r="BL2" s="1533">
        <f>$C$1</f>
        <v>0</v>
      </c>
      <c r="BM2" s="1533"/>
      <c r="BN2" s="1533"/>
      <c r="BO2" s="1533"/>
      <c r="BP2" s="1533"/>
      <c r="BQ2" s="1533"/>
      <c r="BR2" s="1533"/>
      <c r="BS2" s="1533"/>
      <c r="BV2" s="1533">
        <f>$C$1</f>
        <v>0</v>
      </c>
      <c r="BW2" s="1533"/>
      <c r="BX2" s="1533"/>
      <c r="BY2" s="1533"/>
      <c r="BZ2" s="1533"/>
      <c r="CA2" s="1533"/>
      <c r="CB2" s="1533"/>
      <c r="CC2" s="1533"/>
      <c r="CF2" s="1533">
        <f>$C$1</f>
        <v>0</v>
      </c>
      <c r="CG2" s="1533"/>
      <c r="CH2" s="1533"/>
      <c r="CI2" s="1533"/>
      <c r="CJ2" s="1533"/>
      <c r="CK2" s="1533"/>
      <c r="CL2" s="1533"/>
      <c r="CM2" s="1533"/>
    </row>
    <row r="3" spans="1:91">
      <c r="B3" s="571" t="s">
        <v>869</v>
      </c>
      <c r="C3" s="958"/>
      <c r="D3" s="959"/>
      <c r="E3" s="959"/>
      <c r="F3" s="959"/>
      <c r="G3" s="960"/>
      <c r="H3" s="954"/>
      <c r="I3" s="954"/>
      <c r="BI3" s="611"/>
    </row>
    <row r="4" spans="1:91">
      <c r="B4" s="571" t="s">
        <v>973</v>
      </c>
      <c r="C4" s="958"/>
      <c r="D4" s="959"/>
      <c r="E4" s="959"/>
      <c r="F4" s="959"/>
      <c r="G4" s="960"/>
      <c r="H4" s="954"/>
      <c r="I4" s="954"/>
      <c r="M4" s="713"/>
      <c r="N4" s="1544" t="s">
        <v>891</v>
      </c>
      <c r="O4" s="1544"/>
      <c r="P4" s="1544"/>
      <c r="Q4" s="1544"/>
      <c r="R4" s="1544"/>
      <c r="S4" s="1544"/>
      <c r="T4" s="1544"/>
      <c r="U4" s="1544"/>
      <c r="V4" s="1544"/>
      <c r="W4" s="1544"/>
      <c r="X4" s="1544"/>
      <c r="Y4" s="1544"/>
      <c r="Z4" s="1544"/>
      <c r="AA4" s="1544"/>
      <c r="AB4" s="1544"/>
      <c r="AC4" s="713"/>
      <c r="AD4" s="713"/>
      <c r="BB4" s="1548" t="s">
        <v>887</v>
      </c>
      <c r="BC4" s="1548"/>
      <c r="BD4" s="1548"/>
      <c r="BE4" s="1548"/>
      <c r="BF4" s="1548"/>
      <c r="BG4" s="1548"/>
      <c r="BH4" s="1548"/>
      <c r="BI4" s="611"/>
    </row>
    <row r="5" spans="1:91">
      <c r="B5" s="571" t="s">
        <v>976</v>
      </c>
      <c r="C5" s="958"/>
      <c r="D5" s="959"/>
      <c r="E5" s="959"/>
      <c r="F5" s="959"/>
      <c r="G5" s="960"/>
      <c r="H5" s="954"/>
      <c r="I5" s="954"/>
      <c r="M5" s="713"/>
      <c r="N5" s="1544" t="s">
        <v>893</v>
      </c>
      <c r="O5" s="1544"/>
      <c r="P5" s="1544"/>
      <c r="Q5" s="1544"/>
      <c r="R5" s="1544"/>
      <c r="S5" s="1544"/>
      <c r="T5" s="1544"/>
      <c r="U5" s="1544"/>
      <c r="V5" s="1544"/>
      <c r="W5" s="1544"/>
      <c r="X5" s="1544"/>
      <c r="Y5" s="1544"/>
      <c r="Z5" s="1544"/>
      <c r="AA5" s="1544"/>
      <c r="AB5" s="1544"/>
      <c r="AC5" s="713"/>
      <c r="AD5" s="713"/>
      <c r="BB5" s="634"/>
      <c r="BC5" s="677" t="s">
        <v>971</v>
      </c>
      <c r="BD5" s="634">
        <f>C2</f>
        <v>0</v>
      </c>
      <c r="BE5" s="635"/>
      <c r="BF5" s="635"/>
      <c r="BG5" s="636"/>
      <c r="BH5" s="627">
        <f>N25</f>
        <v>2</v>
      </c>
      <c r="BJ5" s="591"/>
      <c r="BM5" s="611">
        <f>C2</f>
        <v>0</v>
      </c>
      <c r="BR5" s="611">
        <f>C3</f>
        <v>0</v>
      </c>
    </row>
    <row r="6" spans="1:91">
      <c r="B6" s="571" t="s">
        <v>919</v>
      </c>
      <c r="C6" s="954">
        <v>0.95</v>
      </c>
      <c r="BB6" s="634"/>
      <c r="BC6" s="677" t="s">
        <v>972</v>
      </c>
      <c r="BD6" s="634">
        <f>C3</f>
        <v>0</v>
      </c>
      <c r="BE6" s="635"/>
      <c r="BF6" s="635"/>
      <c r="BG6" s="636"/>
      <c r="BH6" s="627">
        <f>O25</f>
        <v>4</v>
      </c>
    </row>
    <row r="7" spans="1:91">
      <c r="L7" s="673" t="s">
        <v>896</v>
      </c>
      <c r="N7" s="670" t="s">
        <v>929</v>
      </c>
      <c r="O7" s="671"/>
      <c r="P7" s="671"/>
      <c r="Q7" s="671"/>
      <c r="R7" s="671"/>
      <c r="S7" s="671"/>
      <c r="T7" s="671"/>
      <c r="U7" s="671"/>
      <c r="V7" s="671"/>
      <c r="W7" s="671"/>
      <c r="X7" s="671"/>
      <c r="Y7" s="671"/>
      <c r="Z7" s="671"/>
      <c r="AA7" s="671"/>
      <c r="AB7" s="637"/>
      <c r="AD7" s="673" t="s">
        <v>898</v>
      </c>
      <c r="BB7" s="634"/>
      <c r="BC7" s="677" t="s">
        <v>974</v>
      </c>
      <c r="BD7" s="634">
        <f>C4</f>
        <v>0</v>
      </c>
      <c r="BE7" s="635"/>
      <c r="BF7" s="635"/>
      <c r="BG7" s="636"/>
      <c r="BH7" s="627">
        <f>Q25</f>
        <v>8</v>
      </c>
    </row>
    <row r="8" spans="1:91" ht="12.75" customHeight="1">
      <c r="A8" s="1544" t="s">
        <v>999</v>
      </c>
      <c r="B8" s="1544"/>
      <c r="C8" s="1544"/>
      <c r="D8" s="1544"/>
      <c r="E8" s="1544"/>
      <c r="F8" s="1544"/>
      <c r="G8" s="1544"/>
      <c r="H8" s="1544"/>
      <c r="I8" s="1544"/>
      <c r="J8" s="1544"/>
      <c r="L8" s="1356" t="s">
        <v>899</v>
      </c>
      <c r="M8" s="674" t="s">
        <v>879</v>
      </c>
      <c r="N8" s="674" t="s">
        <v>114</v>
      </c>
      <c r="O8" s="674" t="s">
        <v>115</v>
      </c>
      <c r="P8" s="674" t="s">
        <v>886</v>
      </c>
      <c r="Q8" s="674" t="s">
        <v>847</v>
      </c>
      <c r="R8" s="674" t="s">
        <v>930</v>
      </c>
      <c r="S8" s="674" t="s">
        <v>931</v>
      </c>
      <c r="T8" s="674" t="s">
        <v>932</v>
      </c>
      <c r="U8" s="674" t="s">
        <v>884</v>
      </c>
      <c r="V8" s="674" t="s">
        <v>946</v>
      </c>
      <c r="W8" s="674" t="s">
        <v>947</v>
      </c>
      <c r="X8" s="674" t="s">
        <v>948</v>
      </c>
      <c r="Y8" s="674" t="s">
        <v>949</v>
      </c>
      <c r="Z8" s="674" t="s">
        <v>950</v>
      </c>
      <c r="AA8" s="674" t="s">
        <v>951</v>
      </c>
      <c r="AB8" s="674" t="s">
        <v>952</v>
      </c>
      <c r="AC8" s="674" t="s">
        <v>880</v>
      </c>
      <c r="AD8" s="714" t="s">
        <v>899</v>
      </c>
      <c r="BB8" s="634"/>
      <c r="BC8" s="677" t="s">
        <v>977</v>
      </c>
      <c r="BD8" s="634">
        <f>C5</f>
        <v>0</v>
      </c>
      <c r="BE8" s="635"/>
      <c r="BF8" s="635"/>
      <c r="BG8" s="636"/>
      <c r="BH8" s="627">
        <f>U25</f>
        <v>16</v>
      </c>
    </row>
    <row r="9" spans="1:91">
      <c r="C9" s="614" t="s">
        <v>873</v>
      </c>
      <c r="D9" s="615"/>
      <c r="E9" s="615"/>
      <c r="F9" s="614"/>
      <c r="G9" s="616" t="s">
        <v>876</v>
      </c>
      <c r="H9" s="615"/>
      <c r="I9" s="615"/>
      <c r="J9" s="614"/>
      <c r="L9" s="972">
        <v>3</v>
      </c>
      <c r="M9" s="1354" t="s">
        <v>872</v>
      </c>
      <c r="N9" s="715" t="s">
        <v>900</v>
      </c>
      <c r="O9" s="715" t="s">
        <v>900</v>
      </c>
      <c r="P9" s="715" t="s">
        <v>901</v>
      </c>
      <c r="Q9" s="715" t="s">
        <v>900</v>
      </c>
      <c r="R9" s="715" t="s">
        <v>901</v>
      </c>
      <c r="S9" s="715" t="s">
        <v>901</v>
      </c>
      <c r="T9" s="715" t="s">
        <v>900</v>
      </c>
      <c r="U9" s="715" t="s">
        <v>900</v>
      </c>
      <c r="V9" s="715" t="s">
        <v>901</v>
      </c>
      <c r="W9" s="715" t="s">
        <v>901</v>
      </c>
      <c r="X9" s="715" t="s">
        <v>900</v>
      </c>
      <c r="Y9" s="715" t="s">
        <v>901</v>
      </c>
      <c r="Z9" s="715" t="s">
        <v>900</v>
      </c>
      <c r="AA9" s="715" t="s">
        <v>900</v>
      </c>
      <c r="AB9" s="715" t="s">
        <v>901</v>
      </c>
      <c r="AC9" s="716"/>
      <c r="AD9" s="717">
        <v>1</v>
      </c>
      <c r="BB9" s="634"/>
      <c r="BC9" s="677" t="s">
        <v>975</v>
      </c>
      <c r="BD9" s="634" t="s">
        <v>886</v>
      </c>
      <c r="BE9" s="635"/>
      <c r="BF9" s="635"/>
      <c r="BG9" s="636"/>
      <c r="BH9" s="627">
        <f>P25</f>
        <v>0</v>
      </c>
    </row>
    <row r="10" spans="1:91" ht="15.75" customHeight="1">
      <c r="C10" s="614" t="s">
        <v>870</v>
      </c>
      <c r="D10" s="614"/>
      <c r="E10" s="616" t="s">
        <v>871</v>
      </c>
      <c r="F10" s="718"/>
      <c r="G10" s="616" t="s">
        <v>870</v>
      </c>
      <c r="H10" s="614"/>
      <c r="I10" s="616" t="s">
        <v>871</v>
      </c>
      <c r="J10" s="718"/>
      <c r="L10" s="972">
        <v>16</v>
      </c>
      <c r="M10" s="1355" t="s">
        <v>460</v>
      </c>
      <c r="N10" s="715" t="s">
        <v>901</v>
      </c>
      <c r="O10" s="715" t="s">
        <v>900</v>
      </c>
      <c r="P10" s="715" t="s">
        <v>900</v>
      </c>
      <c r="Q10" s="715" t="s">
        <v>900</v>
      </c>
      <c r="R10" s="715" t="s">
        <v>900</v>
      </c>
      <c r="S10" s="715" t="s">
        <v>901</v>
      </c>
      <c r="T10" s="715" t="s">
        <v>901</v>
      </c>
      <c r="U10" s="715" t="s">
        <v>900</v>
      </c>
      <c r="V10" s="715" t="s">
        <v>900</v>
      </c>
      <c r="W10" s="715" t="s">
        <v>901</v>
      </c>
      <c r="X10" s="715" t="s">
        <v>901</v>
      </c>
      <c r="Y10" s="715" t="s">
        <v>901</v>
      </c>
      <c r="Z10" s="715" t="s">
        <v>901</v>
      </c>
      <c r="AA10" s="715" t="s">
        <v>900</v>
      </c>
      <c r="AB10" s="715" t="s">
        <v>900</v>
      </c>
      <c r="AC10" s="716"/>
      <c r="AD10" s="717">
        <v>2</v>
      </c>
      <c r="BB10" s="634"/>
      <c r="BC10" s="677" t="s">
        <v>975</v>
      </c>
      <c r="BD10" s="634" t="s">
        <v>930</v>
      </c>
      <c r="BE10" s="635"/>
      <c r="BF10" s="635"/>
      <c r="BG10" s="636"/>
      <c r="BH10" s="627">
        <f>R25</f>
        <v>0</v>
      </c>
    </row>
    <row r="11" spans="1:91">
      <c r="A11" s="1545" t="s">
        <v>953</v>
      </c>
      <c r="B11" s="719" t="s">
        <v>933</v>
      </c>
      <c r="C11" s="720" t="s">
        <v>872</v>
      </c>
      <c r="D11" s="961"/>
      <c r="E11" s="721" t="s">
        <v>460</v>
      </c>
      <c r="F11" s="961"/>
      <c r="G11" s="721" t="s">
        <v>874</v>
      </c>
      <c r="H11" s="961"/>
      <c r="I11" s="721" t="s">
        <v>875</v>
      </c>
      <c r="J11" s="961"/>
      <c r="L11" s="972">
        <v>2</v>
      </c>
      <c r="M11" s="1355" t="s">
        <v>874</v>
      </c>
      <c r="N11" s="715" t="s">
        <v>900</v>
      </c>
      <c r="O11" s="715" t="s">
        <v>901</v>
      </c>
      <c r="P11" s="715" t="s">
        <v>900</v>
      </c>
      <c r="Q11" s="715" t="s">
        <v>900</v>
      </c>
      <c r="R11" s="715" t="s">
        <v>901</v>
      </c>
      <c r="S11" s="715" t="s">
        <v>900</v>
      </c>
      <c r="T11" s="715" t="s">
        <v>901</v>
      </c>
      <c r="U11" s="715" t="s">
        <v>900</v>
      </c>
      <c r="V11" s="715" t="s">
        <v>901</v>
      </c>
      <c r="W11" s="715" t="s">
        <v>900</v>
      </c>
      <c r="X11" s="715" t="s">
        <v>901</v>
      </c>
      <c r="Y11" s="715" t="s">
        <v>901</v>
      </c>
      <c r="Z11" s="715" t="s">
        <v>900</v>
      </c>
      <c r="AA11" s="715" t="s">
        <v>901</v>
      </c>
      <c r="AB11" s="715" t="s">
        <v>900</v>
      </c>
      <c r="AC11" s="716"/>
      <c r="AD11" s="717">
        <v>3</v>
      </c>
      <c r="BB11" s="634"/>
      <c r="BC11" s="677" t="s">
        <v>975</v>
      </c>
      <c r="BD11" s="634" t="s">
        <v>946</v>
      </c>
      <c r="BE11" s="635"/>
      <c r="BF11" s="635"/>
      <c r="BG11" s="636"/>
      <c r="BH11" s="627">
        <f>V25</f>
        <v>0</v>
      </c>
    </row>
    <row r="12" spans="1:91">
      <c r="A12" s="1546"/>
      <c r="B12" s="722" t="s">
        <v>937</v>
      </c>
      <c r="C12" s="721" t="s">
        <v>934</v>
      </c>
      <c r="D12" s="961"/>
      <c r="E12" s="721" t="s">
        <v>935</v>
      </c>
      <c r="F12" s="961"/>
      <c r="G12" s="721" t="s">
        <v>936</v>
      </c>
      <c r="H12" s="961"/>
      <c r="I12" s="721" t="s">
        <v>938</v>
      </c>
      <c r="J12" s="961"/>
      <c r="L12" s="972">
        <v>7</v>
      </c>
      <c r="M12" s="1355" t="s">
        <v>875</v>
      </c>
      <c r="N12" s="715" t="s">
        <v>901</v>
      </c>
      <c r="O12" s="715" t="s">
        <v>901</v>
      </c>
      <c r="P12" s="715" t="s">
        <v>901</v>
      </c>
      <c r="Q12" s="715" t="s">
        <v>900</v>
      </c>
      <c r="R12" s="715" t="s">
        <v>900</v>
      </c>
      <c r="S12" s="715" t="s">
        <v>900</v>
      </c>
      <c r="T12" s="715" t="s">
        <v>900</v>
      </c>
      <c r="U12" s="715" t="s">
        <v>900</v>
      </c>
      <c r="V12" s="715" t="s">
        <v>900</v>
      </c>
      <c r="W12" s="715" t="s">
        <v>900</v>
      </c>
      <c r="X12" s="715" t="s">
        <v>900</v>
      </c>
      <c r="Y12" s="715" t="s">
        <v>901</v>
      </c>
      <c r="Z12" s="715" t="s">
        <v>901</v>
      </c>
      <c r="AA12" s="715" t="s">
        <v>901</v>
      </c>
      <c r="AB12" s="715" t="s">
        <v>901</v>
      </c>
      <c r="AC12" s="716"/>
      <c r="AD12" s="717">
        <v>4</v>
      </c>
      <c r="BB12" s="634"/>
      <c r="BC12" s="677" t="s">
        <v>975</v>
      </c>
      <c r="BD12" s="634" t="s">
        <v>931</v>
      </c>
      <c r="BE12" s="635"/>
      <c r="BF12" s="635"/>
      <c r="BG12" s="636"/>
      <c r="BH12" s="627">
        <f>S25</f>
        <v>0</v>
      </c>
    </row>
    <row r="13" spans="1:91">
      <c r="A13" s="1547" t="s">
        <v>958</v>
      </c>
      <c r="B13" s="723" t="s">
        <v>933</v>
      </c>
      <c r="C13" s="721" t="s">
        <v>954</v>
      </c>
      <c r="D13" s="961"/>
      <c r="E13" s="721" t="s">
        <v>955</v>
      </c>
      <c r="F13" s="961"/>
      <c r="G13" s="721" t="s">
        <v>956</v>
      </c>
      <c r="H13" s="961"/>
      <c r="I13" s="721" t="s">
        <v>957</v>
      </c>
      <c r="J13" s="961"/>
      <c r="L13" s="972">
        <v>11</v>
      </c>
      <c r="M13" s="1355" t="s">
        <v>934</v>
      </c>
      <c r="N13" s="715" t="s">
        <v>900</v>
      </c>
      <c r="O13" s="715" t="s">
        <v>900</v>
      </c>
      <c r="P13" s="715" t="s">
        <v>901</v>
      </c>
      <c r="Q13" s="715" t="s">
        <v>901</v>
      </c>
      <c r="R13" s="715" t="s">
        <v>900</v>
      </c>
      <c r="S13" s="715" t="s">
        <v>900</v>
      </c>
      <c r="T13" s="715" t="s">
        <v>901</v>
      </c>
      <c r="U13" s="715" t="s">
        <v>900</v>
      </c>
      <c r="V13" s="715" t="s">
        <v>901</v>
      </c>
      <c r="W13" s="715" t="s">
        <v>901</v>
      </c>
      <c r="X13" s="715" t="s">
        <v>900</v>
      </c>
      <c r="Y13" s="715" t="s">
        <v>900</v>
      </c>
      <c r="Z13" s="715" t="s">
        <v>901</v>
      </c>
      <c r="AA13" s="715" t="s">
        <v>901</v>
      </c>
      <c r="AB13" s="715" t="s">
        <v>900</v>
      </c>
      <c r="AC13" s="716"/>
      <c r="AD13" s="717">
        <v>5</v>
      </c>
      <c r="BB13" s="634"/>
      <c r="BC13" s="677" t="s">
        <v>975</v>
      </c>
      <c r="BD13" s="634" t="s">
        <v>947</v>
      </c>
      <c r="BE13" s="635"/>
      <c r="BF13" s="635"/>
      <c r="BG13" s="636"/>
      <c r="BH13" s="627">
        <f>W25</f>
        <v>0</v>
      </c>
    </row>
    <row r="14" spans="1:91">
      <c r="A14" s="1547"/>
      <c r="B14" s="722" t="s">
        <v>937</v>
      </c>
      <c r="C14" s="721" t="s">
        <v>959</v>
      </c>
      <c r="D14" s="961"/>
      <c r="E14" s="721" t="s">
        <v>960</v>
      </c>
      <c r="F14" s="961"/>
      <c r="G14" s="721" t="s">
        <v>961</v>
      </c>
      <c r="H14" s="961"/>
      <c r="I14" s="721" t="s">
        <v>962</v>
      </c>
      <c r="J14" s="961"/>
      <c r="L14" s="972">
        <v>8</v>
      </c>
      <c r="M14" s="1355" t="s">
        <v>935</v>
      </c>
      <c r="N14" s="715" t="s">
        <v>901</v>
      </c>
      <c r="O14" s="715" t="s">
        <v>900</v>
      </c>
      <c r="P14" s="715" t="s">
        <v>900</v>
      </c>
      <c r="Q14" s="715" t="s">
        <v>901</v>
      </c>
      <c r="R14" s="715" t="s">
        <v>901</v>
      </c>
      <c r="S14" s="715" t="s">
        <v>900</v>
      </c>
      <c r="T14" s="715" t="s">
        <v>900</v>
      </c>
      <c r="U14" s="715" t="s">
        <v>900</v>
      </c>
      <c r="V14" s="715" t="s">
        <v>900</v>
      </c>
      <c r="W14" s="715" t="s">
        <v>901</v>
      </c>
      <c r="X14" s="715" t="s">
        <v>901</v>
      </c>
      <c r="Y14" s="715" t="s">
        <v>900</v>
      </c>
      <c r="Z14" s="715" t="s">
        <v>900</v>
      </c>
      <c r="AA14" s="715" t="s">
        <v>901</v>
      </c>
      <c r="AB14" s="715" t="s">
        <v>901</v>
      </c>
      <c r="AC14" s="716"/>
      <c r="AD14" s="717">
        <v>6</v>
      </c>
      <c r="BB14" s="634"/>
      <c r="BC14" s="677" t="s">
        <v>975</v>
      </c>
      <c r="BD14" s="634" t="s">
        <v>949</v>
      </c>
      <c r="BE14" s="635"/>
      <c r="BF14" s="635"/>
      <c r="BG14" s="636"/>
      <c r="BH14" s="627">
        <f>Y25</f>
        <v>0</v>
      </c>
    </row>
    <row r="15" spans="1:91">
      <c r="B15" s="612" t="str">
        <f>IF(L9="","Don't forget to enter the random run order of your trials in the ANOVA Table!","")</f>
        <v/>
      </c>
      <c r="L15" s="972">
        <v>14</v>
      </c>
      <c r="M15" s="1355" t="s">
        <v>936</v>
      </c>
      <c r="N15" s="715" t="s">
        <v>900</v>
      </c>
      <c r="O15" s="715" t="s">
        <v>901</v>
      </c>
      <c r="P15" s="715" t="s">
        <v>900</v>
      </c>
      <c r="Q15" s="715" t="s">
        <v>901</v>
      </c>
      <c r="R15" s="715" t="s">
        <v>900</v>
      </c>
      <c r="S15" s="715" t="s">
        <v>901</v>
      </c>
      <c r="T15" s="715" t="s">
        <v>900</v>
      </c>
      <c r="U15" s="715" t="s">
        <v>900</v>
      </c>
      <c r="V15" s="715" t="s">
        <v>901</v>
      </c>
      <c r="W15" s="715" t="s">
        <v>900</v>
      </c>
      <c r="X15" s="715" t="s">
        <v>901</v>
      </c>
      <c r="Y15" s="715" t="s">
        <v>900</v>
      </c>
      <c r="Z15" s="715" t="s">
        <v>901</v>
      </c>
      <c r="AA15" s="715" t="s">
        <v>900</v>
      </c>
      <c r="AB15" s="715" t="s">
        <v>901</v>
      </c>
      <c r="AC15" s="716"/>
      <c r="AD15" s="717">
        <v>7</v>
      </c>
      <c r="BB15" s="634"/>
      <c r="BC15" s="677" t="s">
        <v>975</v>
      </c>
      <c r="BD15" s="634" t="s">
        <v>932</v>
      </c>
      <c r="BE15" s="635"/>
      <c r="BF15" s="635"/>
      <c r="BG15" s="636"/>
      <c r="BH15" s="627">
        <f>T25</f>
        <v>2</v>
      </c>
    </row>
    <row r="16" spans="1:91">
      <c r="L16" s="972">
        <v>4</v>
      </c>
      <c r="M16" s="1355" t="s">
        <v>938</v>
      </c>
      <c r="N16" s="715" t="s">
        <v>901</v>
      </c>
      <c r="O16" s="715" t="s">
        <v>901</v>
      </c>
      <c r="P16" s="715" t="s">
        <v>901</v>
      </c>
      <c r="Q16" s="715" t="s">
        <v>901</v>
      </c>
      <c r="R16" s="715" t="s">
        <v>901</v>
      </c>
      <c r="S16" s="715" t="s">
        <v>901</v>
      </c>
      <c r="T16" s="715" t="s">
        <v>901</v>
      </c>
      <c r="U16" s="715" t="s">
        <v>900</v>
      </c>
      <c r="V16" s="715" t="s">
        <v>900</v>
      </c>
      <c r="W16" s="715" t="s">
        <v>900</v>
      </c>
      <c r="X16" s="715" t="s">
        <v>900</v>
      </c>
      <c r="Y16" s="715" t="s">
        <v>900</v>
      </c>
      <c r="Z16" s="715" t="s">
        <v>900</v>
      </c>
      <c r="AA16" s="715" t="s">
        <v>900</v>
      </c>
      <c r="AB16" s="715" t="s">
        <v>900</v>
      </c>
      <c r="AC16" s="716"/>
      <c r="AD16" s="717">
        <v>8</v>
      </c>
      <c r="AT16" s="1544" t="s">
        <v>978</v>
      </c>
      <c r="AU16" s="1544"/>
      <c r="AV16" s="1544"/>
      <c r="AW16" s="1544"/>
      <c r="BB16" s="634"/>
      <c r="BC16" s="677" t="s">
        <v>975</v>
      </c>
      <c r="BD16" s="634" t="s">
        <v>948</v>
      </c>
      <c r="BE16" s="635"/>
      <c r="BF16" s="635"/>
      <c r="BG16" s="636"/>
      <c r="BH16" s="627">
        <f>X25</f>
        <v>2</v>
      </c>
    </row>
    <row r="17" spans="1:70">
      <c r="A17" s="1549" t="s">
        <v>926</v>
      </c>
      <c r="B17" s="1549"/>
      <c r="C17" s="1549"/>
      <c r="D17" s="1549"/>
      <c r="E17" s="1549"/>
      <c r="F17" s="1549"/>
      <c r="G17" s="1549"/>
      <c r="H17" s="1549"/>
      <c r="I17" s="1549"/>
      <c r="J17" s="1549"/>
      <c r="L17" s="972">
        <v>15</v>
      </c>
      <c r="M17" s="1355" t="s">
        <v>954</v>
      </c>
      <c r="N17" s="715" t="s">
        <v>900</v>
      </c>
      <c r="O17" s="715" t="s">
        <v>900</v>
      </c>
      <c r="P17" s="715" t="s">
        <v>901</v>
      </c>
      <c r="Q17" s="715" t="s">
        <v>900</v>
      </c>
      <c r="R17" s="715" t="s">
        <v>901</v>
      </c>
      <c r="S17" s="715" t="s">
        <v>901</v>
      </c>
      <c r="T17" s="715" t="s">
        <v>900</v>
      </c>
      <c r="U17" s="715" t="s">
        <v>901</v>
      </c>
      <c r="V17" s="715" t="s">
        <v>900</v>
      </c>
      <c r="W17" s="715" t="s">
        <v>900</v>
      </c>
      <c r="X17" s="715" t="s">
        <v>901</v>
      </c>
      <c r="Y17" s="715" t="s">
        <v>900</v>
      </c>
      <c r="Z17" s="715" t="s">
        <v>901</v>
      </c>
      <c r="AA17" s="715" t="s">
        <v>901</v>
      </c>
      <c r="AB17" s="715" t="s">
        <v>900</v>
      </c>
      <c r="AC17" s="716"/>
      <c r="AD17" s="717">
        <v>9</v>
      </c>
      <c r="BB17" s="634"/>
      <c r="BC17" s="677" t="s">
        <v>975</v>
      </c>
      <c r="BD17" s="634" t="s">
        <v>950</v>
      </c>
      <c r="BE17" s="635"/>
      <c r="BF17" s="635"/>
      <c r="BG17" s="636"/>
      <c r="BH17" s="627">
        <f>Z25</f>
        <v>2</v>
      </c>
    </row>
    <row r="18" spans="1:70">
      <c r="A18" s="1533" t="s">
        <v>878</v>
      </c>
      <c r="B18" s="1533"/>
      <c r="C18" s="1533"/>
      <c r="D18" s="1533"/>
      <c r="E18" s="1533"/>
      <c r="F18" s="1533"/>
      <c r="G18" s="1533"/>
      <c r="H18" s="1533"/>
      <c r="I18" s="1533"/>
      <c r="J18" s="1533"/>
      <c r="L18" s="972">
        <v>6</v>
      </c>
      <c r="M18" s="1355" t="s">
        <v>955</v>
      </c>
      <c r="N18" s="715" t="s">
        <v>901</v>
      </c>
      <c r="O18" s="715" t="s">
        <v>900</v>
      </c>
      <c r="P18" s="715" t="s">
        <v>900</v>
      </c>
      <c r="Q18" s="715" t="s">
        <v>900</v>
      </c>
      <c r="R18" s="715" t="s">
        <v>900</v>
      </c>
      <c r="S18" s="715" t="s">
        <v>901</v>
      </c>
      <c r="T18" s="715" t="s">
        <v>901</v>
      </c>
      <c r="U18" s="715" t="s">
        <v>901</v>
      </c>
      <c r="V18" s="715" t="s">
        <v>901</v>
      </c>
      <c r="W18" s="715" t="s">
        <v>900</v>
      </c>
      <c r="X18" s="715" t="s">
        <v>900</v>
      </c>
      <c r="Y18" s="715" t="s">
        <v>900</v>
      </c>
      <c r="Z18" s="715" t="s">
        <v>900</v>
      </c>
      <c r="AA18" s="715" t="s">
        <v>901</v>
      </c>
      <c r="AB18" s="715" t="s">
        <v>901</v>
      </c>
      <c r="AC18" s="716"/>
      <c r="AD18" s="717">
        <v>10</v>
      </c>
      <c r="BB18" s="634"/>
      <c r="BC18" s="677" t="s">
        <v>975</v>
      </c>
      <c r="BD18" s="634" t="s">
        <v>951</v>
      </c>
      <c r="BE18" s="635"/>
      <c r="BF18" s="635"/>
      <c r="BG18" s="636"/>
      <c r="BH18" s="627">
        <f>AA25</f>
        <v>4</v>
      </c>
    </row>
    <row r="19" spans="1:70">
      <c r="L19" s="972">
        <v>1</v>
      </c>
      <c r="M19" s="1355" t="s">
        <v>956</v>
      </c>
      <c r="N19" s="715" t="s">
        <v>900</v>
      </c>
      <c r="O19" s="715" t="s">
        <v>901</v>
      </c>
      <c r="P19" s="715" t="s">
        <v>900</v>
      </c>
      <c r="Q19" s="715" t="s">
        <v>900</v>
      </c>
      <c r="R19" s="715" t="s">
        <v>901</v>
      </c>
      <c r="S19" s="715" t="s">
        <v>900</v>
      </c>
      <c r="T19" s="715" t="s">
        <v>901</v>
      </c>
      <c r="U19" s="715" t="s">
        <v>901</v>
      </c>
      <c r="V19" s="715" t="s">
        <v>900</v>
      </c>
      <c r="W19" s="715" t="s">
        <v>901</v>
      </c>
      <c r="X19" s="715" t="s">
        <v>900</v>
      </c>
      <c r="Y19" s="715" t="s">
        <v>900</v>
      </c>
      <c r="Z19" s="715" t="s">
        <v>901</v>
      </c>
      <c r="AA19" s="715" t="s">
        <v>900</v>
      </c>
      <c r="AB19" s="715" t="s">
        <v>901</v>
      </c>
      <c r="AC19" s="716"/>
      <c r="AD19" s="717">
        <v>11</v>
      </c>
      <c r="AE19" s="614"/>
      <c r="AF19" s="614"/>
      <c r="AG19" s="614"/>
      <c r="AH19" s="614"/>
      <c r="AI19" s="614"/>
      <c r="AJ19" s="614"/>
      <c r="AK19" s="614"/>
      <c r="AL19" s="614"/>
      <c r="AM19" s="614"/>
      <c r="AN19" s="614"/>
      <c r="AO19" s="614"/>
      <c r="AP19" s="615"/>
      <c r="AQ19" s="615"/>
      <c r="AR19" s="615"/>
      <c r="AS19" s="615"/>
      <c r="AT19" s="615"/>
      <c r="AU19" s="615"/>
      <c r="AV19" s="615"/>
      <c r="AW19" s="615"/>
      <c r="AX19" s="615"/>
      <c r="AY19" s="615"/>
      <c r="AZ19" s="615"/>
      <c r="BB19" s="634"/>
      <c r="BC19" s="677" t="s">
        <v>975</v>
      </c>
      <c r="BD19" s="634" t="s">
        <v>952</v>
      </c>
      <c r="BE19" s="635"/>
      <c r="BF19" s="635"/>
      <c r="BG19" s="636"/>
      <c r="BH19" s="627">
        <f>AB25</f>
        <v>0</v>
      </c>
    </row>
    <row r="20" spans="1:70">
      <c r="A20" s="724" t="s">
        <v>879</v>
      </c>
      <c r="B20" s="724" t="s">
        <v>880</v>
      </c>
      <c r="C20" s="724">
        <v>1</v>
      </c>
      <c r="D20" s="724">
        <v>2</v>
      </c>
      <c r="E20" s="724">
        <v>3</v>
      </c>
      <c r="F20" s="724">
        <v>4</v>
      </c>
      <c r="G20" s="672" t="s">
        <v>993</v>
      </c>
      <c r="H20" s="725"/>
      <c r="I20" s="725"/>
      <c r="J20" s="726" t="s">
        <v>881</v>
      </c>
      <c r="L20" s="972">
        <v>13</v>
      </c>
      <c r="M20" s="1355" t="s">
        <v>957</v>
      </c>
      <c r="N20" s="715" t="s">
        <v>901</v>
      </c>
      <c r="O20" s="715" t="s">
        <v>901</v>
      </c>
      <c r="P20" s="715" t="s">
        <v>901</v>
      </c>
      <c r="Q20" s="715" t="s">
        <v>900</v>
      </c>
      <c r="R20" s="715" t="s">
        <v>900</v>
      </c>
      <c r="S20" s="715" t="s">
        <v>900</v>
      </c>
      <c r="T20" s="715" t="s">
        <v>900</v>
      </c>
      <c r="U20" s="715" t="s">
        <v>901</v>
      </c>
      <c r="V20" s="715" t="s">
        <v>901</v>
      </c>
      <c r="W20" s="715" t="s">
        <v>901</v>
      </c>
      <c r="X20" s="715" t="s">
        <v>901</v>
      </c>
      <c r="Y20" s="715" t="s">
        <v>900</v>
      </c>
      <c r="Z20" s="715" t="s">
        <v>900</v>
      </c>
      <c r="AA20" s="715" t="s">
        <v>900</v>
      </c>
      <c r="AB20" s="715" t="s">
        <v>900</v>
      </c>
      <c r="AC20" s="716"/>
      <c r="AD20" s="717">
        <v>12</v>
      </c>
      <c r="BM20" s="611">
        <f>C4</f>
        <v>0</v>
      </c>
      <c r="BR20" s="611">
        <f>C5</f>
        <v>0</v>
      </c>
    </row>
    <row r="21" spans="1:70">
      <c r="A21" s="727" t="s">
        <v>872</v>
      </c>
      <c r="B21" s="728" t="e">
        <f>AVERAGE(D11:D11)</f>
        <v>#DIV/0!</v>
      </c>
      <c r="C21" s="729" t="e">
        <f>B21+B22</f>
        <v>#DIV/0!</v>
      </c>
      <c r="D21" s="729" t="e">
        <f>C21+C22</f>
        <v>#DIV/0!</v>
      </c>
      <c r="E21" s="729" t="e">
        <f>D21+D22</f>
        <v>#DIV/0!</v>
      </c>
      <c r="F21" s="730" t="e">
        <f>E21+E22</f>
        <v>#DIV/0!</v>
      </c>
      <c r="G21" s="731" t="s">
        <v>1000</v>
      </c>
      <c r="H21" s="724" t="s">
        <v>882</v>
      </c>
      <c r="I21" s="724" t="s">
        <v>883</v>
      </c>
      <c r="J21" s="731" t="s">
        <v>884</v>
      </c>
      <c r="L21" s="972">
        <v>9</v>
      </c>
      <c r="M21" s="1355" t="s">
        <v>959</v>
      </c>
      <c r="N21" s="715" t="s">
        <v>900</v>
      </c>
      <c r="O21" s="715" t="s">
        <v>900</v>
      </c>
      <c r="P21" s="715" t="s">
        <v>901</v>
      </c>
      <c r="Q21" s="715" t="s">
        <v>901</v>
      </c>
      <c r="R21" s="715" t="s">
        <v>900</v>
      </c>
      <c r="S21" s="715" t="s">
        <v>900</v>
      </c>
      <c r="T21" s="715" t="s">
        <v>901</v>
      </c>
      <c r="U21" s="715" t="s">
        <v>901</v>
      </c>
      <c r="V21" s="715" t="s">
        <v>900</v>
      </c>
      <c r="W21" s="715" t="s">
        <v>900</v>
      </c>
      <c r="X21" s="715" t="s">
        <v>901</v>
      </c>
      <c r="Y21" s="715" t="s">
        <v>901</v>
      </c>
      <c r="Z21" s="715" t="s">
        <v>900</v>
      </c>
      <c r="AA21" s="715" t="s">
        <v>900</v>
      </c>
      <c r="AB21" s="715" t="s">
        <v>901</v>
      </c>
      <c r="AC21" s="716"/>
      <c r="AD21" s="717">
        <v>13</v>
      </c>
      <c r="BG21" s="572" t="s">
        <v>894</v>
      </c>
      <c r="BH21" s="570">
        <f>AK84</f>
        <v>11</v>
      </c>
    </row>
    <row r="22" spans="1:70">
      <c r="A22" s="729" t="s">
        <v>460</v>
      </c>
      <c r="B22" s="728" t="e">
        <f>AVERAGE(F11:F11)</f>
        <v>#DIV/0!</v>
      </c>
      <c r="C22" s="729" t="e">
        <f>B23+B24</f>
        <v>#DIV/0!</v>
      </c>
      <c r="D22" s="729" t="e">
        <f>C23+C24</f>
        <v>#DIV/0!</v>
      </c>
      <c r="E22" s="729" t="e">
        <f>D23+D24</f>
        <v>#DIV/0!</v>
      </c>
      <c r="F22" s="729" t="e">
        <f>E23+E24</f>
        <v>#DIV/0!</v>
      </c>
      <c r="G22" s="729" t="e">
        <f t="shared" ref="G22:G36" si="0">F22/4</f>
        <v>#DIV/0!</v>
      </c>
      <c r="H22" s="724" t="s">
        <v>114</v>
      </c>
      <c r="I22" s="729" t="e">
        <f t="shared" ref="I22:I36" si="1">RANK(J22,N$101:N$115,0)</f>
        <v>#DIV/0!</v>
      </c>
      <c r="J22" s="729" t="e">
        <f t="shared" ref="J22:J36" si="2">ABS(G22)</f>
        <v>#DIV/0!</v>
      </c>
      <c r="L22" s="972">
        <v>12</v>
      </c>
      <c r="M22" s="1355" t="s">
        <v>960</v>
      </c>
      <c r="N22" s="715" t="s">
        <v>901</v>
      </c>
      <c r="O22" s="715" t="s">
        <v>900</v>
      </c>
      <c r="P22" s="715" t="s">
        <v>900</v>
      </c>
      <c r="Q22" s="715" t="s">
        <v>901</v>
      </c>
      <c r="R22" s="715" t="s">
        <v>901</v>
      </c>
      <c r="S22" s="715" t="s">
        <v>900</v>
      </c>
      <c r="T22" s="715" t="s">
        <v>900</v>
      </c>
      <c r="U22" s="715" t="s">
        <v>901</v>
      </c>
      <c r="V22" s="715" t="s">
        <v>901</v>
      </c>
      <c r="W22" s="715" t="s">
        <v>900</v>
      </c>
      <c r="X22" s="715" t="s">
        <v>900</v>
      </c>
      <c r="Y22" s="715" t="s">
        <v>901</v>
      </c>
      <c r="Z22" s="715" t="s">
        <v>901</v>
      </c>
      <c r="AA22" s="715" t="s">
        <v>900</v>
      </c>
      <c r="AB22" s="715" t="s">
        <v>900</v>
      </c>
      <c r="AC22" s="716"/>
      <c r="AD22" s="717">
        <v>14</v>
      </c>
    </row>
    <row r="23" spans="1:70">
      <c r="A23" s="729" t="s">
        <v>874</v>
      </c>
      <c r="B23" s="728" t="e">
        <f>AVERAGE(H11:H11)</f>
        <v>#DIV/0!</v>
      </c>
      <c r="C23" s="729" t="e">
        <f>B25+B26</f>
        <v>#DIV/0!</v>
      </c>
      <c r="D23" s="729" t="e">
        <f>C25+C26</f>
        <v>#DIV/0!</v>
      </c>
      <c r="E23" s="729" t="e">
        <f>D25+D26</f>
        <v>#DIV/0!</v>
      </c>
      <c r="F23" s="729" t="e">
        <f>E25+E26</f>
        <v>#DIV/0!</v>
      </c>
      <c r="G23" s="729" t="e">
        <f t="shared" si="0"/>
        <v>#DIV/0!</v>
      </c>
      <c r="H23" s="724" t="s">
        <v>115</v>
      </c>
      <c r="I23" s="729" t="e">
        <f t="shared" si="1"/>
        <v>#DIV/0!</v>
      </c>
      <c r="J23" s="729" t="e">
        <f t="shared" si="2"/>
        <v>#DIV/0!</v>
      </c>
      <c r="L23" s="972">
        <v>5</v>
      </c>
      <c r="M23" s="1355" t="s">
        <v>961</v>
      </c>
      <c r="N23" s="715" t="s">
        <v>900</v>
      </c>
      <c r="O23" s="715" t="s">
        <v>901</v>
      </c>
      <c r="P23" s="715" t="s">
        <v>900</v>
      </c>
      <c r="Q23" s="715" t="s">
        <v>901</v>
      </c>
      <c r="R23" s="715" t="s">
        <v>900</v>
      </c>
      <c r="S23" s="715" t="s">
        <v>901</v>
      </c>
      <c r="T23" s="715" t="s">
        <v>900</v>
      </c>
      <c r="U23" s="715" t="s">
        <v>901</v>
      </c>
      <c r="V23" s="715" t="s">
        <v>900</v>
      </c>
      <c r="W23" s="715" t="s">
        <v>901</v>
      </c>
      <c r="X23" s="715" t="s">
        <v>900</v>
      </c>
      <c r="Y23" s="715" t="s">
        <v>901</v>
      </c>
      <c r="Z23" s="715" t="s">
        <v>900</v>
      </c>
      <c r="AA23" s="715" t="s">
        <v>901</v>
      </c>
      <c r="AB23" s="715" t="s">
        <v>900</v>
      </c>
      <c r="AC23" s="716"/>
      <c r="AD23" s="717">
        <v>15</v>
      </c>
    </row>
    <row r="24" spans="1:70">
      <c r="A24" s="729" t="s">
        <v>875</v>
      </c>
      <c r="B24" s="728" t="e">
        <f>AVERAGE(J11:J11)</f>
        <v>#DIV/0!</v>
      </c>
      <c r="C24" s="729" t="e">
        <f>B27+B28</f>
        <v>#DIV/0!</v>
      </c>
      <c r="D24" s="729" t="e">
        <f>C27+C28</f>
        <v>#DIV/0!</v>
      </c>
      <c r="E24" s="729" t="e">
        <f>D27+D28</f>
        <v>#DIV/0!</v>
      </c>
      <c r="F24" s="729" t="e">
        <f>E27+E28</f>
        <v>#DIV/0!</v>
      </c>
      <c r="G24" s="729" t="e">
        <f t="shared" si="0"/>
        <v>#DIV/0!</v>
      </c>
      <c r="H24" s="724" t="s">
        <v>886</v>
      </c>
      <c r="I24" s="729" t="e">
        <f t="shared" si="1"/>
        <v>#DIV/0!</v>
      </c>
      <c r="J24" s="729" t="e">
        <f t="shared" si="2"/>
        <v>#DIV/0!</v>
      </c>
      <c r="L24" s="972">
        <v>10</v>
      </c>
      <c r="M24" s="1355" t="s">
        <v>962</v>
      </c>
      <c r="N24" s="732" t="s">
        <v>901</v>
      </c>
      <c r="O24" s="732" t="s">
        <v>901</v>
      </c>
      <c r="P24" s="732" t="s">
        <v>901</v>
      </c>
      <c r="Q24" s="732" t="s">
        <v>901</v>
      </c>
      <c r="R24" s="732" t="s">
        <v>901</v>
      </c>
      <c r="S24" s="732" t="s">
        <v>901</v>
      </c>
      <c r="T24" s="732" t="s">
        <v>901</v>
      </c>
      <c r="U24" s="732" t="s">
        <v>901</v>
      </c>
      <c r="V24" s="732" t="s">
        <v>901</v>
      </c>
      <c r="W24" s="732" t="s">
        <v>901</v>
      </c>
      <c r="X24" s="732" t="s">
        <v>901</v>
      </c>
      <c r="Y24" s="732" t="s">
        <v>901</v>
      </c>
      <c r="Z24" s="732" t="s">
        <v>901</v>
      </c>
      <c r="AA24" s="732" t="s">
        <v>901</v>
      </c>
      <c r="AB24" s="732" t="s">
        <v>901</v>
      </c>
      <c r="AC24" s="733"/>
      <c r="AD24" s="717">
        <v>16</v>
      </c>
      <c r="BC24" s="614" t="s">
        <v>939</v>
      </c>
    </row>
    <row r="25" spans="1:70">
      <c r="A25" s="729" t="s">
        <v>934</v>
      </c>
      <c r="B25" s="728" t="e">
        <f>AVERAGE(D12:D12)</f>
        <v>#DIV/0!</v>
      </c>
      <c r="C25" s="729" t="e">
        <f>B29+B30</f>
        <v>#DIV/0!</v>
      </c>
      <c r="D25" s="729" t="e">
        <f>C29+C30</f>
        <v>#DIV/0!</v>
      </c>
      <c r="E25" s="729" t="e">
        <f>D29+D30</f>
        <v>#DIV/0!</v>
      </c>
      <c r="F25" s="729" t="e">
        <f>E29+E30</f>
        <v>#DIV/0!</v>
      </c>
      <c r="G25" s="729" t="e">
        <f t="shared" si="0"/>
        <v>#DIV/0!</v>
      </c>
      <c r="H25" s="724" t="s">
        <v>847</v>
      </c>
      <c r="I25" s="729" t="e">
        <f t="shared" si="1"/>
        <v>#DIV/0!</v>
      </c>
      <c r="J25" s="729" t="e">
        <f t="shared" si="2"/>
        <v>#DIV/0!</v>
      </c>
      <c r="M25" s="734" t="s">
        <v>902</v>
      </c>
      <c r="N25" s="713">
        <f t="shared" ref="N25:AB25" si="3">IF(N24=N9,0,COUNT(N53:N68))</f>
        <v>2</v>
      </c>
      <c r="O25" s="713">
        <f t="shared" si="3"/>
        <v>4</v>
      </c>
      <c r="P25" s="713">
        <f t="shared" si="3"/>
        <v>0</v>
      </c>
      <c r="Q25" s="713">
        <f t="shared" si="3"/>
        <v>8</v>
      </c>
      <c r="R25" s="713">
        <f t="shared" si="3"/>
        <v>0</v>
      </c>
      <c r="S25" s="713">
        <f t="shared" si="3"/>
        <v>0</v>
      </c>
      <c r="T25" s="713">
        <f t="shared" si="3"/>
        <v>2</v>
      </c>
      <c r="U25" s="713">
        <f t="shared" si="3"/>
        <v>16</v>
      </c>
      <c r="V25" s="713">
        <f t="shared" si="3"/>
        <v>0</v>
      </c>
      <c r="W25" s="713">
        <f t="shared" si="3"/>
        <v>0</v>
      </c>
      <c r="X25" s="713">
        <f t="shared" si="3"/>
        <v>2</v>
      </c>
      <c r="Y25" s="713">
        <f t="shared" si="3"/>
        <v>0</v>
      </c>
      <c r="Z25" s="713">
        <f t="shared" si="3"/>
        <v>2</v>
      </c>
      <c r="AA25" s="713">
        <f t="shared" si="3"/>
        <v>4</v>
      </c>
      <c r="AB25" s="713">
        <f t="shared" si="3"/>
        <v>0</v>
      </c>
      <c r="BC25" s="563">
        <v>1</v>
      </c>
      <c r="BD25" s="570" t="e">
        <f>G40</f>
        <v>#DIV/0!</v>
      </c>
      <c r="BE25" s="570" t="e">
        <f>H40</f>
        <v>#DIV/0!</v>
      </c>
    </row>
    <row r="26" spans="1:70">
      <c r="A26" s="729" t="s">
        <v>935</v>
      </c>
      <c r="B26" s="728" t="e">
        <f>AVERAGE(F12:F12)</f>
        <v>#DIV/0!</v>
      </c>
      <c r="C26" s="729" t="e">
        <f>B31+B32</f>
        <v>#DIV/0!</v>
      </c>
      <c r="D26" s="729" t="e">
        <f>C31+C32</f>
        <v>#DIV/0!</v>
      </c>
      <c r="E26" s="729" t="e">
        <f>D31+D32</f>
        <v>#DIV/0!</v>
      </c>
      <c r="F26" s="729" t="e">
        <f>E31+E32</f>
        <v>#DIV/0!</v>
      </c>
      <c r="G26" s="729" t="e">
        <f t="shared" si="0"/>
        <v>#DIV/0!</v>
      </c>
      <c r="H26" s="724" t="s">
        <v>930</v>
      </c>
      <c r="I26" s="729" t="e">
        <f t="shared" si="1"/>
        <v>#DIV/0!</v>
      </c>
      <c r="J26" s="729" t="e">
        <f t="shared" si="2"/>
        <v>#DIV/0!</v>
      </c>
      <c r="BC26" s="563">
        <v>2</v>
      </c>
      <c r="BD26" s="570" t="e">
        <f>G41</f>
        <v>#DIV/0!</v>
      </c>
      <c r="BE26" s="570" t="e">
        <f>H41</f>
        <v>#DIV/0!</v>
      </c>
    </row>
    <row r="27" spans="1:70">
      <c r="A27" s="729" t="s">
        <v>936</v>
      </c>
      <c r="B27" s="728" t="e">
        <f>AVERAGE(H12:H12)</f>
        <v>#DIV/0!</v>
      </c>
      <c r="C27" s="729" t="e">
        <f>B33+B34</f>
        <v>#DIV/0!</v>
      </c>
      <c r="D27" s="729" t="e">
        <f>C33+C34</f>
        <v>#DIV/0!</v>
      </c>
      <c r="E27" s="729" t="e">
        <f>D33+D34</f>
        <v>#DIV/0!</v>
      </c>
      <c r="F27" s="729" t="e">
        <f>E33+E34</f>
        <v>#DIV/0!</v>
      </c>
      <c r="G27" s="729" t="e">
        <f t="shared" si="0"/>
        <v>#DIV/0!</v>
      </c>
      <c r="H27" s="724" t="s">
        <v>931</v>
      </c>
      <c r="I27" s="729" t="e">
        <f t="shared" si="1"/>
        <v>#DIV/0!</v>
      </c>
      <c r="J27" s="729" t="e">
        <f t="shared" si="2"/>
        <v>#DIV/0!</v>
      </c>
    </row>
    <row r="28" spans="1:70">
      <c r="A28" s="729" t="s">
        <v>938</v>
      </c>
      <c r="B28" s="728" t="e">
        <f>AVERAGE(J12:J12)</f>
        <v>#DIV/0!</v>
      </c>
      <c r="C28" s="729" t="e">
        <f>B35+B36</f>
        <v>#DIV/0!</v>
      </c>
      <c r="D28" s="729" t="e">
        <f>C35+C36</f>
        <v>#DIV/0!</v>
      </c>
      <c r="E28" s="729" t="e">
        <f>D35+D36</f>
        <v>#DIV/0!</v>
      </c>
      <c r="F28" s="729" t="e">
        <f>E35+E36</f>
        <v>#DIV/0!</v>
      </c>
      <c r="G28" s="729" t="e">
        <f t="shared" si="0"/>
        <v>#DIV/0!</v>
      </c>
      <c r="H28" s="724" t="s">
        <v>932</v>
      </c>
      <c r="I28" s="729" t="e">
        <f t="shared" si="1"/>
        <v>#DIV/0!</v>
      </c>
      <c r="J28" s="729" t="e">
        <f t="shared" si="2"/>
        <v>#DIV/0!</v>
      </c>
    </row>
    <row r="29" spans="1:70">
      <c r="A29" s="729" t="s">
        <v>954</v>
      </c>
      <c r="B29" s="728" t="e">
        <f>AVERAGE(D13:D13)</f>
        <v>#DIV/0!</v>
      </c>
      <c r="C29" s="729" t="e">
        <f>B22-B21</f>
        <v>#DIV/0!</v>
      </c>
      <c r="D29" s="729" t="e">
        <f>C22-C21</f>
        <v>#DIV/0!</v>
      </c>
      <c r="E29" s="729" t="e">
        <f>D22-D21</f>
        <v>#DIV/0!</v>
      </c>
      <c r="F29" s="729" t="e">
        <f>E22-E21</f>
        <v>#DIV/0!</v>
      </c>
      <c r="G29" s="729" t="e">
        <f t="shared" si="0"/>
        <v>#DIV/0!</v>
      </c>
      <c r="H29" s="724" t="s">
        <v>884</v>
      </c>
      <c r="I29" s="729" t="e">
        <f t="shared" si="1"/>
        <v>#DIV/0!</v>
      </c>
      <c r="J29" s="729" t="e">
        <f t="shared" si="2"/>
        <v>#DIV/0!</v>
      </c>
    </row>
    <row r="30" spans="1:70">
      <c r="A30" s="729" t="s">
        <v>955</v>
      </c>
      <c r="B30" s="728" t="e">
        <f>AVERAGE(F13:F13)</f>
        <v>#DIV/0!</v>
      </c>
      <c r="C30" s="729" t="e">
        <f>B24-B23</f>
        <v>#DIV/0!</v>
      </c>
      <c r="D30" s="729" t="e">
        <f>C24-C23</f>
        <v>#DIV/0!</v>
      </c>
      <c r="E30" s="729" t="e">
        <f>D24-D23</f>
        <v>#DIV/0!</v>
      </c>
      <c r="F30" s="729" t="e">
        <f>E24-E23</f>
        <v>#DIV/0!</v>
      </c>
      <c r="G30" s="729" t="e">
        <f t="shared" si="0"/>
        <v>#DIV/0!</v>
      </c>
      <c r="H30" s="724" t="s">
        <v>946</v>
      </c>
      <c r="I30" s="729" t="e">
        <f t="shared" si="1"/>
        <v>#DIV/0!</v>
      </c>
      <c r="J30" s="729" t="e">
        <f t="shared" si="2"/>
        <v>#DIV/0!</v>
      </c>
    </row>
    <row r="31" spans="1:70">
      <c r="A31" s="729" t="s">
        <v>956</v>
      </c>
      <c r="B31" s="728" t="e">
        <f>AVERAGE(H13:H13)</f>
        <v>#DIV/0!</v>
      </c>
      <c r="C31" s="729" t="e">
        <f>B26-B25</f>
        <v>#DIV/0!</v>
      </c>
      <c r="D31" s="729" t="e">
        <f>C26-C25</f>
        <v>#DIV/0!</v>
      </c>
      <c r="E31" s="729" t="e">
        <f>D26-D25</f>
        <v>#DIV/0!</v>
      </c>
      <c r="F31" s="729" t="e">
        <f>E26-E25</f>
        <v>#DIV/0!</v>
      </c>
      <c r="G31" s="729" t="e">
        <f t="shared" si="0"/>
        <v>#DIV/0!</v>
      </c>
      <c r="H31" s="724" t="s">
        <v>947</v>
      </c>
      <c r="I31" s="729" t="e">
        <f t="shared" si="1"/>
        <v>#DIV/0!</v>
      </c>
      <c r="J31" s="729" t="e">
        <f t="shared" si="2"/>
        <v>#DIV/0!</v>
      </c>
    </row>
    <row r="32" spans="1:70">
      <c r="A32" s="729" t="s">
        <v>957</v>
      </c>
      <c r="B32" s="728" t="e">
        <f>AVERAGE(J13:J13)</f>
        <v>#DIV/0!</v>
      </c>
      <c r="C32" s="729" t="e">
        <f>B28-B27</f>
        <v>#DIV/0!</v>
      </c>
      <c r="D32" s="729" t="e">
        <f>C28-C27</f>
        <v>#DIV/0!</v>
      </c>
      <c r="E32" s="729" t="e">
        <f>D28-D27</f>
        <v>#DIV/0!</v>
      </c>
      <c r="F32" s="729" t="e">
        <f>E28-E27</f>
        <v>#DIV/0!</v>
      </c>
      <c r="G32" s="729" t="e">
        <f t="shared" si="0"/>
        <v>#DIV/0!</v>
      </c>
      <c r="H32" s="724" t="s">
        <v>948</v>
      </c>
      <c r="I32" s="729" t="e">
        <f t="shared" si="1"/>
        <v>#DIV/0!</v>
      </c>
      <c r="J32" s="729" t="e">
        <f t="shared" si="2"/>
        <v>#DIV/0!</v>
      </c>
    </row>
    <row r="33" spans="1:10">
      <c r="A33" s="729" t="s">
        <v>959</v>
      </c>
      <c r="B33" s="728" t="e">
        <f>AVERAGE(D14:D14)</f>
        <v>#DIV/0!</v>
      </c>
      <c r="C33" s="729" t="e">
        <f>B30-B29</f>
        <v>#DIV/0!</v>
      </c>
      <c r="D33" s="729" t="e">
        <f>C30-C29</f>
        <v>#DIV/0!</v>
      </c>
      <c r="E33" s="729" t="e">
        <f>D30-D29</f>
        <v>#DIV/0!</v>
      </c>
      <c r="F33" s="729" t="e">
        <f>E30-E29</f>
        <v>#DIV/0!</v>
      </c>
      <c r="G33" s="729" t="e">
        <f t="shared" si="0"/>
        <v>#DIV/0!</v>
      </c>
      <c r="H33" s="724" t="s">
        <v>949</v>
      </c>
      <c r="I33" s="729" t="e">
        <f t="shared" si="1"/>
        <v>#DIV/0!</v>
      </c>
      <c r="J33" s="729" t="e">
        <f t="shared" si="2"/>
        <v>#DIV/0!</v>
      </c>
    </row>
    <row r="34" spans="1:10">
      <c r="A34" s="729" t="s">
        <v>960</v>
      </c>
      <c r="B34" s="728" t="e">
        <f>AVERAGE(F14:F14)</f>
        <v>#DIV/0!</v>
      </c>
      <c r="C34" s="729" t="e">
        <f>B32-B31</f>
        <v>#DIV/0!</v>
      </c>
      <c r="D34" s="729" t="e">
        <f>C32-C31</f>
        <v>#DIV/0!</v>
      </c>
      <c r="E34" s="729" t="e">
        <f>D32-D31</f>
        <v>#DIV/0!</v>
      </c>
      <c r="F34" s="729" t="e">
        <f>E32-E31</f>
        <v>#DIV/0!</v>
      </c>
      <c r="G34" s="729" t="e">
        <f t="shared" si="0"/>
        <v>#DIV/0!</v>
      </c>
      <c r="H34" s="724" t="s">
        <v>950</v>
      </c>
      <c r="I34" s="729" t="e">
        <f t="shared" si="1"/>
        <v>#DIV/0!</v>
      </c>
      <c r="J34" s="729" t="e">
        <f t="shared" si="2"/>
        <v>#DIV/0!</v>
      </c>
    </row>
    <row r="35" spans="1:10">
      <c r="A35" s="729" t="s">
        <v>961</v>
      </c>
      <c r="B35" s="728" t="e">
        <f>AVERAGE(H14:H14)</f>
        <v>#DIV/0!</v>
      </c>
      <c r="C35" s="729" t="e">
        <f>B34-B33</f>
        <v>#DIV/0!</v>
      </c>
      <c r="D35" s="729" t="e">
        <f>C34-C33</f>
        <v>#DIV/0!</v>
      </c>
      <c r="E35" s="729" t="e">
        <f>D34-D33</f>
        <v>#DIV/0!</v>
      </c>
      <c r="F35" s="729" t="e">
        <f>E34-E33</f>
        <v>#DIV/0!</v>
      </c>
      <c r="G35" s="729" t="e">
        <f t="shared" si="0"/>
        <v>#DIV/0!</v>
      </c>
      <c r="H35" s="724" t="s">
        <v>951</v>
      </c>
      <c r="I35" s="729" t="e">
        <f t="shared" si="1"/>
        <v>#DIV/0!</v>
      </c>
      <c r="J35" s="729" t="e">
        <f t="shared" si="2"/>
        <v>#DIV/0!</v>
      </c>
    </row>
    <row r="36" spans="1:10">
      <c r="A36" s="729" t="s">
        <v>962</v>
      </c>
      <c r="B36" s="728" t="e">
        <f>AVERAGE(J14:J14)</f>
        <v>#DIV/0!</v>
      </c>
      <c r="C36" s="729" t="e">
        <f>B36-B35</f>
        <v>#DIV/0!</v>
      </c>
      <c r="D36" s="729" t="e">
        <f>C36-C35</f>
        <v>#DIV/0!</v>
      </c>
      <c r="E36" s="729" t="e">
        <f>D36-D35</f>
        <v>#DIV/0!</v>
      </c>
      <c r="F36" s="729" t="e">
        <f>E36-E35</f>
        <v>#DIV/0!</v>
      </c>
      <c r="G36" s="729" t="e">
        <f t="shared" si="0"/>
        <v>#DIV/0!</v>
      </c>
      <c r="H36" s="724" t="s">
        <v>952</v>
      </c>
      <c r="I36" s="729" t="e">
        <f t="shared" si="1"/>
        <v>#DIV/0!</v>
      </c>
      <c r="J36" s="729" t="e">
        <f t="shared" si="2"/>
        <v>#DIV/0!</v>
      </c>
    </row>
    <row r="37" spans="1:10">
      <c r="A37" s="725"/>
      <c r="B37" s="730" t="e">
        <f>SUM(B21:B36)</f>
        <v>#DIV/0!</v>
      </c>
      <c r="C37" s="725"/>
      <c r="D37" s="725"/>
      <c r="E37" s="725"/>
      <c r="F37" s="725"/>
      <c r="G37" s="725"/>
      <c r="H37" s="725"/>
      <c r="I37" s="725"/>
      <c r="J37" s="725"/>
    </row>
    <row r="39" spans="1:10">
      <c r="F39" s="614" t="s">
        <v>939</v>
      </c>
      <c r="G39" s="615"/>
      <c r="H39" s="615"/>
    </row>
    <row r="40" spans="1:10">
      <c r="F40" s="563">
        <v>1</v>
      </c>
      <c r="G40" s="563" t="e">
        <f>IF(I22=1,H22,IF(I23=1,H23,IF(I24=1,H24,IF(I25=1,H25,IF(I26=1,H26,IF(I27=1,H27,IF(I28=1,H28,"")))))))</f>
        <v>#DIV/0!</v>
      </c>
      <c r="H40" s="563" t="e">
        <f>IF(I29=1,H29,IF(I30=1,H30,IF(I31=1,H31,IF(I32=1,H32,IF(I33=1,H33,IF(I34=1,H34,IF(I35=1,H35,IF(I36=1,H36,""))))))))</f>
        <v>#DIV/0!</v>
      </c>
    </row>
    <row r="41" spans="1:10">
      <c r="F41" s="563">
        <v>2</v>
      </c>
      <c r="G41" s="563" t="e">
        <f>IF(I22=2,H22,IF(I23=2,H23,IF(I24=2,H24,IF(I25=2,H25,IF(I26=2,H26,IF(I27=2,H27,IF(I28=2,H28,"")))))))</f>
        <v>#DIV/0!</v>
      </c>
      <c r="H41" s="563" t="e">
        <f>IF(I29=2,H29,IF(I30=2,H30,IF(I31=2,H31,IF(I32=2,H32,IF(I33=2,H33,IF(I34=2,H34,IF(I35=2,H35,IF(I36=2,H36,""))))))))</f>
        <v>#DIV/0!</v>
      </c>
    </row>
    <row r="52" spans="1:37">
      <c r="L52" s="735" t="s">
        <v>925</v>
      </c>
      <c r="M52" s="735"/>
      <c r="N52" s="647"/>
      <c r="O52" s="647"/>
      <c r="P52" s="647"/>
      <c r="Q52" s="647"/>
      <c r="R52" s="647"/>
      <c r="S52" s="647"/>
      <c r="T52" s="647"/>
      <c r="U52" s="647"/>
      <c r="V52" s="647"/>
      <c r="W52" s="647"/>
      <c r="X52" s="647"/>
      <c r="Y52" s="647"/>
      <c r="Z52" s="647"/>
      <c r="AA52" s="647"/>
      <c r="AB52" s="647"/>
    </row>
    <row r="53" spans="1:37">
      <c r="L53" s="735"/>
      <c r="M53" s="736">
        <v>1</v>
      </c>
      <c r="N53" s="651">
        <f t="shared" ref="N53:AB53" si="4">IF(N9="-",-1,1)</f>
        <v>-1</v>
      </c>
      <c r="O53" s="651">
        <f t="shared" si="4"/>
        <v>-1</v>
      </c>
      <c r="P53" s="651">
        <f t="shared" si="4"/>
        <v>1</v>
      </c>
      <c r="Q53" s="651">
        <f t="shared" si="4"/>
        <v>-1</v>
      </c>
      <c r="R53" s="651">
        <f t="shared" si="4"/>
        <v>1</v>
      </c>
      <c r="S53" s="651">
        <f t="shared" si="4"/>
        <v>1</v>
      </c>
      <c r="T53" s="651">
        <f t="shared" si="4"/>
        <v>-1</v>
      </c>
      <c r="U53" s="651">
        <f t="shared" si="4"/>
        <v>-1</v>
      </c>
      <c r="V53" s="651">
        <f t="shared" si="4"/>
        <v>1</v>
      </c>
      <c r="W53" s="651">
        <f t="shared" si="4"/>
        <v>1</v>
      </c>
      <c r="X53" s="651">
        <f t="shared" si="4"/>
        <v>-1</v>
      </c>
      <c r="Y53" s="651">
        <f t="shared" si="4"/>
        <v>1</v>
      </c>
      <c r="Z53" s="651">
        <f t="shared" si="4"/>
        <v>-1</v>
      </c>
      <c r="AA53" s="651">
        <f t="shared" si="4"/>
        <v>-1</v>
      </c>
      <c r="AB53" s="651">
        <f t="shared" si="4"/>
        <v>1</v>
      </c>
      <c r="AH53" s="673" t="s">
        <v>896</v>
      </c>
      <c r="AI53" s="645"/>
      <c r="AJ53" s="645"/>
      <c r="AK53" s="673" t="s">
        <v>898</v>
      </c>
    </row>
    <row r="54" spans="1:37">
      <c r="L54" s="735"/>
      <c r="M54" s="736">
        <v>2</v>
      </c>
      <c r="N54" s="651" t="str">
        <f t="shared" ref="N54:AB60" si="5">IF(N10=N$9,N53,"")</f>
        <v/>
      </c>
      <c r="O54" s="651">
        <f t="shared" si="5"/>
        <v>-1</v>
      </c>
      <c r="P54" s="651" t="str">
        <f t="shared" si="5"/>
        <v/>
      </c>
      <c r="Q54" s="651">
        <f t="shared" si="5"/>
        <v>-1</v>
      </c>
      <c r="R54" s="651" t="str">
        <f t="shared" si="5"/>
        <v/>
      </c>
      <c r="S54" s="651">
        <f t="shared" si="5"/>
        <v>1</v>
      </c>
      <c r="T54" s="651" t="str">
        <f t="shared" si="5"/>
        <v/>
      </c>
      <c r="U54" s="651">
        <f t="shared" si="5"/>
        <v>-1</v>
      </c>
      <c r="V54" s="651" t="str">
        <f t="shared" si="5"/>
        <v/>
      </c>
      <c r="W54" s="651">
        <f t="shared" si="5"/>
        <v>1</v>
      </c>
      <c r="X54" s="651" t="str">
        <f t="shared" si="5"/>
        <v/>
      </c>
      <c r="Y54" s="651">
        <f t="shared" si="5"/>
        <v>1</v>
      </c>
      <c r="Z54" s="651" t="str">
        <f t="shared" si="5"/>
        <v/>
      </c>
      <c r="AA54" s="651">
        <f t="shared" si="5"/>
        <v>-1</v>
      </c>
      <c r="AB54" s="651" t="str">
        <f t="shared" si="5"/>
        <v/>
      </c>
      <c r="AH54" s="714" t="s">
        <v>899</v>
      </c>
      <c r="AI54" s="674" t="s">
        <v>879</v>
      </c>
      <c r="AJ54" s="674" t="s">
        <v>880</v>
      </c>
      <c r="AK54" s="714" t="s">
        <v>899</v>
      </c>
    </row>
    <row r="55" spans="1:37">
      <c r="L55" s="735"/>
      <c r="M55" s="736">
        <v>3</v>
      </c>
      <c r="N55" s="651" t="str">
        <f t="shared" si="5"/>
        <v/>
      </c>
      <c r="O55" s="651" t="str">
        <f t="shared" si="5"/>
        <v/>
      </c>
      <c r="P55" s="651" t="str">
        <f t="shared" si="5"/>
        <v/>
      </c>
      <c r="Q55" s="651">
        <f t="shared" si="5"/>
        <v>-1</v>
      </c>
      <c r="R55" s="651" t="str">
        <f t="shared" si="5"/>
        <v/>
      </c>
      <c r="S55" s="651" t="str">
        <f t="shared" si="5"/>
        <v/>
      </c>
      <c r="T55" s="651" t="str">
        <f t="shared" si="5"/>
        <v/>
      </c>
      <c r="U55" s="651">
        <f t="shared" si="5"/>
        <v>-1</v>
      </c>
      <c r="V55" s="651" t="str">
        <f t="shared" si="5"/>
        <v/>
      </c>
      <c r="W55" s="651" t="str">
        <f t="shared" si="5"/>
        <v/>
      </c>
      <c r="X55" s="651" t="str">
        <f t="shared" si="5"/>
        <v/>
      </c>
      <c r="Y55" s="651">
        <f t="shared" si="5"/>
        <v>1</v>
      </c>
      <c r="Z55" s="651" t="str">
        <f t="shared" si="5"/>
        <v/>
      </c>
      <c r="AA55" s="651" t="str">
        <f t="shared" si="5"/>
        <v/>
      </c>
      <c r="AB55" s="651" t="str">
        <f t="shared" si="5"/>
        <v/>
      </c>
      <c r="AH55" s="716"/>
      <c r="AI55" s="737" t="s">
        <v>872</v>
      </c>
      <c r="AJ55" s="716"/>
      <c r="AK55" s="717">
        <v>1</v>
      </c>
    </row>
    <row r="56" spans="1:37">
      <c r="L56" s="735"/>
      <c r="M56" s="736">
        <v>4</v>
      </c>
      <c r="N56" s="651" t="str">
        <f t="shared" si="5"/>
        <v/>
      </c>
      <c r="O56" s="651" t="str">
        <f t="shared" si="5"/>
        <v/>
      </c>
      <c r="P56" s="651" t="str">
        <f t="shared" si="5"/>
        <v/>
      </c>
      <c r="Q56" s="651">
        <f t="shared" si="5"/>
        <v>-1</v>
      </c>
      <c r="R56" s="651" t="str">
        <f t="shared" si="5"/>
        <v/>
      </c>
      <c r="S56" s="651" t="str">
        <f t="shared" si="5"/>
        <v/>
      </c>
      <c r="T56" s="651" t="str">
        <f t="shared" si="5"/>
        <v/>
      </c>
      <c r="U56" s="651">
        <f t="shared" si="5"/>
        <v>-1</v>
      </c>
      <c r="V56" s="651" t="str">
        <f t="shared" si="5"/>
        <v/>
      </c>
      <c r="W56" s="651" t="str">
        <f t="shared" si="5"/>
        <v/>
      </c>
      <c r="X56" s="651" t="str">
        <f t="shared" si="5"/>
        <v/>
      </c>
      <c r="Y56" s="651">
        <f t="shared" si="5"/>
        <v>1</v>
      </c>
      <c r="Z56" s="651" t="str">
        <f t="shared" si="5"/>
        <v/>
      </c>
      <c r="AA56" s="651" t="str">
        <f t="shared" si="5"/>
        <v/>
      </c>
      <c r="AB56" s="651" t="str">
        <f t="shared" si="5"/>
        <v/>
      </c>
      <c r="AH56" s="716"/>
      <c r="AI56" s="738" t="s">
        <v>460</v>
      </c>
      <c r="AJ56" s="716"/>
      <c r="AK56" s="717">
        <v>2</v>
      </c>
    </row>
    <row r="57" spans="1:37">
      <c r="L57" s="735"/>
      <c r="M57" s="736">
        <v>5</v>
      </c>
      <c r="N57" s="651" t="str">
        <f t="shared" si="5"/>
        <v/>
      </c>
      <c r="O57" s="651" t="str">
        <f t="shared" si="5"/>
        <v/>
      </c>
      <c r="P57" s="651" t="str">
        <f t="shared" si="5"/>
        <v/>
      </c>
      <c r="Q57" s="651" t="str">
        <f t="shared" si="5"/>
        <v/>
      </c>
      <c r="R57" s="651" t="str">
        <f t="shared" si="5"/>
        <v/>
      </c>
      <c r="S57" s="651" t="str">
        <f t="shared" si="5"/>
        <v/>
      </c>
      <c r="T57" s="651" t="str">
        <f t="shared" si="5"/>
        <v/>
      </c>
      <c r="U57" s="651">
        <f t="shared" si="5"/>
        <v>-1</v>
      </c>
      <c r="V57" s="651" t="str">
        <f t="shared" si="5"/>
        <v/>
      </c>
      <c r="W57" s="651" t="str">
        <f t="shared" si="5"/>
        <v/>
      </c>
      <c r="X57" s="651" t="str">
        <f t="shared" si="5"/>
        <v/>
      </c>
      <c r="Y57" s="651" t="str">
        <f t="shared" si="5"/>
        <v/>
      </c>
      <c r="Z57" s="651" t="str">
        <f t="shared" si="5"/>
        <v/>
      </c>
      <c r="AA57" s="651" t="str">
        <f t="shared" si="5"/>
        <v/>
      </c>
      <c r="AB57" s="651" t="str">
        <f t="shared" si="5"/>
        <v/>
      </c>
      <c r="AH57" s="716"/>
      <c r="AI57" s="737" t="s">
        <v>874</v>
      </c>
      <c r="AJ57" s="716"/>
      <c r="AK57" s="717">
        <v>3</v>
      </c>
    </row>
    <row r="58" spans="1:37">
      <c r="L58" s="735"/>
      <c r="M58" s="736">
        <v>6</v>
      </c>
      <c r="N58" s="651" t="str">
        <f t="shared" si="5"/>
        <v/>
      </c>
      <c r="O58" s="651" t="str">
        <f t="shared" si="5"/>
        <v/>
      </c>
      <c r="P58" s="651" t="str">
        <f t="shared" si="5"/>
        <v/>
      </c>
      <c r="Q58" s="651" t="str">
        <f t="shared" si="5"/>
        <v/>
      </c>
      <c r="R58" s="651" t="str">
        <f t="shared" si="5"/>
        <v/>
      </c>
      <c r="S58" s="651" t="str">
        <f t="shared" si="5"/>
        <v/>
      </c>
      <c r="T58" s="651" t="str">
        <f t="shared" si="5"/>
        <v/>
      </c>
      <c r="U58" s="651">
        <f t="shared" si="5"/>
        <v>-1</v>
      </c>
      <c r="V58" s="651" t="str">
        <f t="shared" si="5"/>
        <v/>
      </c>
      <c r="W58" s="651" t="str">
        <f t="shared" si="5"/>
        <v/>
      </c>
      <c r="X58" s="651" t="str">
        <f t="shared" si="5"/>
        <v/>
      </c>
      <c r="Y58" s="651" t="str">
        <f t="shared" si="5"/>
        <v/>
      </c>
      <c r="Z58" s="651" t="str">
        <f t="shared" si="5"/>
        <v/>
      </c>
      <c r="AA58" s="651" t="str">
        <f t="shared" si="5"/>
        <v/>
      </c>
      <c r="AB58" s="651" t="str">
        <f t="shared" si="5"/>
        <v/>
      </c>
      <c r="AH58" s="716"/>
      <c r="AI58" s="737" t="s">
        <v>875</v>
      </c>
      <c r="AJ58" s="716"/>
      <c r="AK58" s="717">
        <v>4</v>
      </c>
    </row>
    <row r="59" spans="1:37">
      <c r="L59" s="735"/>
      <c r="M59" s="736">
        <v>7</v>
      </c>
      <c r="N59" s="651" t="str">
        <f t="shared" si="5"/>
        <v/>
      </c>
      <c r="O59" s="651" t="str">
        <f t="shared" si="5"/>
        <v/>
      </c>
      <c r="P59" s="651" t="str">
        <f t="shared" si="5"/>
        <v/>
      </c>
      <c r="Q59" s="651" t="str">
        <f t="shared" si="5"/>
        <v/>
      </c>
      <c r="R59" s="651" t="str">
        <f t="shared" si="5"/>
        <v/>
      </c>
      <c r="S59" s="651" t="str">
        <f t="shared" si="5"/>
        <v/>
      </c>
      <c r="T59" s="651" t="str">
        <f t="shared" si="5"/>
        <v/>
      </c>
      <c r="U59" s="651">
        <f t="shared" si="5"/>
        <v>-1</v>
      </c>
      <c r="V59" s="651" t="str">
        <f t="shared" si="5"/>
        <v/>
      </c>
      <c r="W59" s="651" t="str">
        <f t="shared" si="5"/>
        <v/>
      </c>
      <c r="X59" s="651" t="str">
        <f t="shared" si="5"/>
        <v/>
      </c>
      <c r="Y59" s="651" t="str">
        <f t="shared" si="5"/>
        <v/>
      </c>
      <c r="Z59" s="651" t="str">
        <f t="shared" si="5"/>
        <v/>
      </c>
      <c r="AA59" s="651" t="str">
        <f t="shared" si="5"/>
        <v/>
      </c>
      <c r="AB59" s="651" t="str">
        <f t="shared" si="5"/>
        <v/>
      </c>
      <c r="AH59" s="716"/>
      <c r="AI59" s="737" t="s">
        <v>934</v>
      </c>
      <c r="AJ59" s="716"/>
      <c r="AK59" s="717">
        <v>5</v>
      </c>
    </row>
    <row r="60" spans="1:37">
      <c r="A60" s="648"/>
      <c r="B60" s="648"/>
      <c r="C60" s="648"/>
      <c r="D60" s="648"/>
      <c r="E60" s="648"/>
      <c r="F60" s="648" t="s">
        <v>904</v>
      </c>
      <c r="G60" s="739" t="s">
        <v>905</v>
      </c>
      <c r="H60" s="739" t="s">
        <v>906</v>
      </c>
      <c r="L60" s="735"/>
      <c r="M60" s="736">
        <v>8</v>
      </c>
      <c r="N60" s="651" t="str">
        <f t="shared" si="5"/>
        <v/>
      </c>
      <c r="O60" s="651" t="str">
        <f t="shared" si="5"/>
        <v/>
      </c>
      <c r="P60" s="651" t="str">
        <f t="shared" si="5"/>
        <v/>
      </c>
      <c r="Q60" s="651" t="str">
        <f t="shared" si="5"/>
        <v/>
      </c>
      <c r="R60" s="651" t="str">
        <f t="shared" si="5"/>
        <v/>
      </c>
      <c r="S60" s="651" t="str">
        <f t="shared" si="5"/>
        <v/>
      </c>
      <c r="T60" s="651" t="str">
        <f t="shared" si="5"/>
        <v/>
      </c>
      <c r="U60" s="651">
        <f t="shared" si="5"/>
        <v>-1</v>
      </c>
      <c r="V60" s="651" t="str">
        <f t="shared" si="5"/>
        <v/>
      </c>
      <c r="W60" s="651" t="str">
        <f t="shared" si="5"/>
        <v/>
      </c>
      <c r="X60" s="651" t="str">
        <f t="shared" si="5"/>
        <v/>
      </c>
      <c r="Y60" s="651" t="str">
        <f t="shared" si="5"/>
        <v/>
      </c>
      <c r="Z60" s="651" t="str">
        <f t="shared" si="5"/>
        <v/>
      </c>
      <c r="AA60" s="651" t="str">
        <f t="shared" si="5"/>
        <v/>
      </c>
      <c r="AB60" s="651" t="str">
        <f t="shared" si="5"/>
        <v/>
      </c>
      <c r="AH60" s="716"/>
      <c r="AI60" s="737" t="s">
        <v>935</v>
      </c>
      <c r="AJ60" s="716"/>
      <c r="AK60" s="717">
        <v>6</v>
      </c>
    </row>
    <row r="61" spans="1:37">
      <c r="A61" s="648" t="s">
        <v>870</v>
      </c>
      <c r="B61" s="648" t="e">
        <f>AVERAGE(D11:D14,H11:H14)</f>
        <v>#DIV/0!</v>
      </c>
      <c r="C61" s="648"/>
      <c r="D61" s="648"/>
      <c r="E61" s="648" t="s">
        <v>963</v>
      </c>
      <c r="F61" s="648" t="e">
        <f>AVERAGE(F11:F14,H11:H14)</f>
        <v>#DIV/0!</v>
      </c>
      <c r="G61" s="648"/>
      <c r="H61" s="648"/>
      <c r="L61" s="735"/>
      <c r="M61" s="736">
        <v>9</v>
      </c>
      <c r="N61" s="651" t="str">
        <f t="shared" ref="N61:AB67" si="6">IF(N17=N$24,N62,"")</f>
        <v/>
      </c>
      <c r="O61" s="651" t="str">
        <f t="shared" si="6"/>
        <v/>
      </c>
      <c r="P61" s="651" t="str">
        <f t="shared" si="6"/>
        <v/>
      </c>
      <c r="Q61" s="651" t="str">
        <f t="shared" si="6"/>
        <v/>
      </c>
      <c r="R61" s="651" t="str">
        <f t="shared" si="6"/>
        <v/>
      </c>
      <c r="S61" s="651" t="str">
        <f t="shared" si="6"/>
        <v/>
      </c>
      <c r="T61" s="651" t="str">
        <f t="shared" si="6"/>
        <v/>
      </c>
      <c r="U61" s="651">
        <f t="shared" si="6"/>
        <v>1</v>
      </c>
      <c r="V61" s="651" t="str">
        <f t="shared" si="6"/>
        <v/>
      </c>
      <c r="W61" s="651" t="str">
        <f t="shared" si="6"/>
        <v/>
      </c>
      <c r="X61" s="651" t="str">
        <f t="shared" si="6"/>
        <v/>
      </c>
      <c r="Y61" s="651" t="str">
        <f t="shared" si="6"/>
        <v/>
      </c>
      <c r="Z61" s="651" t="str">
        <f t="shared" si="6"/>
        <v/>
      </c>
      <c r="AA61" s="651" t="str">
        <f t="shared" si="6"/>
        <v/>
      </c>
      <c r="AB61" s="651" t="str">
        <f t="shared" si="6"/>
        <v/>
      </c>
      <c r="AH61" s="716"/>
      <c r="AI61" s="737" t="s">
        <v>936</v>
      </c>
      <c r="AJ61" s="716"/>
      <c r="AK61" s="717">
        <v>7</v>
      </c>
    </row>
    <row r="62" spans="1:37">
      <c r="A62" s="648" t="s">
        <v>871</v>
      </c>
      <c r="B62" s="648" t="e">
        <f>AVERAGE(F11:F14,J11:J14)</f>
        <v>#DIV/0!</v>
      </c>
      <c r="C62" s="648"/>
      <c r="D62" s="648"/>
      <c r="E62" s="648" t="s">
        <v>964</v>
      </c>
      <c r="F62" s="648" t="e">
        <f>AVERAGE(D11:D14,J11:J14)</f>
        <v>#DIV/0!</v>
      </c>
      <c r="G62" s="648"/>
      <c r="H62" s="648"/>
      <c r="L62" s="735"/>
      <c r="M62" s="736">
        <v>10</v>
      </c>
      <c r="N62" s="651" t="str">
        <f t="shared" si="6"/>
        <v/>
      </c>
      <c r="O62" s="651" t="str">
        <f t="shared" si="6"/>
        <v/>
      </c>
      <c r="P62" s="651" t="str">
        <f t="shared" si="6"/>
        <v/>
      </c>
      <c r="Q62" s="651" t="str">
        <f t="shared" si="6"/>
        <v/>
      </c>
      <c r="R62" s="651" t="str">
        <f t="shared" si="6"/>
        <v/>
      </c>
      <c r="S62" s="651" t="str">
        <f t="shared" si="6"/>
        <v/>
      </c>
      <c r="T62" s="651" t="str">
        <f t="shared" si="6"/>
        <v/>
      </c>
      <c r="U62" s="651">
        <f t="shared" si="6"/>
        <v>1</v>
      </c>
      <c r="V62" s="651" t="str">
        <f t="shared" si="6"/>
        <v/>
      </c>
      <c r="W62" s="651" t="str">
        <f t="shared" si="6"/>
        <v/>
      </c>
      <c r="X62" s="651" t="str">
        <f t="shared" si="6"/>
        <v/>
      </c>
      <c r="Y62" s="651" t="str">
        <f t="shared" si="6"/>
        <v/>
      </c>
      <c r="Z62" s="651" t="str">
        <f t="shared" si="6"/>
        <v/>
      </c>
      <c r="AA62" s="651" t="str">
        <f t="shared" si="6"/>
        <v/>
      </c>
      <c r="AB62" s="651" t="str">
        <f t="shared" si="6"/>
        <v/>
      </c>
      <c r="AH62" s="716"/>
      <c r="AI62" s="737" t="s">
        <v>938</v>
      </c>
      <c r="AJ62" s="716"/>
      <c r="AK62" s="717">
        <v>8</v>
      </c>
    </row>
    <row r="63" spans="1:37">
      <c r="A63" s="648"/>
      <c r="B63" s="648"/>
      <c r="C63" s="648"/>
      <c r="D63" s="648"/>
      <c r="E63" s="648"/>
      <c r="F63" s="648"/>
      <c r="G63" s="648"/>
      <c r="H63" s="648"/>
      <c r="L63" s="735"/>
      <c r="M63" s="736">
        <v>11</v>
      </c>
      <c r="N63" s="651" t="str">
        <f t="shared" si="6"/>
        <v/>
      </c>
      <c r="O63" s="651" t="str">
        <f t="shared" si="6"/>
        <v/>
      </c>
      <c r="P63" s="651" t="str">
        <f t="shared" si="6"/>
        <v/>
      </c>
      <c r="Q63" s="651" t="str">
        <f t="shared" si="6"/>
        <v/>
      </c>
      <c r="R63" s="651" t="str">
        <f t="shared" si="6"/>
        <v/>
      </c>
      <c r="S63" s="651" t="str">
        <f t="shared" si="6"/>
        <v/>
      </c>
      <c r="T63" s="651" t="str">
        <f t="shared" si="6"/>
        <v/>
      </c>
      <c r="U63" s="651">
        <f t="shared" si="6"/>
        <v>1</v>
      </c>
      <c r="V63" s="651" t="str">
        <f t="shared" si="6"/>
        <v/>
      </c>
      <c r="W63" s="651" t="str">
        <f t="shared" si="6"/>
        <v/>
      </c>
      <c r="X63" s="651" t="str">
        <f t="shared" si="6"/>
        <v/>
      </c>
      <c r="Y63" s="651" t="str">
        <f t="shared" si="6"/>
        <v/>
      </c>
      <c r="Z63" s="651" t="str">
        <f t="shared" si="6"/>
        <v/>
      </c>
      <c r="AA63" s="651" t="str">
        <f t="shared" si="6"/>
        <v/>
      </c>
      <c r="AB63" s="651" t="str">
        <f t="shared" si="6"/>
        <v/>
      </c>
      <c r="AH63" s="716"/>
      <c r="AI63" s="737" t="s">
        <v>954</v>
      </c>
      <c r="AJ63" s="716"/>
      <c r="AK63" s="717">
        <v>9</v>
      </c>
    </row>
    <row r="64" spans="1:37">
      <c r="A64" s="648" t="s">
        <v>873</v>
      </c>
      <c r="B64" s="648" t="e">
        <f>AVERAGE(D11:F14)</f>
        <v>#DIV/0!</v>
      </c>
      <c r="C64" s="648"/>
      <c r="D64" s="648"/>
      <c r="E64" s="648" t="s">
        <v>870</v>
      </c>
      <c r="F64" s="648"/>
      <c r="G64" s="688" t="e">
        <f>AVERAGE(D11:D14)</f>
        <v>#DIV/0!</v>
      </c>
      <c r="H64" s="688" t="e">
        <f>AVERAGE(H11:H14)</f>
        <v>#DIV/0!</v>
      </c>
      <c r="L64" s="735"/>
      <c r="M64" s="736">
        <v>12</v>
      </c>
      <c r="N64" s="651" t="str">
        <f t="shared" si="6"/>
        <v/>
      </c>
      <c r="O64" s="651" t="str">
        <f t="shared" si="6"/>
        <v/>
      </c>
      <c r="P64" s="651" t="str">
        <f t="shared" si="6"/>
        <v/>
      </c>
      <c r="Q64" s="651" t="str">
        <f t="shared" si="6"/>
        <v/>
      </c>
      <c r="R64" s="651" t="str">
        <f t="shared" si="6"/>
        <v/>
      </c>
      <c r="S64" s="651" t="str">
        <f t="shared" si="6"/>
        <v/>
      </c>
      <c r="T64" s="651" t="str">
        <f t="shared" si="6"/>
        <v/>
      </c>
      <c r="U64" s="651">
        <f t="shared" si="6"/>
        <v>1</v>
      </c>
      <c r="V64" s="651" t="str">
        <f t="shared" si="6"/>
        <v/>
      </c>
      <c r="W64" s="651" t="str">
        <f t="shared" si="6"/>
        <v/>
      </c>
      <c r="X64" s="651" t="str">
        <f t="shared" si="6"/>
        <v/>
      </c>
      <c r="Y64" s="651" t="str">
        <f t="shared" si="6"/>
        <v/>
      </c>
      <c r="Z64" s="651" t="str">
        <f t="shared" si="6"/>
        <v/>
      </c>
      <c r="AA64" s="651" t="str">
        <f t="shared" si="6"/>
        <v/>
      </c>
      <c r="AB64" s="651" t="str">
        <f t="shared" si="6"/>
        <v/>
      </c>
      <c r="AH64" s="716"/>
      <c r="AI64" s="737" t="s">
        <v>955</v>
      </c>
      <c r="AJ64" s="716"/>
      <c r="AK64" s="717">
        <v>10</v>
      </c>
    </row>
    <row r="65" spans="1:37">
      <c r="A65" s="648" t="s">
        <v>876</v>
      </c>
      <c r="B65" s="648" t="e">
        <f>AVERAGE(H11:J14)</f>
        <v>#DIV/0!</v>
      </c>
      <c r="C65" s="648"/>
      <c r="D65" s="648"/>
      <c r="E65" s="648" t="s">
        <v>871</v>
      </c>
      <c r="F65" s="648"/>
      <c r="G65" s="688" t="e">
        <f>AVERAGE(F11:F14)</f>
        <v>#DIV/0!</v>
      </c>
      <c r="H65" s="688" t="e">
        <f>AVERAGE(J11:J14)</f>
        <v>#DIV/0!</v>
      </c>
      <c r="L65" s="735"/>
      <c r="M65" s="736">
        <v>13</v>
      </c>
      <c r="N65" s="651" t="str">
        <f t="shared" si="6"/>
        <v/>
      </c>
      <c r="O65" s="651" t="str">
        <f t="shared" si="6"/>
        <v/>
      </c>
      <c r="P65" s="651" t="str">
        <f t="shared" si="6"/>
        <v/>
      </c>
      <c r="Q65" s="651">
        <f t="shared" si="6"/>
        <v>1</v>
      </c>
      <c r="R65" s="651" t="str">
        <f t="shared" si="6"/>
        <v/>
      </c>
      <c r="S65" s="651" t="str">
        <f t="shared" si="6"/>
        <v/>
      </c>
      <c r="T65" s="651" t="str">
        <f t="shared" si="6"/>
        <v/>
      </c>
      <c r="U65" s="651">
        <f t="shared" si="6"/>
        <v>1</v>
      </c>
      <c r="V65" s="651" t="str">
        <f t="shared" si="6"/>
        <v/>
      </c>
      <c r="W65" s="651" t="str">
        <f t="shared" si="6"/>
        <v/>
      </c>
      <c r="X65" s="651" t="str">
        <f t="shared" si="6"/>
        <v/>
      </c>
      <c r="Y65" s="651" t="str">
        <f t="shared" si="6"/>
        <v/>
      </c>
      <c r="Z65" s="651" t="str">
        <f t="shared" si="6"/>
        <v/>
      </c>
      <c r="AA65" s="651" t="str">
        <f t="shared" si="6"/>
        <v/>
      </c>
      <c r="AB65" s="651" t="str">
        <f t="shared" si="6"/>
        <v/>
      </c>
      <c r="AH65" s="716"/>
      <c r="AI65" s="737" t="s">
        <v>956</v>
      </c>
      <c r="AJ65" s="716"/>
      <c r="AK65" s="717">
        <v>11</v>
      </c>
    </row>
    <row r="66" spans="1:37">
      <c r="A66" s="648"/>
      <c r="B66" s="648"/>
      <c r="C66" s="648"/>
      <c r="D66" s="648"/>
      <c r="E66" s="648"/>
      <c r="F66" s="648"/>
      <c r="G66" s="648"/>
      <c r="H66" s="648"/>
      <c r="L66" s="735"/>
      <c r="M66" s="736">
        <v>14</v>
      </c>
      <c r="N66" s="651" t="str">
        <f t="shared" si="6"/>
        <v/>
      </c>
      <c r="O66" s="651" t="str">
        <f t="shared" si="6"/>
        <v/>
      </c>
      <c r="P66" s="651" t="str">
        <f t="shared" si="6"/>
        <v/>
      </c>
      <c r="Q66" s="651">
        <f t="shared" si="6"/>
        <v>1</v>
      </c>
      <c r="R66" s="651" t="str">
        <f t="shared" si="6"/>
        <v/>
      </c>
      <c r="S66" s="651" t="str">
        <f t="shared" si="6"/>
        <v/>
      </c>
      <c r="T66" s="651" t="str">
        <f t="shared" si="6"/>
        <v/>
      </c>
      <c r="U66" s="651">
        <f t="shared" si="6"/>
        <v>1</v>
      </c>
      <c r="V66" s="651" t="str">
        <f t="shared" si="6"/>
        <v/>
      </c>
      <c r="W66" s="651" t="str">
        <f t="shared" si="6"/>
        <v/>
      </c>
      <c r="X66" s="651" t="str">
        <f t="shared" si="6"/>
        <v/>
      </c>
      <c r="Y66" s="651" t="str">
        <f t="shared" si="6"/>
        <v/>
      </c>
      <c r="Z66" s="651" t="str">
        <f t="shared" si="6"/>
        <v/>
      </c>
      <c r="AA66" s="651" t="str">
        <f t="shared" si="6"/>
        <v/>
      </c>
      <c r="AB66" s="651" t="str">
        <f t="shared" si="6"/>
        <v/>
      </c>
      <c r="AH66" s="716"/>
      <c r="AI66" s="737" t="s">
        <v>957</v>
      </c>
      <c r="AJ66" s="716"/>
      <c r="AK66" s="717">
        <v>12</v>
      </c>
    </row>
    <row r="67" spans="1:37">
      <c r="A67" s="648" t="s">
        <v>933</v>
      </c>
      <c r="B67" s="648" t="e">
        <f>AVERAGE(D11:J11,D14:J14)</f>
        <v>#DIV/0!</v>
      </c>
      <c r="C67" s="648"/>
      <c r="D67" s="648"/>
      <c r="E67" s="648" t="s">
        <v>940</v>
      </c>
      <c r="F67" s="648" t="e">
        <f>AVERAGE(F11:F11,J11:J11,D12:D12,H12:H12,F13:F13,J13:J13,D14:D14,H14:H14)</f>
        <v>#DIV/0!</v>
      </c>
      <c r="G67" s="648"/>
      <c r="H67" s="648"/>
      <c r="L67" s="735"/>
      <c r="M67" s="736">
        <v>15</v>
      </c>
      <c r="N67" s="651" t="str">
        <f t="shared" si="6"/>
        <v/>
      </c>
      <c r="O67" s="651">
        <f t="shared" si="6"/>
        <v>1</v>
      </c>
      <c r="P67" s="651" t="str">
        <f t="shared" si="6"/>
        <v/>
      </c>
      <c r="Q67" s="651">
        <f t="shared" si="6"/>
        <v>1</v>
      </c>
      <c r="R67" s="651" t="str">
        <f t="shared" si="6"/>
        <v/>
      </c>
      <c r="S67" s="651" t="str">
        <f t="shared" si="6"/>
        <v/>
      </c>
      <c r="T67" s="651" t="str">
        <f t="shared" si="6"/>
        <v/>
      </c>
      <c r="U67" s="651">
        <f t="shared" si="6"/>
        <v>1</v>
      </c>
      <c r="V67" s="651" t="str">
        <f t="shared" si="6"/>
        <v/>
      </c>
      <c r="W67" s="651" t="str">
        <f t="shared" si="6"/>
        <v/>
      </c>
      <c r="X67" s="651" t="str">
        <f t="shared" si="6"/>
        <v/>
      </c>
      <c r="Y67" s="651" t="str">
        <f t="shared" si="6"/>
        <v/>
      </c>
      <c r="Z67" s="651" t="str">
        <f t="shared" si="6"/>
        <v/>
      </c>
      <c r="AA67" s="651">
        <f t="shared" si="6"/>
        <v>1</v>
      </c>
      <c r="AB67" s="651" t="str">
        <f t="shared" si="6"/>
        <v/>
      </c>
      <c r="AH67" s="716"/>
      <c r="AI67" s="737" t="s">
        <v>959</v>
      </c>
      <c r="AJ67" s="716"/>
      <c r="AK67" s="717">
        <v>13</v>
      </c>
    </row>
    <row r="68" spans="1:37">
      <c r="A68" s="648" t="s">
        <v>937</v>
      </c>
      <c r="B68" s="648" t="e">
        <f>AVERAGE(D12:J12,D14:J14)</f>
        <v>#DIV/0!</v>
      </c>
      <c r="C68" s="648"/>
      <c r="D68" s="648"/>
      <c r="E68" s="648" t="s">
        <v>941</v>
      </c>
      <c r="F68" s="648" t="e">
        <f>AVERAGE(D11:D11,H11:H11,F12:F12,J12:J12,D13:D13,H13:H13,F14:F14,J14:J14)</f>
        <v>#DIV/0!</v>
      </c>
      <c r="G68" s="648"/>
      <c r="H68" s="648"/>
      <c r="L68" s="735"/>
      <c r="M68" s="736">
        <v>16</v>
      </c>
      <c r="N68" s="651">
        <f t="shared" ref="N68:AB68" si="7">IF(N24=N9,"",IF(N24="-",-1,1))</f>
        <v>1</v>
      </c>
      <c r="O68" s="651">
        <f t="shared" si="7"/>
        <v>1</v>
      </c>
      <c r="P68" s="651" t="str">
        <f t="shared" si="7"/>
        <v/>
      </c>
      <c r="Q68" s="651">
        <f t="shared" si="7"/>
        <v>1</v>
      </c>
      <c r="R68" s="651" t="str">
        <f t="shared" si="7"/>
        <v/>
      </c>
      <c r="S68" s="651" t="str">
        <f t="shared" si="7"/>
        <v/>
      </c>
      <c r="T68" s="651">
        <f t="shared" si="7"/>
        <v>1</v>
      </c>
      <c r="U68" s="651">
        <f t="shared" si="7"/>
        <v>1</v>
      </c>
      <c r="V68" s="651" t="str">
        <f t="shared" si="7"/>
        <v/>
      </c>
      <c r="W68" s="651" t="str">
        <f t="shared" si="7"/>
        <v/>
      </c>
      <c r="X68" s="651">
        <f t="shared" si="7"/>
        <v>1</v>
      </c>
      <c r="Y68" s="651" t="str">
        <f t="shared" si="7"/>
        <v/>
      </c>
      <c r="Z68" s="651">
        <f t="shared" si="7"/>
        <v>1</v>
      </c>
      <c r="AA68" s="651">
        <f t="shared" si="7"/>
        <v>1</v>
      </c>
      <c r="AB68" s="651" t="str">
        <f t="shared" si="7"/>
        <v/>
      </c>
      <c r="AH68" s="716"/>
      <c r="AI68" s="737" t="s">
        <v>960</v>
      </c>
      <c r="AJ68" s="716"/>
      <c r="AK68" s="717">
        <v>14</v>
      </c>
    </row>
    <row r="69" spans="1:37">
      <c r="A69" s="648"/>
      <c r="B69" s="648"/>
      <c r="C69" s="648"/>
      <c r="D69" s="648"/>
      <c r="E69" s="648"/>
      <c r="F69" s="648"/>
      <c r="G69" s="648"/>
      <c r="H69" s="648"/>
      <c r="AH69" s="716"/>
      <c r="AI69" s="737" t="s">
        <v>961</v>
      </c>
      <c r="AJ69" s="716"/>
      <c r="AK69" s="717">
        <v>15</v>
      </c>
    </row>
    <row r="70" spans="1:37">
      <c r="A70" s="648" t="s">
        <v>953</v>
      </c>
      <c r="B70" s="648" t="e">
        <f>AVERAGE(D11:J12)</f>
        <v>#DIV/0!</v>
      </c>
      <c r="C70" s="648"/>
      <c r="D70" s="648"/>
      <c r="E70" s="648" t="s">
        <v>870</v>
      </c>
      <c r="F70" s="648"/>
      <c r="G70" s="688" t="e">
        <f>AVERAGE(D11:D11,D13:D13,H11:H11,H13:H13)</f>
        <v>#DIV/0!</v>
      </c>
      <c r="H70" s="688" t="e">
        <f>AVERAGE(D12:D12,D14:D14,H12:H12,H14:H14)</f>
        <v>#DIV/0!</v>
      </c>
      <c r="AH70" s="716"/>
      <c r="AI70" s="737" t="s">
        <v>962</v>
      </c>
      <c r="AJ70" s="733"/>
      <c r="AK70" s="717">
        <v>16</v>
      </c>
    </row>
    <row r="71" spans="1:37">
      <c r="A71" s="648" t="s">
        <v>958</v>
      </c>
      <c r="B71" s="648" t="e">
        <f>AVERAGE(D13:J14)</f>
        <v>#DIV/0!</v>
      </c>
      <c r="C71" s="648"/>
      <c r="D71" s="648"/>
      <c r="E71" s="648" t="s">
        <v>871</v>
      </c>
      <c r="F71" s="648"/>
      <c r="G71" s="688" t="e">
        <f>AVERAGE(F11:F11,F13:F13,J11:J11,J13:J13)</f>
        <v>#DIV/0!</v>
      </c>
      <c r="H71" s="688" t="e">
        <f>AVERAGE(F12:F12,J12:J12,F14:F14,J14:J14)</f>
        <v>#DIV/0!</v>
      </c>
    </row>
    <row r="72" spans="1:37">
      <c r="A72" s="648"/>
      <c r="B72" s="648"/>
      <c r="C72" s="648"/>
      <c r="D72" s="648"/>
      <c r="E72" s="648"/>
      <c r="F72" s="648"/>
      <c r="G72" s="648"/>
      <c r="H72" s="648"/>
    </row>
    <row r="73" spans="1:37">
      <c r="A73" s="648"/>
      <c r="B73" s="648"/>
      <c r="C73" s="648"/>
      <c r="D73" s="648"/>
      <c r="E73" s="648" t="s">
        <v>942</v>
      </c>
      <c r="F73" s="648" t="e">
        <f>AVERAGE(H11:J11,D12:F12,H13:J13,D14:F14)</f>
        <v>#DIV/0!</v>
      </c>
      <c r="G73" s="648"/>
      <c r="H73" s="648"/>
      <c r="AJ73" s="571" t="s">
        <v>839</v>
      </c>
      <c r="AK73" s="654">
        <v>2</v>
      </c>
    </row>
    <row r="74" spans="1:37">
      <c r="A74" s="648"/>
      <c r="B74" s="648"/>
      <c r="C74" s="648"/>
      <c r="D74" s="648"/>
      <c r="E74" s="648" t="s">
        <v>943</v>
      </c>
      <c r="F74" s="648" t="e">
        <f>AVERAGE(D11:F11,H12:J12,D13:F13,H14:J14)</f>
        <v>#DIV/0!</v>
      </c>
      <c r="G74" s="648"/>
      <c r="H74" s="648"/>
      <c r="AJ74" s="571" t="s">
        <v>840</v>
      </c>
      <c r="AK74" s="654">
        <v>4</v>
      </c>
    </row>
    <row r="75" spans="1:37">
      <c r="A75" s="648"/>
      <c r="B75" s="648"/>
      <c r="C75" s="648"/>
      <c r="D75" s="648"/>
      <c r="E75" s="648"/>
      <c r="F75" s="648"/>
      <c r="G75" s="648"/>
      <c r="H75" s="648"/>
      <c r="AJ75" s="571" t="s">
        <v>841</v>
      </c>
      <c r="AK75" s="655">
        <v>1</v>
      </c>
    </row>
    <row r="76" spans="1:37">
      <c r="A76" s="648"/>
      <c r="B76" s="648"/>
      <c r="C76" s="648"/>
      <c r="D76" s="648"/>
      <c r="E76" s="648" t="s">
        <v>873</v>
      </c>
      <c r="F76" s="648"/>
      <c r="G76" s="688" t="e">
        <f>AVERAGE(D11:F11,D13:F13)</f>
        <v>#DIV/0!</v>
      </c>
      <c r="H76" s="688" t="e">
        <f>AVERAGE(D12:F12,D14:F14)</f>
        <v>#DIV/0!</v>
      </c>
      <c r="AH76" s="560" t="s">
        <v>842</v>
      </c>
      <c r="AJ76" s="571" t="s">
        <v>484</v>
      </c>
      <c r="AK76" s="655">
        <f>C6</f>
        <v>0.95</v>
      </c>
    </row>
    <row r="77" spans="1:37" ht="14.25">
      <c r="A77" s="648"/>
      <c r="B77" s="648"/>
      <c r="C77" s="648"/>
      <c r="D77" s="648"/>
      <c r="E77" s="648" t="s">
        <v>876</v>
      </c>
      <c r="F77" s="648"/>
      <c r="G77" s="688" t="e">
        <f>AVERAGE(H11:J11,H13:J13)</f>
        <v>#DIV/0!</v>
      </c>
      <c r="H77" s="688" t="e">
        <f>AVERAGE(H12:J12,H14:J14)</f>
        <v>#DIV/0!</v>
      </c>
      <c r="K77" s="615"/>
      <c r="AH77" s="565" t="s">
        <v>859</v>
      </c>
      <c r="AI77" s="565"/>
      <c r="AJ77" s="656" t="s">
        <v>845</v>
      </c>
      <c r="AK77" s="567">
        <f>(AK73^AK74*AK75)/2</f>
        <v>8</v>
      </c>
    </row>
    <row r="78" spans="1:37" ht="14.25">
      <c r="A78" s="648"/>
      <c r="B78" s="648"/>
      <c r="C78" s="648"/>
      <c r="D78" s="648"/>
      <c r="E78" s="648"/>
      <c r="F78" s="648"/>
      <c r="G78" s="702"/>
      <c r="H78" s="702"/>
      <c r="AH78" s="565" t="s">
        <v>860</v>
      </c>
      <c r="AI78" s="565"/>
      <c r="AJ78" s="656" t="s">
        <v>846</v>
      </c>
      <c r="AK78" s="567">
        <f>(AK73^AK74*AK75)/2</f>
        <v>8</v>
      </c>
    </row>
    <row r="79" spans="1:37">
      <c r="A79" s="648"/>
      <c r="B79" s="648"/>
      <c r="C79" s="648"/>
      <c r="D79" s="648"/>
      <c r="E79" s="648"/>
      <c r="F79" s="648"/>
      <c r="G79" s="702"/>
      <c r="H79" s="702"/>
      <c r="AH79" s="565" t="s">
        <v>847</v>
      </c>
      <c r="AI79" s="565"/>
      <c r="AJ79" s="656" t="s">
        <v>848</v>
      </c>
      <c r="AK79" s="567">
        <f>AK73^AK74-1</f>
        <v>15</v>
      </c>
    </row>
    <row r="80" spans="1:37">
      <c r="A80" s="648"/>
      <c r="B80" s="648"/>
      <c r="C80" s="648"/>
      <c r="D80" s="648"/>
      <c r="E80" s="648"/>
      <c r="F80" s="648" t="s">
        <v>904</v>
      </c>
      <c r="G80" s="739" t="s">
        <v>905</v>
      </c>
      <c r="H80" s="739" t="s">
        <v>906</v>
      </c>
      <c r="AH80" s="565"/>
      <c r="AI80" s="565"/>
      <c r="AJ80" s="656"/>
    </row>
    <row r="81" spans="1:37">
      <c r="A81" s="648"/>
      <c r="B81" s="648"/>
      <c r="C81" s="648"/>
      <c r="D81" s="648"/>
      <c r="E81" s="648" t="s">
        <v>965</v>
      </c>
      <c r="F81" s="648" t="e">
        <f>AVERAGE(F11:F12,J11:J12,D13:D14,H13:H14)</f>
        <v>#DIV/0!</v>
      </c>
      <c r="G81" s="648"/>
      <c r="H81" s="648"/>
      <c r="AH81" s="565"/>
      <c r="AI81" s="565"/>
      <c r="AJ81" s="656"/>
    </row>
    <row r="82" spans="1:37" ht="14.25">
      <c r="A82" s="648"/>
      <c r="B82" s="648"/>
      <c r="C82" s="648"/>
      <c r="D82" s="648"/>
      <c r="E82" s="648" t="s">
        <v>966</v>
      </c>
      <c r="F82" s="648" t="e">
        <f>AVERAGE(D11:D12,H11:H12,F13:F14,J13:J14)</f>
        <v>#DIV/0!</v>
      </c>
      <c r="G82" s="648"/>
      <c r="H82" s="648"/>
      <c r="AJ82" s="656" t="s">
        <v>923</v>
      </c>
      <c r="AK82" s="560">
        <f>(FACT(AK77+AK78))/(FACT(AK77)*FACT(AK78))</f>
        <v>12870</v>
      </c>
    </row>
    <row r="83" spans="1:37" ht="14.25">
      <c r="A83" s="648"/>
      <c r="B83" s="648"/>
      <c r="C83" s="648"/>
      <c r="D83" s="648"/>
      <c r="E83" s="648"/>
      <c r="F83" s="648"/>
      <c r="G83" s="648"/>
      <c r="H83" s="648"/>
      <c r="AJ83" s="656" t="s">
        <v>862</v>
      </c>
      <c r="AK83" s="560">
        <f>AK77+AK78</f>
        <v>16</v>
      </c>
    </row>
    <row r="84" spans="1:37">
      <c r="A84" s="648"/>
      <c r="B84" s="648"/>
      <c r="C84" s="648"/>
      <c r="D84" s="648"/>
      <c r="E84" s="648" t="s">
        <v>870</v>
      </c>
      <c r="F84" s="648"/>
      <c r="G84" s="688" t="e">
        <f>AVERAGE(D11:D12,H11:H12)</f>
        <v>#DIV/0!</v>
      </c>
      <c r="H84" s="688" t="e">
        <f>AVERAGE(D13:D14,H13:H14)</f>
        <v>#DIV/0!</v>
      </c>
      <c r="AJ84" s="630" t="s">
        <v>849</v>
      </c>
      <c r="AK84" s="563">
        <f>ROUNDUP(AK83-(LN(AK82*(1-(AK76^(1/AK79))))/LN(2)),0)</f>
        <v>11</v>
      </c>
    </row>
    <row r="85" spans="1:37">
      <c r="A85" s="648"/>
      <c r="B85" s="648"/>
      <c r="C85" s="648"/>
      <c r="D85" s="648"/>
      <c r="E85" s="648" t="s">
        <v>871</v>
      </c>
      <c r="F85" s="648"/>
      <c r="G85" s="688" t="e">
        <f>AVERAGE(F11:F12,J11:J12)</f>
        <v>#DIV/0!</v>
      </c>
      <c r="H85" s="688" t="e">
        <f>AVERAGE(F13:F14,J13:J14)</f>
        <v>#DIV/0!</v>
      </c>
      <c r="AJ85" s="571"/>
    </row>
    <row r="86" spans="1:37">
      <c r="A86" s="648"/>
      <c r="B86" s="648"/>
      <c r="C86" s="648"/>
      <c r="D86" s="648"/>
      <c r="E86" s="648"/>
      <c r="F86" s="648"/>
      <c r="G86" s="648"/>
      <c r="H86" s="648"/>
      <c r="AJ86" s="572" t="s">
        <v>850</v>
      </c>
      <c r="AK86" s="570">
        <f>(AK73^AK74)*AK75</f>
        <v>16</v>
      </c>
    </row>
    <row r="87" spans="1:37">
      <c r="A87" s="648"/>
      <c r="B87" s="648"/>
      <c r="C87" s="648"/>
      <c r="D87" s="648"/>
      <c r="E87" s="648" t="s">
        <v>967</v>
      </c>
      <c r="F87" s="648" t="e">
        <f>AVERAGE(D13:F14,H11:J12)</f>
        <v>#DIV/0!</v>
      </c>
      <c r="G87" s="648"/>
      <c r="H87" s="648"/>
    </row>
    <row r="88" spans="1:37">
      <c r="A88" s="648"/>
      <c r="B88" s="648"/>
      <c r="C88" s="648"/>
      <c r="D88" s="648"/>
      <c r="E88" s="648" t="s">
        <v>968</v>
      </c>
      <c r="F88" s="648" t="e">
        <f>AVERAGE(D11:F12,H13:J14)</f>
        <v>#DIV/0!</v>
      </c>
      <c r="G88" s="648"/>
      <c r="H88" s="648"/>
    </row>
    <row r="89" spans="1:37">
      <c r="A89" s="648"/>
      <c r="B89" s="648"/>
      <c r="C89" s="648"/>
      <c r="D89" s="648"/>
      <c r="E89" s="648"/>
      <c r="F89" s="648"/>
      <c r="G89" s="648"/>
      <c r="H89" s="648"/>
    </row>
    <row r="90" spans="1:37">
      <c r="A90" s="648"/>
      <c r="B90" s="648"/>
      <c r="C90" s="648"/>
      <c r="D90" s="648"/>
      <c r="E90" s="648" t="s">
        <v>873</v>
      </c>
      <c r="F90" s="648"/>
      <c r="G90" s="688" t="e">
        <f>AVERAGE(D11:F12)</f>
        <v>#DIV/0!</v>
      </c>
      <c r="H90" s="688" t="e">
        <f>AVERAGE(D13:F14)</f>
        <v>#DIV/0!</v>
      </c>
    </row>
    <row r="91" spans="1:37">
      <c r="A91" s="648"/>
      <c r="B91" s="648"/>
      <c r="C91" s="648"/>
      <c r="D91" s="648"/>
      <c r="E91" s="648" t="s">
        <v>876</v>
      </c>
      <c r="F91" s="648"/>
      <c r="G91" s="688" t="e">
        <f>AVERAGE(H11:J12)</f>
        <v>#DIV/0!</v>
      </c>
      <c r="H91" s="688" t="e">
        <f>AVERAGE(H13:J14)</f>
        <v>#DIV/0!</v>
      </c>
    </row>
    <row r="92" spans="1:37">
      <c r="A92" s="648"/>
      <c r="B92" s="648"/>
      <c r="C92" s="648"/>
      <c r="D92" s="648"/>
      <c r="E92" s="648"/>
      <c r="F92" s="648"/>
      <c r="G92" s="648"/>
      <c r="H92" s="648"/>
    </row>
    <row r="93" spans="1:37">
      <c r="A93" s="648"/>
      <c r="B93" s="648"/>
      <c r="C93" s="648"/>
      <c r="D93" s="648"/>
      <c r="E93" s="648" t="s">
        <v>969</v>
      </c>
      <c r="F93" s="648" t="e">
        <f>AVERAGE(D12:J12,D13:J13)</f>
        <v>#DIV/0!</v>
      </c>
      <c r="G93" s="648"/>
      <c r="H93" s="648"/>
    </row>
    <row r="94" spans="1:37">
      <c r="A94" s="648"/>
      <c r="B94" s="648"/>
      <c r="C94" s="648"/>
      <c r="D94" s="648"/>
      <c r="E94" s="648" t="s">
        <v>970</v>
      </c>
      <c r="F94" s="648" t="e">
        <f>AVERAGE(D11:J11,D14:J14)</f>
        <v>#DIV/0!</v>
      </c>
      <c r="G94" s="648"/>
      <c r="H94" s="648"/>
    </row>
    <row r="95" spans="1:37">
      <c r="A95" s="648"/>
      <c r="B95" s="648"/>
      <c r="C95" s="648"/>
      <c r="D95" s="648"/>
      <c r="E95" s="648"/>
      <c r="F95" s="648"/>
      <c r="G95" s="648"/>
      <c r="H95" s="648"/>
    </row>
    <row r="96" spans="1:37">
      <c r="A96" s="648"/>
      <c r="B96" s="648"/>
      <c r="C96" s="648"/>
      <c r="D96" s="648"/>
      <c r="E96" s="648" t="s">
        <v>933</v>
      </c>
      <c r="F96" s="648"/>
      <c r="G96" s="688" t="e">
        <f>AVERAGE(D11:J11)</f>
        <v>#DIV/0!</v>
      </c>
      <c r="H96" s="688" t="e">
        <f>AVERAGE(D13:J13)</f>
        <v>#DIV/0!</v>
      </c>
    </row>
    <row r="97" spans="1:15">
      <c r="A97" s="648"/>
      <c r="B97" s="648"/>
      <c r="C97" s="648"/>
      <c r="D97" s="648"/>
      <c r="E97" s="648" t="s">
        <v>937</v>
      </c>
      <c r="F97" s="648"/>
      <c r="G97" s="688" t="e">
        <f>AVERAGE(D12:J12)</f>
        <v>#DIV/0!</v>
      </c>
      <c r="H97" s="688" t="e">
        <f>AVERAGE(D14:J14)</f>
        <v>#DIV/0!</v>
      </c>
    </row>
    <row r="101" spans="1:15">
      <c r="A101" s="648" t="s">
        <v>914</v>
      </c>
      <c r="B101" s="648" t="s">
        <v>908</v>
      </c>
      <c r="C101" s="648"/>
      <c r="D101" s="648" t="s">
        <v>909</v>
      </c>
      <c r="E101" s="648" t="s">
        <v>910</v>
      </c>
      <c r="F101" s="648"/>
      <c r="G101" s="648" t="s">
        <v>979</v>
      </c>
      <c r="H101" s="648" t="s">
        <v>980</v>
      </c>
      <c r="I101" s="648"/>
      <c r="J101" s="648" t="s">
        <v>982</v>
      </c>
      <c r="K101" s="648" t="s">
        <v>983</v>
      </c>
      <c r="M101" s="740"/>
      <c r="N101" s="648"/>
      <c r="O101" s="648">
        <v>1</v>
      </c>
    </row>
    <row r="102" spans="1:15">
      <c r="A102" s="648">
        <f>D11</f>
        <v>0</v>
      </c>
      <c r="B102" s="648">
        <f>F11</f>
        <v>0</v>
      </c>
      <c r="C102" s="648"/>
      <c r="D102" s="648">
        <f>D11</f>
        <v>0</v>
      </c>
      <c r="E102" s="648">
        <f>H11</f>
        <v>0</v>
      </c>
      <c r="F102" s="648"/>
      <c r="G102" s="648">
        <f>D11</f>
        <v>0</v>
      </c>
      <c r="H102" s="648">
        <f>D12</f>
        <v>0</v>
      </c>
      <c r="I102" s="648"/>
      <c r="J102" s="648">
        <f>D11</f>
        <v>0</v>
      </c>
      <c r="K102" s="648">
        <f>D13</f>
        <v>0</v>
      </c>
      <c r="M102" s="740"/>
      <c r="N102" s="648"/>
      <c r="O102" s="648">
        <v>2</v>
      </c>
    </row>
    <row r="103" spans="1:15">
      <c r="A103" s="648">
        <f>D12</f>
        <v>0</v>
      </c>
      <c r="B103" s="648">
        <f>F12</f>
        <v>0</v>
      </c>
      <c r="C103" s="648"/>
      <c r="D103" s="648">
        <f>D12</f>
        <v>0</v>
      </c>
      <c r="E103" s="648">
        <f>H12</f>
        <v>0</v>
      </c>
      <c r="F103" s="648"/>
      <c r="G103" s="648">
        <f>F11</f>
        <v>0</v>
      </c>
      <c r="H103" s="648">
        <f>F12</f>
        <v>0</v>
      </c>
      <c r="I103" s="648"/>
      <c r="J103" s="648">
        <f>D12</f>
        <v>0</v>
      </c>
      <c r="K103" s="648">
        <f>D14</f>
        <v>0</v>
      </c>
      <c r="M103" s="740"/>
      <c r="N103" s="648"/>
      <c r="O103" s="648">
        <v>3</v>
      </c>
    </row>
    <row r="104" spans="1:15">
      <c r="A104" s="648">
        <f>D13</f>
        <v>0</v>
      </c>
      <c r="B104" s="648">
        <f>F13</f>
        <v>0</v>
      </c>
      <c r="C104" s="648"/>
      <c r="D104" s="648">
        <f>D13</f>
        <v>0</v>
      </c>
      <c r="E104" s="648">
        <f>H13</f>
        <v>0</v>
      </c>
      <c r="F104" s="648"/>
      <c r="G104" s="648">
        <f>H11</f>
        <v>0</v>
      </c>
      <c r="H104" s="648">
        <f>H12</f>
        <v>0</v>
      </c>
      <c r="I104" s="648"/>
      <c r="J104" s="648">
        <f>F11</f>
        <v>0</v>
      </c>
      <c r="K104" s="648">
        <f>F13</f>
        <v>0</v>
      </c>
      <c r="M104" s="740"/>
      <c r="N104" s="648"/>
      <c r="O104" s="648">
        <v>4</v>
      </c>
    </row>
    <row r="105" spans="1:15">
      <c r="A105" s="648">
        <f>D14</f>
        <v>0</v>
      </c>
      <c r="B105" s="648">
        <f>F14</f>
        <v>0</v>
      </c>
      <c r="C105" s="648"/>
      <c r="D105" s="648">
        <f>D14</f>
        <v>0</v>
      </c>
      <c r="E105" s="648">
        <f>H14</f>
        <v>0</v>
      </c>
      <c r="F105" s="648"/>
      <c r="G105" s="648">
        <f>J11</f>
        <v>0</v>
      </c>
      <c r="H105" s="648">
        <f>J12</f>
        <v>0</v>
      </c>
      <c r="I105" s="648"/>
      <c r="J105" s="648">
        <f>F12</f>
        <v>0</v>
      </c>
      <c r="K105" s="648">
        <f>F14</f>
        <v>0</v>
      </c>
      <c r="M105" s="740"/>
      <c r="N105" s="648"/>
      <c r="O105" s="648">
        <v>5</v>
      </c>
    </row>
    <row r="106" spans="1:15">
      <c r="A106" s="648">
        <f>H11</f>
        <v>0</v>
      </c>
      <c r="B106" s="648">
        <f>J11</f>
        <v>0</v>
      </c>
      <c r="C106" s="648"/>
      <c r="D106" s="648">
        <f>F11</f>
        <v>0</v>
      </c>
      <c r="E106" s="648">
        <f>J11</f>
        <v>0</v>
      </c>
      <c r="F106" s="648"/>
      <c r="G106" s="648">
        <f>D13</f>
        <v>0</v>
      </c>
      <c r="H106" s="648">
        <f>D14</f>
        <v>0</v>
      </c>
      <c r="I106" s="648"/>
      <c r="J106" s="648">
        <f>H11</f>
        <v>0</v>
      </c>
      <c r="K106" s="648">
        <f>H13</f>
        <v>0</v>
      </c>
      <c r="M106" s="740"/>
      <c r="N106" s="648"/>
      <c r="O106" s="648">
        <v>6</v>
      </c>
    </row>
    <row r="107" spans="1:15">
      <c r="A107" s="648">
        <f>H12</f>
        <v>0</v>
      </c>
      <c r="B107" s="648">
        <f>J12</f>
        <v>0</v>
      </c>
      <c r="C107" s="648"/>
      <c r="D107" s="648">
        <f>F12</f>
        <v>0</v>
      </c>
      <c r="E107" s="648">
        <f>J12</f>
        <v>0</v>
      </c>
      <c r="F107" s="648"/>
      <c r="G107" s="648">
        <f>F13</f>
        <v>0</v>
      </c>
      <c r="H107" s="648">
        <f>F14</f>
        <v>0</v>
      </c>
      <c r="I107" s="648"/>
      <c r="J107" s="648">
        <f>H12</f>
        <v>0</v>
      </c>
      <c r="K107" s="648">
        <f>H14</f>
        <v>0</v>
      </c>
      <c r="M107" s="740"/>
      <c r="N107" s="648"/>
      <c r="O107" s="648">
        <v>7</v>
      </c>
    </row>
    <row r="108" spans="1:15">
      <c r="A108" s="648">
        <f>H13</f>
        <v>0</v>
      </c>
      <c r="B108" s="648">
        <f>J13</f>
        <v>0</v>
      </c>
      <c r="C108" s="648"/>
      <c r="D108" s="648">
        <f>F13</f>
        <v>0</v>
      </c>
      <c r="E108" s="648">
        <f>J13</f>
        <v>0</v>
      </c>
      <c r="F108" s="648"/>
      <c r="G108" s="648">
        <f>H13</f>
        <v>0</v>
      </c>
      <c r="H108" s="648">
        <f>H14</f>
        <v>0</v>
      </c>
      <c r="I108" s="648"/>
      <c r="J108" s="648">
        <f>J11</f>
        <v>0</v>
      </c>
      <c r="K108" s="648">
        <f>J13</f>
        <v>0</v>
      </c>
      <c r="M108" s="740"/>
      <c r="N108" s="648"/>
      <c r="O108" s="648">
        <v>8</v>
      </c>
    </row>
    <row r="109" spans="1:15">
      <c r="A109" s="648">
        <f>H14</f>
        <v>0</v>
      </c>
      <c r="B109" s="648">
        <f>J14</f>
        <v>0</v>
      </c>
      <c r="C109" s="648"/>
      <c r="D109" s="648">
        <f>F14</f>
        <v>0</v>
      </c>
      <c r="E109" s="648">
        <f>J14</f>
        <v>0</v>
      </c>
      <c r="F109" s="648"/>
      <c r="G109" s="648">
        <f>J13</f>
        <v>0</v>
      </c>
      <c r="H109" s="648">
        <f>J14</f>
        <v>0</v>
      </c>
      <c r="I109" s="648"/>
      <c r="J109" s="648">
        <f>J12</f>
        <v>0</v>
      </c>
      <c r="K109" s="648">
        <f>J14</f>
        <v>0</v>
      </c>
      <c r="M109" s="740"/>
      <c r="N109" s="648"/>
      <c r="O109" s="648">
        <v>9</v>
      </c>
    </row>
    <row r="110" spans="1:15">
      <c r="A110" s="648">
        <f>AVERAGE(A102:A109)</f>
        <v>0</v>
      </c>
      <c r="B110" s="648">
        <f>AVERAGE(B102:B109)</f>
        <v>0</v>
      </c>
      <c r="C110" s="648"/>
      <c r="D110" s="648">
        <f>AVERAGE(D102:D109)</f>
        <v>0</v>
      </c>
      <c r="E110" s="648">
        <f>AVERAGE(E102:E109)</f>
        <v>0</v>
      </c>
      <c r="F110" s="648"/>
      <c r="G110" s="648">
        <f>AVERAGE(G102:G109)</f>
        <v>0</v>
      </c>
      <c r="H110" s="648">
        <f>AVERAGE(H102:H109)</f>
        <v>0</v>
      </c>
      <c r="I110" s="648"/>
      <c r="J110" s="648">
        <f>AVERAGE(J102:J109)</f>
        <v>0</v>
      </c>
      <c r="K110" s="648">
        <f>AVERAGE(K102:K109)</f>
        <v>0</v>
      </c>
      <c r="M110" s="740"/>
      <c r="N110" s="648"/>
      <c r="O110" s="648">
        <v>10</v>
      </c>
    </row>
    <row r="111" spans="1:15">
      <c r="A111" s="648"/>
      <c r="B111" s="648"/>
      <c r="C111" s="648"/>
      <c r="D111" s="648"/>
      <c r="E111" s="648"/>
      <c r="F111" s="648"/>
      <c r="G111" s="648"/>
      <c r="H111" s="648"/>
      <c r="I111" s="648"/>
      <c r="J111" s="648"/>
      <c r="K111" s="648"/>
      <c r="M111" s="740"/>
      <c r="N111" s="648"/>
      <c r="O111" s="648">
        <v>11</v>
      </c>
    </row>
    <row r="112" spans="1:15">
      <c r="A112" s="648"/>
      <c r="B112" s="648"/>
      <c r="C112" s="648"/>
      <c r="D112" s="648"/>
      <c r="E112" s="648"/>
      <c r="F112" s="648"/>
      <c r="G112" s="648"/>
      <c r="H112" s="648"/>
      <c r="I112" s="648"/>
      <c r="J112" s="648"/>
      <c r="K112" s="648"/>
      <c r="M112" s="740"/>
      <c r="N112" s="648"/>
      <c r="O112" s="648">
        <v>12</v>
      </c>
    </row>
    <row r="113" spans="1:15">
      <c r="A113" s="707"/>
      <c r="B113" s="741" t="s">
        <v>914</v>
      </c>
      <c r="C113" s="707" t="s">
        <v>908</v>
      </c>
      <c r="D113" s="648"/>
      <c r="E113" s="707"/>
      <c r="F113" s="741" t="s">
        <v>914</v>
      </c>
      <c r="G113" s="707" t="s">
        <v>908</v>
      </c>
      <c r="H113" s="648"/>
      <c r="I113" s="707"/>
      <c r="J113" s="741" t="s">
        <v>914</v>
      </c>
      <c r="K113" s="707" t="s">
        <v>908</v>
      </c>
      <c r="M113" s="740"/>
      <c r="N113" s="648"/>
      <c r="O113" s="648">
        <v>13</v>
      </c>
    </row>
    <row r="114" spans="1:15">
      <c r="A114" s="648" t="s">
        <v>909</v>
      </c>
      <c r="B114" s="742">
        <f>D11</f>
        <v>0</v>
      </c>
      <c r="C114" s="648">
        <f>F11</f>
        <v>0</v>
      </c>
      <c r="D114" s="648"/>
      <c r="E114" s="648" t="s">
        <v>979</v>
      </c>
      <c r="F114" s="742">
        <f>D11</f>
        <v>0</v>
      </c>
      <c r="G114" s="648">
        <f>F11</f>
        <v>0</v>
      </c>
      <c r="H114" s="648"/>
      <c r="I114" s="648" t="s">
        <v>982</v>
      </c>
      <c r="J114" s="742">
        <f>D11</f>
        <v>0</v>
      </c>
      <c r="K114" s="648">
        <f>F11</f>
        <v>0</v>
      </c>
      <c r="M114" s="740"/>
      <c r="N114" s="648"/>
      <c r="O114" s="648">
        <v>14</v>
      </c>
    </row>
    <row r="115" spans="1:15">
      <c r="A115" s="648">
        <v>1</v>
      </c>
      <c r="B115" s="742">
        <f>D12</f>
        <v>0</v>
      </c>
      <c r="C115" s="648">
        <f>F12</f>
        <v>0</v>
      </c>
      <c r="D115" s="648"/>
      <c r="E115" s="648">
        <v>1</v>
      </c>
      <c r="F115" s="742">
        <f>D13</f>
        <v>0</v>
      </c>
      <c r="G115" s="648">
        <f>F13</f>
        <v>0</v>
      </c>
      <c r="H115" s="648"/>
      <c r="I115" s="648">
        <v>1</v>
      </c>
      <c r="J115" s="742">
        <f>D12</f>
        <v>0</v>
      </c>
      <c r="K115" s="648">
        <f>F12</f>
        <v>0</v>
      </c>
      <c r="M115" s="740"/>
      <c r="N115" s="648"/>
      <c r="O115" s="648">
        <v>15</v>
      </c>
    </row>
    <row r="116" spans="1:15">
      <c r="A116" s="648">
        <v>2</v>
      </c>
      <c r="B116" s="742">
        <f>D13</f>
        <v>0</v>
      </c>
      <c r="C116" s="648">
        <f>F13</f>
        <v>0</v>
      </c>
      <c r="D116" s="648"/>
      <c r="E116" s="648">
        <v>2</v>
      </c>
      <c r="F116" s="742">
        <f>H11</f>
        <v>0</v>
      </c>
      <c r="G116" s="648">
        <f>J11</f>
        <v>0</v>
      </c>
      <c r="H116" s="648"/>
      <c r="I116" s="648">
        <v>2</v>
      </c>
      <c r="J116" s="742">
        <f>H11</f>
        <v>0</v>
      </c>
      <c r="K116" s="648">
        <f>J11</f>
        <v>0</v>
      </c>
    </row>
    <row r="117" spans="1:15">
      <c r="A117" s="707">
        <v>3</v>
      </c>
      <c r="B117" s="741">
        <f>D14</f>
        <v>0</v>
      </c>
      <c r="C117" s="707">
        <f>F14</f>
        <v>0</v>
      </c>
      <c r="D117" s="648"/>
      <c r="E117" s="707">
        <v>3</v>
      </c>
      <c r="F117" s="741">
        <f>H13</f>
        <v>0</v>
      </c>
      <c r="G117" s="707">
        <f>J13</f>
        <v>0</v>
      </c>
      <c r="H117" s="648"/>
      <c r="I117" s="707">
        <v>3</v>
      </c>
      <c r="J117" s="741">
        <f>H12</f>
        <v>0</v>
      </c>
      <c r="K117" s="707">
        <f>J12</f>
        <v>0</v>
      </c>
    </row>
    <row r="118" spans="1:15">
      <c r="A118" s="648" t="s">
        <v>910</v>
      </c>
      <c r="B118" s="742">
        <f>H11</f>
        <v>0</v>
      </c>
      <c r="C118" s="648">
        <f>J11</f>
        <v>0</v>
      </c>
      <c r="D118" s="648"/>
      <c r="E118" s="648" t="s">
        <v>980</v>
      </c>
      <c r="F118" s="742">
        <f>D12</f>
        <v>0</v>
      </c>
      <c r="G118" s="648">
        <f>F12</f>
        <v>0</v>
      </c>
      <c r="H118" s="648"/>
      <c r="I118" s="648" t="s">
        <v>983</v>
      </c>
      <c r="J118" s="742">
        <f>D13</f>
        <v>0</v>
      </c>
      <c r="K118" s="648">
        <f>F13</f>
        <v>0</v>
      </c>
    </row>
    <row r="119" spans="1:15">
      <c r="A119" s="648">
        <v>4</v>
      </c>
      <c r="B119" s="742">
        <f>H12</f>
        <v>0</v>
      </c>
      <c r="C119" s="648">
        <f>J12</f>
        <v>0</v>
      </c>
      <c r="D119" s="648"/>
      <c r="E119" s="648">
        <v>1</v>
      </c>
      <c r="F119" s="742">
        <f>D14</f>
        <v>0</v>
      </c>
      <c r="G119" s="648">
        <f>F14</f>
        <v>0</v>
      </c>
      <c r="H119" s="648"/>
      <c r="I119" s="648">
        <v>4</v>
      </c>
      <c r="J119" s="742">
        <f>D14</f>
        <v>0</v>
      </c>
      <c r="K119" s="648">
        <f>F14</f>
        <v>0</v>
      </c>
    </row>
    <row r="120" spans="1:15">
      <c r="A120" s="648">
        <v>5</v>
      </c>
      <c r="B120" s="742">
        <f>H13</f>
        <v>0</v>
      </c>
      <c r="C120" s="648">
        <f>J13</f>
        <v>0</v>
      </c>
      <c r="D120" s="648"/>
      <c r="E120" s="648">
        <v>2</v>
      </c>
      <c r="F120" s="742">
        <f>H12</f>
        <v>0</v>
      </c>
      <c r="G120" s="648">
        <f>J12</f>
        <v>0</v>
      </c>
      <c r="H120" s="648"/>
      <c r="I120" s="648">
        <v>5</v>
      </c>
      <c r="J120" s="742">
        <f>H13</f>
        <v>0</v>
      </c>
      <c r="K120" s="648">
        <f>J13</f>
        <v>0</v>
      </c>
    </row>
    <row r="121" spans="1:15">
      <c r="A121" s="707">
        <v>6</v>
      </c>
      <c r="B121" s="741">
        <f>H14</f>
        <v>0</v>
      </c>
      <c r="C121" s="707">
        <f>J14</f>
        <v>0</v>
      </c>
      <c r="D121" s="648"/>
      <c r="E121" s="707">
        <v>3</v>
      </c>
      <c r="F121" s="741">
        <f>H14</f>
        <v>0</v>
      </c>
      <c r="G121" s="707">
        <f>J14</f>
        <v>0</v>
      </c>
      <c r="H121" s="648"/>
      <c r="I121" s="707">
        <v>6</v>
      </c>
      <c r="J121" s="741">
        <f>H14</f>
        <v>0</v>
      </c>
      <c r="K121" s="707">
        <f>J14</f>
        <v>0</v>
      </c>
    </row>
    <row r="122" spans="1:15">
      <c r="A122" s="648"/>
      <c r="B122" s="648"/>
      <c r="C122" s="648"/>
      <c r="D122" s="648"/>
      <c r="E122" s="648"/>
      <c r="F122" s="648"/>
      <c r="G122" s="648"/>
      <c r="H122" s="648"/>
      <c r="I122" s="648"/>
      <c r="J122" s="648"/>
      <c r="K122" s="648"/>
    </row>
    <row r="123" spans="1:15">
      <c r="A123" s="648" t="s">
        <v>909</v>
      </c>
      <c r="B123" s="648">
        <f>AVERAGE(B114:B117)</f>
        <v>0</v>
      </c>
      <c r="C123" s="648">
        <f>AVERAGE(C114:C117)</f>
        <v>0</v>
      </c>
      <c r="D123" s="648"/>
      <c r="E123" s="648" t="s">
        <v>979</v>
      </c>
      <c r="F123" s="648">
        <f>AVERAGE(F114:F117)</f>
        <v>0</v>
      </c>
      <c r="G123" s="648">
        <f>AVERAGE(G114:G117)</f>
        <v>0</v>
      </c>
      <c r="H123" s="648"/>
      <c r="I123" s="648" t="s">
        <v>982</v>
      </c>
      <c r="J123" s="648">
        <f>AVERAGE(J114:J117)</f>
        <v>0</v>
      </c>
      <c r="K123" s="648">
        <f>AVERAGE(K114:K117)</f>
        <v>0</v>
      </c>
    </row>
    <row r="124" spans="1:15">
      <c r="A124" s="648" t="s">
        <v>910</v>
      </c>
      <c r="B124" s="648">
        <f>AVERAGE(B118:B121)</f>
        <v>0</v>
      </c>
      <c r="C124" s="648">
        <f>AVERAGE(C118:C121)</f>
        <v>0</v>
      </c>
      <c r="D124" s="648"/>
      <c r="E124" s="648" t="s">
        <v>980</v>
      </c>
      <c r="F124" s="648">
        <f>AVERAGE(F118:F121)</f>
        <v>0</v>
      </c>
      <c r="G124" s="648">
        <f>AVERAGE(G118:G121)</f>
        <v>0</v>
      </c>
      <c r="H124" s="648"/>
      <c r="I124" s="648" t="s">
        <v>983</v>
      </c>
      <c r="J124" s="648">
        <f>AVERAGE(J118:J121)</f>
        <v>0</v>
      </c>
      <c r="K124" s="648">
        <f>AVERAGE(K118:K121)</f>
        <v>0</v>
      </c>
    </row>
    <row r="125" spans="1:15">
      <c r="A125" s="648"/>
      <c r="B125" s="648"/>
      <c r="C125" s="648"/>
      <c r="D125" s="648"/>
      <c r="E125" s="648"/>
      <c r="F125" s="648"/>
      <c r="G125" s="648"/>
      <c r="H125" s="648"/>
      <c r="I125" s="648"/>
      <c r="J125" s="648"/>
      <c r="K125" s="648"/>
    </row>
    <row r="126" spans="1:15">
      <c r="A126" s="648"/>
      <c r="B126" s="648"/>
      <c r="C126" s="648"/>
      <c r="D126" s="648"/>
      <c r="E126" s="648"/>
      <c r="F126" s="648"/>
      <c r="G126" s="648"/>
      <c r="H126" s="648"/>
      <c r="I126" s="648"/>
      <c r="J126" s="648"/>
      <c r="K126" s="648"/>
    </row>
    <row r="127" spans="1:15">
      <c r="A127" s="707"/>
      <c r="B127" s="741" t="s">
        <v>909</v>
      </c>
      <c r="C127" s="707" t="s">
        <v>910</v>
      </c>
      <c r="D127" s="648"/>
      <c r="E127" s="707"/>
      <c r="F127" s="741" t="s">
        <v>909</v>
      </c>
      <c r="G127" s="707" t="s">
        <v>910</v>
      </c>
      <c r="H127" s="648"/>
      <c r="I127" s="707"/>
      <c r="J127" s="741" t="s">
        <v>979</v>
      </c>
      <c r="K127" s="707" t="s">
        <v>980</v>
      </c>
    </row>
    <row r="128" spans="1:15">
      <c r="A128" s="648" t="s">
        <v>979</v>
      </c>
      <c r="B128" s="742">
        <f>D11</f>
        <v>0</v>
      </c>
      <c r="C128" s="648">
        <f>H11</f>
        <v>0</v>
      </c>
      <c r="D128" s="648"/>
      <c r="E128" s="648" t="s">
        <v>982</v>
      </c>
      <c r="F128" s="742">
        <f>D11</f>
        <v>0</v>
      </c>
      <c r="G128" s="648">
        <f>H11</f>
        <v>0</v>
      </c>
      <c r="H128" s="648"/>
      <c r="I128" s="648" t="s">
        <v>982</v>
      </c>
      <c r="J128" s="742">
        <f>D11</f>
        <v>0</v>
      </c>
      <c r="K128" s="648">
        <f>D12</f>
        <v>0</v>
      </c>
    </row>
    <row r="129" spans="1:11">
      <c r="A129" s="648">
        <v>1</v>
      </c>
      <c r="B129" s="742">
        <f>D13</f>
        <v>0</v>
      </c>
      <c r="C129" s="648">
        <f>H13</f>
        <v>0</v>
      </c>
      <c r="D129" s="648"/>
      <c r="E129" s="648">
        <v>1</v>
      </c>
      <c r="F129" s="742">
        <f>D12</f>
        <v>0</v>
      </c>
      <c r="G129" s="648">
        <f>H12</f>
        <v>0</v>
      </c>
      <c r="H129" s="648"/>
      <c r="I129" s="648">
        <v>1</v>
      </c>
      <c r="J129" s="742">
        <f>F11</f>
        <v>0</v>
      </c>
      <c r="K129" s="648">
        <f>F12</f>
        <v>0</v>
      </c>
    </row>
    <row r="130" spans="1:11">
      <c r="A130" s="648">
        <v>2</v>
      </c>
      <c r="B130" s="742">
        <f>F11</f>
        <v>0</v>
      </c>
      <c r="C130" s="648">
        <f>J11</f>
        <v>0</v>
      </c>
      <c r="D130" s="648"/>
      <c r="E130" s="648">
        <v>2</v>
      </c>
      <c r="F130" s="742">
        <f>F11</f>
        <v>0</v>
      </c>
      <c r="G130" s="648">
        <f>J11</f>
        <v>0</v>
      </c>
      <c r="H130" s="648"/>
      <c r="I130" s="648">
        <v>2</v>
      </c>
      <c r="J130" s="742">
        <f>H11</f>
        <v>0</v>
      </c>
      <c r="K130" s="648">
        <f>H12</f>
        <v>0</v>
      </c>
    </row>
    <row r="131" spans="1:11">
      <c r="A131" s="707">
        <v>3</v>
      </c>
      <c r="B131" s="741">
        <f>F13</f>
        <v>0</v>
      </c>
      <c r="C131" s="707">
        <f>J13</f>
        <v>0</v>
      </c>
      <c r="D131" s="648"/>
      <c r="E131" s="707">
        <v>3</v>
      </c>
      <c r="F131" s="741">
        <f>F12</f>
        <v>0</v>
      </c>
      <c r="G131" s="707">
        <f>J12</f>
        <v>0</v>
      </c>
      <c r="H131" s="648"/>
      <c r="I131" s="707">
        <v>3</v>
      </c>
      <c r="J131" s="741">
        <f>J11</f>
        <v>0</v>
      </c>
      <c r="K131" s="707">
        <f>J12</f>
        <v>0</v>
      </c>
    </row>
    <row r="132" spans="1:11">
      <c r="A132" s="648" t="s">
        <v>980</v>
      </c>
      <c r="B132" s="742">
        <f>D12</f>
        <v>0</v>
      </c>
      <c r="C132" s="648">
        <f>H12</f>
        <v>0</v>
      </c>
      <c r="D132" s="648"/>
      <c r="E132" s="648" t="s">
        <v>983</v>
      </c>
      <c r="F132" s="742">
        <f>D13</f>
        <v>0</v>
      </c>
      <c r="G132" s="648">
        <f>H13</f>
        <v>0</v>
      </c>
      <c r="H132" s="648"/>
      <c r="I132" s="648" t="s">
        <v>983</v>
      </c>
      <c r="J132" s="742">
        <f>D13</f>
        <v>0</v>
      </c>
      <c r="K132" s="648">
        <f>D14</f>
        <v>0</v>
      </c>
    </row>
    <row r="133" spans="1:11">
      <c r="A133" s="648">
        <v>1</v>
      </c>
      <c r="B133" s="742">
        <f>D14</f>
        <v>0</v>
      </c>
      <c r="C133" s="648">
        <f>H14</f>
        <v>0</v>
      </c>
      <c r="D133" s="648"/>
      <c r="E133" s="648">
        <v>4</v>
      </c>
      <c r="F133" s="742">
        <f>D14</f>
        <v>0</v>
      </c>
      <c r="G133" s="648">
        <f>H14</f>
        <v>0</v>
      </c>
      <c r="H133" s="648"/>
      <c r="I133" s="648">
        <v>4</v>
      </c>
      <c r="J133" s="742">
        <f>F13</f>
        <v>0</v>
      </c>
      <c r="K133" s="648">
        <f>F14</f>
        <v>0</v>
      </c>
    </row>
    <row r="134" spans="1:11">
      <c r="A134" s="648">
        <v>2</v>
      </c>
      <c r="B134" s="742">
        <f>F12</f>
        <v>0</v>
      </c>
      <c r="C134" s="648">
        <f>J12</f>
        <v>0</v>
      </c>
      <c r="D134" s="648"/>
      <c r="E134" s="648">
        <v>5</v>
      </c>
      <c r="F134" s="742">
        <f>F13</f>
        <v>0</v>
      </c>
      <c r="G134" s="648">
        <f>J13</f>
        <v>0</v>
      </c>
      <c r="H134" s="648"/>
      <c r="I134" s="648">
        <v>5</v>
      </c>
      <c r="J134" s="742">
        <f>H13</f>
        <v>0</v>
      </c>
      <c r="K134" s="648">
        <f>H14</f>
        <v>0</v>
      </c>
    </row>
    <row r="135" spans="1:11">
      <c r="A135" s="707">
        <v>3</v>
      </c>
      <c r="B135" s="741">
        <f>F14</f>
        <v>0</v>
      </c>
      <c r="C135" s="707">
        <f>J14</f>
        <v>0</v>
      </c>
      <c r="D135" s="648"/>
      <c r="E135" s="707">
        <v>6</v>
      </c>
      <c r="F135" s="741">
        <f>F14</f>
        <v>0</v>
      </c>
      <c r="G135" s="707">
        <f>J14</f>
        <v>0</v>
      </c>
      <c r="H135" s="648"/>
      <c r="I135" s="707">
        <v>6</v>
      </c>
      <c r="J135" s="741">
        <f>J13</f>
        <v>0</v>
      </c>
      <c r="K135" s="707">
        <f>J14</f>
        <v>0</v>
      </c>
    </row>
    <row r="136" spans="1:11">
      <c r="A136" s="648"/>
      <c r="B136" s="648"/>
      <c r="C136" s="648"/>
      <c r="D136" s="648"/>
      <c r="E136" s="648"/>
      <c r="F136" s="648"/>
      <c r="G136" s="648"/>
      <c r="H136" s="648"/>
      <c r="I136" s="648"/>
      <c r="J136" s="648"/>
      <c r="K136" s="648"/>
    </row>
    <row r="137" spans="1:11">
      <c r="A137" s="648" t="s">
        <v>979</v>
      </c>
      <c r="B137" s="648">
        <f>AVERAGE(B128:B131)</f>
        <v>0</v>
      </c>
      <c r="C137" s="648">
        <f>AVERAGE(C128:C131)</f>
        <v>0</v>
      </c>
      <c r="D137" s="648"/>
      <c r="E137" s="648" t="s">
        <v>982</v>
      </c>
      <c r="F137" s="648">
        <f>AVERAGE(F128:F131)</f>
        <v>0</v>
      </c>
      <c r="G137" s="648">
        <f>AVERAGE(G128:G131)</f>
        <v>0</v>
      </c>
      <c r="H137" s="648"/>
      <c r="I137" s="648" t="s">
        <v>982</v>
      </c>
      <c r="J137" s="648">
        <f>AVERAGE(J128:J131)</f>
        <v>0</v>
      </c>
      <c r="K137" s="648">
        <f>AVERAGE(K128:K131)</f>
        <v>0</v>
      </c>
    </row>
    <row r="138" spans="1:11">
      <c r="A138" s="648" t="s">
        <v>980</v>
      </c>
      <c r="B138" s="648">
        <f>AVERAGE(B132:B135)</f>
        <v>0</v>
      </c>
      <c r="C138" s="648">
        <f>AVERAGE(C132:C135)</f>
        <v>0</v>
      </c>
      <c r="D138" s="648"/>
      <c r="E138" s="648" t="s">
        <v>983</v>
      </c>
      <c r="F138" s="648">
        <f>AVERAGE(F132:F135)</f>
        <v>0</v>
      </c>
      <c r="G138" s="648">
        <f>AVERAGE(G132:G135)</f>
        <v>0</v>
      </c>
      <c r="H138" s="648"/>
      <c r="I138" s="648" t="s">
        <v>983</v>
      </c>
      <c r="J138" s="648">
        <f>AVERAGE(J132:J135)</f>
        <v>0</v>
      </c>
      <c r="K138" s="648">
        <f>AVERAGE(K132:K135)</f>
        <v>0</v>
      </c>
    </row>
  </sheetData>
  <sheetProtection password="CC08" sheet="1" scenarios="1"/>
  <protectedRanges>
    <protectedRange sqref="C1:I6 D11:D14 F11:F14 H11:H14 J11:J14" name="Range1"/>
  </protectedRanges>
  <sortState ref="AH55:AK70">
    <sortCondition ref="AK55"/>
  </sortState>
  <mergeCells count="17">
    <mergeCell ref="N4:AB4"/>
    <mergeCell ref="BL1:BS1"/>
    <mergeCell ref="BL2:BS2"/>
    <mergeCell ref="BB4:BH4"/>
    <mergeCell ref="A17:J17"/>
    <mergeCell ref="A18:J18"/>
    <mergeCell ref="N5:AB5"/>
    <mergeCell ref="AT16:AW16"/>
    <mergeCell ref="A11:A12"/>
    <mergeCell ref="A13:A14"/>
    <mergeCell ref="A8:J8"/>
    <mergeCell ref="BV1:CC1"/>
    <mergeCell ref="BV2:CC2"/>
    <mergeCell ref="CF1:CM1"/>
    <mergeCell ref="CF2:CM2"/>
    <mergeCell ref="AR1:AY1"/>
    <mergeCell ref="BB1:BI1"/>
  </mergeCells>
  <phoneticPr fontId="100" type="noConversion"/>
  <conditionalFormatting sqref="BH5:BH19">
    <cfRule type="cellIs" dxfId="18" priority="1" stopIfTrue="1" operator="greaterThanOrEqual">
      <formula>$BH$21</formula>
    </cfRule>
  </conditionalFormatting>
  <conditionalFormatting sqref="BC5:BD19">
    <cfRule type="expression" dxfId="17" priority="2" stopIfTrue="1">
      <formula>$BH5&gt;=$BH$21</formula>
    </cfRule>
  </conditionalFormatting>
  <printOptions horizontalCentered="1" verticalCentered="1"/>
  <pageMargins left="0.75" right="0.75" top="1" bottom="1" header="0.5" footer="0.5"/>
  <pageSetup orientation="portrait" r:id="rId1"/>
  <headerFooter alignWithMargins="0">
    <oddHeader>&amp;C&amp;"Times New Roman,Bold"&amp;12 2&amp;X4&amp;X Full Factorial DOE</oddHeader>
    <oddFooter>&amp;L&amp;F&amp;CPage &amp;P of &amp;N&amp;R&amp;D</oddFooter>
  </headerFooter>
  <drawing r:id="rId2"/>
  <legacyDrawing r:id="rId3"/>
  <oleObjects>
    <oleObject progId="Equation.3" shapeId="52242" r:id="rId4"/>
  </oleObjects>
  <controls>
    <control shapeId="52243" r:id="rId5" name="MainMenu"/>
  </controls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4"/>
  <dimension ref="A1:AF568"/>
  <sheetViews>
    <sheetView showGridLines="0" zoomScale="70" workbookViewId="0">
      <selection activeCell="P8" sqref="P8"/>
    </sheetView>
  </sheetViews>
  <sheetFormatPr defaultRowHeight="12.75"/>
  <cols>
    <col min="1" max="1" width="16.140625" style="43" customWidth="1"/>
    <col min="2" max="13" width="9.140625" style="43"/>
    <col min="14" max="14" width="10.5703125" style="43" bestFit="1" customWidth="1"/>
    <col min="15" max="15" width="20.140625" style="43" customWidth="1"/>
    <col min="16" max="16" width="10.7109375" style="43" bestFit="1" customWidth="1"/>
    <col min="17" max="17" width="10.7109375" style="43" customWidth="1"/>
    <col min="18" max="18" width="9.42578125" style="43" customWidth="1"/>
    <col min="19" max="25" width="9.140625" style="43"/>
    <col min="26" max="26" width="6.5703125" style="43" customWidth="1"/>
    <col min="27" max="32" width="6.28515625" style="43" customWidth="1"/>
    <col min="33" max="16384" width="9.140625" style="43"/>
  </cols>
  <sheetData>
    <row r="1" spans="1:32">
      <c r="A1" s="539" t="s">
        <v>1002</v>
      </c>
      <c r="B1" s="743"/>
      <c r="C1" s="455"/>
      <c r="E1" s="70" t="s">
        <v>1003</v>
      </c>
      <c r="F1" s="1552"/>
      <c r="G1" s="1553"/>
      <c r="H1" s="1554"/>
      <c r="I1" s="744"/>
      <c r="J1" s="745" t="s">
        <v>154</v>
      </c>
      <c r="K1" s="493"/>
      <c r="Q1" s="354"/>
      <c r="R1" s="1518" t="str">
        <f>F1&amp;" "&amp;F2</f>
        <v xml:space="preserve"> </v>
      </c>
      <c r="S1" s="1518"/>
      <c r="T1" s="1518"/>
      <c r="U1" s="1518"/>
      <c r="V1" s="1518"/>
      <c r="W1" s="1518"/>
      <c r="X1" s="1518"/>
      <c r="Y1" s="1518"/>
      <c r="Z1" s="98"/>
    </row>
    <row r="2" spans="1:32">
      <c r="A2" s="539" t="s">
        <v>1004</v>
      </c>
      <c r="B2" s="743"/>
      <c r="C2" s="455"/>
      <c r="E2" s="70" t="s">
        <v>428</v>
      </c>
      <c r="F2" s="1552"/>
      <c r="G2" s="1553"/>
      <c r="H2" s="1554"/>
      <c r="I2" s="744"/>
      <c r="J2" s="746" t="s">
        <v>1005</v>
      </c>
      <c r="K2" s="310" t="e">
        <f>AVERAGE(LSL,USL)</f>
        <v>#DIV/0!</v>
      </c>
      <c r="Q2" s="354"/>
      <c r="R2" s="1556">
        <f>F3</f>
        <v>0</v>
      </c>
      <c r="S2" s="1556"/>
      <c r="T2" s="1556"/>
      <c r="U2" s="1556"/>
      <c r="V2" s="1556"/>
      <c r="W2" s="1556"/>
      <c r="X2" s="1556"/>
      <c r="Y2" s="1556"/>
      <c r="Z2" s="224"/>
    </row>
    <row r="3" spans="1:32">
      <c r="A3" s="539"/>
      <c r="B3" s="743"/>
      <c r="C3" s="455"/>
      <c r="E3" s="70" t="s">
        <v>1006</v>
      </c>
      <c r="F3" s="747"/>
      <c r="G3" s="748"/>
      <c r="H3" s="749"/>
      <c r="I3" s="744"/>
      <c r="J3" s="746" t="s">
        <v>155</v>
      </c>
      <c r="K3" s="493"/>
      <c r="Q3" s="354"/>
      <c r="R3" s="1550" t="str">
        <f>F4&amp;";  Dr = "&amp;F5</f>
        <v xml:space="preserve">;  Dr = </v>
      </c>
      <c r="S3" s="1550"/>
      <c r="T3" s="1550"/>
      <c r="U3" s="1550"/>
      <c r="V3" s="1550"/>
      <c r="W3" s="1550"/>
      <c r="X3" s="1550"/>
      <c r="Y3" s="1550"/>
      <c r="Z3" s="44"/>
    </row>
    <row r="4" spans="1:32">
      <c r="A4" s="539"/>
      <c r="B4" s="743"/>
      <c r="C4" s="455"/>
      <c r="E4" s="70" t="s">
        <v>1007</v>
      </c>
      <c r="F4" s="1552"/>
      <c r="G4" s="1553"/>
      <c r="H4" s="1554"/>
      <c r="R4" s="1550" t="e">
        <f>"Nominal:  "&amp;K2</f>
        <v>#DIV/0!</v>
      </c>
      <c r="S4" s="1550"/>
      <c r="T4" s="1550"/>
      <c r="U4" s="1550"/>
      <c r="V4" s="1550"/>
      <c r="W4" s="1550"/>
      <c r="X4" s="1550"/>
      <c r="Y4" s="1550"/>
      <c r="Z4" s="44"/>
      <c r="AA4" s="44"/>
      <c r="AB4" s="44"/>
    </row>
    <row r="5" spans="1:32" ht="14.25">
      <c r="E5" s="746" t="s">
        <v>1055</v>
      </c>
      <c r="F5" s="750"/>
      <c r="G5" s="751"/>
      <c r="H5" s="752"/>
      <c r="R5" s="1550" t="str">
        <f>"LSL:  "&amp;K1&amp;"    USL:  "&amp;K3</f>
        <v xml:space="preserve">LSL:      USL:  </v>
      </c>
      <c r="S5" s="1550"/>
      <c r="T5" s="1550"/>
      <c r="U5" s="1550"/>
      <c r="V5" s="1550"/>
      <c r="W5" s="1550"/>
      <c r="X5" s="1550"/>
      <c r="Y5" s="1550"/>
      <c r="Z5" s="44"/>
    </row>
    <row r="6" spans="1:32">
      <c r="R6" s="1551"/>
      <c r="S6" s="1551"/>
      <c r="T6" s="1551"/>
      <c r="U6" s="1551"/>
      <c r="V6" s="1551"/>
      <c r="W6" s="1551"/>
      <c r="X6" s="1551"/>
      <c r="Y6" s="1551"/>
    </row>
    <row r="7" spans="1:32">
      <c r="A7" s="282" t="s">
        <v>1008</v>
      </c>
      <c r="B7" s="1555" t="str">
        <f>"Boxplot Distributions for "&amp;F1&amp;" "&amp;F2</f>
        <v xml:space="preserve">Boxplot Distributions for  </v>
      </c>
      <c r="C7" s="1555"/>
      <c r="D7" s="1555"/>
      <c r="E7" s="1555"/>
      <c r="F7" s="1555"/>
      <c r="G7" s="1555"/>
      <c r="K7" s="43" t="s">
        <v>1009</v>
      </c>
      <c r="V7" s="44"/>
    </row>
    <row r="8" spans="1:32" ht="13.5" thickBot="1">
      <c r="A8" s="99" t="s">
        <v>1010</v>
      </c>
      <c r="B8" s="753"/>
      <c r="C8" s="753"/>
      <c r="D8" s="753"/>
      <c r="E8" s="753"/>
      <c r="F8" s="754"/>
      <c r="G8" s="754"/>
      <c r="H8"/>
      <c r="J8" s="44"/>
      <c r="K8" s="43" t="s">
        <v>1011</v>
      </c>
    </row>
    <row r="9" spans="1:32" ht="14.25" thickTop="1" thickBot="1">
      <c r="A9">
        <v>1</v>
      </c>
      <c r="B9" s="273"/>
      <c r="C9" s="273"/>
      <c r="D9" s="273"/>
      <c r="E9" s="273"/>
      <c r="F9" s="273"/>
      <c r="G9" s="273"/>
      <c r="H9"/>
      <c r="J9" s="44"/>
      <c r="K9" s="43" t="s">
        <v>1012</v>
      </c>
      <c r="Z9" s="413"/>
      <c r="AA9" s="755" t="str">
        <f t="shared" ref="AA9:AF9" si="0">IF(B8="","",B8)</f>
        <v/>
      </c>
      <c r="AB9" s="755" t="str">
        <f t="shared" si="0"/>
        <v/>
      </c>
      <c r="AC9" s="755" t="str">
        <f t="shared" si="0"/>
        <v/>
      </c>
      <c r="AD9" s="755" t="str">
        <f t="shared" si="0"/>
        <v/>
      </c>
      <c r="AE9" s="755" t="str">
        <f t="shared" si="0"/>
        <v/>
      </c>
      <c r="AF9" s="755" t="str">
        <f t="shared" si="0"/>
        <v/>
      </c>
    </row>
    <row r="10" spans="1:32" ht="13.5" thickTop="1">
      <c r="A10">
        <f t="shared" ref="A10:A81" si="1">A9+1</f>
        <v>2</v>
      </c>
      <c r="B10" s="273"/>
      <c r="C10" s="273"/>
      <c r="D10" s="273"/>
      <c r="E10" s="273"/>
      <c r="F10" s="273"/>
      <c r="G10" s="273"/>
      <c r="H10"/>
      <c r="J10" s="44"/>
      <c r="Z10" s="756" t="s">
        <v>1013</v>
      </c>
      <c r="AA10" s="757" t="str">
        <f t="shared" ref="AA10:AF10" si="2">IF(AA9="","",B114)</f>
        <v/>
      </c>
      <c r="AB10" s="757" t="str">
        <f t="shared" si="2"/>
        <v/>
      </c>
      <c r="AC10" s="757" t="str">
        <f t="shared" si="2"/>
        <v/>
      </c>
      <c r="AD10" s="757" t="str">
        <f t="shared" si="2"/>
        <v/>
      </c>
      <c r="AE10" s="757" t="str">
        <f t="shared" si="2"/>
        <v/>
      </c>
      <c r="AF10" s="757" t="str">
        <f t="shared" si="2"/>
        <v/>
      </c>
    </row>
    <row r="11" spans="1:32">
      <c r="A11">
        <f t="shared" si="1"/>
        <v>3</v>
      </c>
      <c r="B11" s="273"/>
      <c r="C11" s="273"/>
      <c r="D11" s="273"/>
      <c r="E11" s="273"/>
      <c r="F11" s="273"/>
      <c r="G11" s="273"/>
      <c r="H11"/>
      <c r="J11" s="44"/>
      <c r="K11" s="758" t="s">
        <v>1014</v>
      </c>
      <c r="L11" s="759"/>
      <c r="Z11" s="760" t="s">
        <v>1015</v>
      </c>
      <c r="AA11" s="761" t="str">
        <f t="shared" ref="AA11:AF11" si="3">IF(AA9="","",B117)</f>
        <v/>
      </c>
      <c r="AB11" s="761" t="str">
        <f t="shared" si="3"/>
        <v/>
      </c>
      <c r="AC11" s="761" t="str">
        <f t="shared" si="3"/>
        <v/>
      </c>
      <c r="AD11" s="761" t="str">
        <f t="shared" si="3"/>
        <v/>
      </c>
      <c r="AE11" s="761" t="str">
        <f t="shared" si="3"/>
        <v/>
      </c>
      <c r="AF11" s="761" t="str">
        <f t="shared" si="3"/>
        <v/>
      </c>
    </row>
    <row r="12" spans="1:32">
      <c r="A12">
        <f t="shared" si="1"/>
        <v>4</v>
      </c>
      <c r="B12" s="273"/>
      <c r="C12" s="273"/>
      <c r="D12" s="273"/>
      <c r="E12" s="273"/>
      <c r="F12" s="273"/>
      <c r="G12" s="273"/>
      <c r="H12"/>
      <c r="J12" s="44"/>
      <c r="K12" s="762" t="s">
        <v>1016</v>
      </c>
      <c r="L12" s="759"/>
      <c r="Z12" s="763">
        <v>0.75</v>
      </c>
      <c r="AA12" s="761" t="str">
        <f t="shared" ref="AA12:AF12" si="4">IF(AA9="","",B116)</f>
        <v/>
      </c>
      <c r="AB12" s="761" t="str">
        <f t="shared" si="4"/>
        <v/>
      </c>
      <c r="AC12" s="761" t="str">
        <f t="shared" si="4"/>
        <v/>
      </c>
      <c r="AD12" s="761" t="str">
        <f t="shared" si="4"/>
        <v/>
      </c>
      <c r="AE12" s="761" t="str">
        <f t="shared" si="4"/>
        <v/>
      </c>
      <c r="AF12" s="761" t="str">
        <f t="shared" si="4"/>
        <v/>
      </c>
    </row>
    <row r="13" spans="1:32">
      <c r="A13">
        <f t="shared" si="1"/>
        <v>5</v>
      </c>
      <c r="B13" s="273"/>
      <c r="C13" s="273"/>
      <c r="D13" s="273"/>
      <c r="E13" s="273"/>
      <c r="F13" s="273"/>
      <c r="G13" s="273"/>
      <c r="H13"/>
      <c r="J13" s="44"/>
      <c r="K13" s="764" t="s">
        <v>186</v>
      </c>
      <c r="L13" s="765"/>
      <c r="M13" s="766" t="s">
        <v>1017</v>
      </c>
      <c r="Z13" s="763">
        <v>0.25</v>
      </c>
      <c r="AA13" s="761" t="str">
        <f t="shared" ref="AA13:AF13" si="5">IF(AA9="","",B112)</f>
        <v/>
      </c>
      <c r="AB13" s="761" t="str">
        <f t="shared" si="5"/>
        <v/>
      </c>
      <c r="AC13" s="761" t="str">
        <f t="shared" si="5"/>
        <v/>
      </c>
      <c r="AD13" s="761" t="str">
        <f t="shared" si="5"/>
        <v/>
      </c>
      <c r="AE13" s="761" t="str">
        <f t="shared" si="5"/>
        <v/>
      </c>
      <c r="AF13" s="761" t="str">
        <f t="shared" si="5"/>
        <v/>
      </c>
    </row>
    <row r="14" spans="1:32">
      <c r="A14">
        <f t="shared" si="1"/>
        <v>6</v>
      </c>
      <c r="B14" s="273"/>
      <c r="C14" s="273"/>
      <c r="D14" s="273"/>
      <c r="E14" s="273"/>
      <c r="F14" s="273"/>
      <c r="G14" s="273"/>
      <c r="H14"/>
      <c r="J14" s="1560" t="s">
        <v>1018</v>
      </c>
      <c r="K14" s="1560"/>
      <c r="L14" s="767" t="e">
        <f>IF(L13="",STDEV(B9:G108),ROUND(STDEV(B9:G108),L13))</f>
        <v>#DIV/0!</v>
      </c>
      <c r="Z14" s="760" t="s">
        <v>1019</v>
      </c>
      <c r="AA14" s="761" t="str">
        <f t="shared" ref="AA14:AF14" si="6">IF(AA9="","",B111)</f>
        <v/>
      </c>
      <c r="AB14" s="761" t="str">
        <f t="shared" si="6"/>
        <v/>
      </c>
      <c r="AC14" s="761" t="str">
        <f t="shared" si="6"/>
        <v/>
      </c>
      <c r="AD14" s="761" t="str">
        <f t="shared" si="6"/>
        <v/>
      </c>
      <c r="AE14" s="761" t="str">
        <f t="shared" si="6"/>
        <v/>
      </c>
      <c r="AF14" s="761" t="str">
        <f t="shared" si="6"/>
        <v/>
      </c>
    </row>
    <row r="15" spans="1:32">
      <c r="A15">
        <f t="shared" si="1"/>
        <v>7</v>
      </c>
      <c r="B15" s="273"/>
      <c r="C15" s="273"/>
      <c r="D15" s="273"/>
      <c r="E15" s="273"/>
      <c r="F15" s="273"/>
      <c r="G15" s="273"/>
      <c r="H15"/>
      <c r="J15" s="1560" t="s">
        <v>117</v>
      </c>
      <c r="K15" s="1560"/>
      <c r="L15" s="767">
        <f>IF(L13="",MAX(B9:G108)-MIN(B9:G108),ROUND(MAX(B9:G108)-MIN(B9:G108),L13))</f>
        <v>0</v>
      </c>
      <c r="Z15" s="760" t="s">
        <v>201</v>
      </c>
      <c r="AA15" s="761" t="str">
        <f t="shared" ref="AA15:AF15" si="7">IF(AA9="","",AVERAGE(B9:B108))</f>
        <v/>
      </c>
      <c r="AB15" s="761" t="str">
        <f t="shared" si="7"/>
        <v/>
      </c>
      <c r="AC15" s="761" t="str">
        <f t="shared" si="7"/>
        <v/>
      </c>
      <c r="AD15" s="761" t="str">
        <f t="shared" si="7"/>
        <v/>
      </c>
      <c r="AE15" s="761" t="str">
        <f t="shared" si="7"/>
        <v/>
      </c>
      <c r="AF15" s="761" t="str">
        <f t="shared" si="7"/>
        <v/>
      </c>
    </row>
    <row r="16" spans="1:32">
      <c r="A16">
        <f t="shared" si="1"/>
        <v>8</v>
      </c>
      <c r="B16" s="273"/>
      <c r="C16" s="273"/>
      <c r="D16" s="273"/>
      <c r="E16" s="273"/>
      <c r="F16" s="273"/>
      <c r="G16" s="273"/>
      <c r="H16"/>
      <c r="J16" s="1560" t="s">
        <v>195</v>
      </c>
      <c r="K16" s="1560"/>
      <c r="L16" s="767" t="e">
        <f>IF(L13="",AVERAGE(B9:G108),ROUND(AVERAGE(B9:G108),L13))</f>
        <v>#DIV/0!</v>
      </c>
      <c r="Z16" s="768" t="s">
        <v>555</v>
      </c>
      <c r="AA16" s="761" t="str">
        <f t="shared" ref="AA16:AF16" si="8">IF(AA9="","",STDEV(B9:B108))</f>
        <v/>
      </c>
      <c r="AB16" s="761" t="str">
        <f t="shared" si="8"/>
        <v/>
      </c>
      <c r="AC16" s="761" t="str">
        <f t="shared" si="8"/>
        <v/>
      </c>
      <c r="AD16" s="761" t="str">
        <f t="shared" si="8"/>
        <v/>
      </c>
      <c r="AE16" s="761" t="str">
        <f t="shared" si="8"/>
        <v/>
      </c>
      <c r="AF16" s="761" t="str">
        <f t="shared" si="8"/>
        <v/>
      </c>
    </row>
    <row r="17" spans="1:32">
      <c r="A17">
        <f t="shared" si="1"/>
        <v>9</v>
      </c>
      <c r="B17" s="273"/>
      <c r="C17" s="273"/>
      <c r="D17" s="273"/>
      <c r="E17" s="273"/>
      <c r="F17" s="273"/>
      <c r="G17" s="273"/>
      <c r="H17"/>
      <c r="J17" s="1560" t="s">
        <v>1013</v>
      </c>
      <c r="K17" s="1560"/>
      <c r="L17" s="767" t="e">
        <f>IF(L13="",MEDIAN(B9:G108),ROUND(MEDIAN(B9:G108),L13))</f>
        <v>#NUM!</v>
      </c>
      <c r="Z17" s="760" t="s">
        <v>1020</v>
      </c>
      <c r="AA17" s="769" t="str">
        <f t="shared" ref="AA17:AF17" si="9">IF(AA9="","",(COUNTIF(B9:B108,"&lt;"&amp;LSL)+COUNTIF(B9:B108,"&gt;"&amp;USL))/n)</f>
        <v/>
      </c>
      <c r="AB17" s="769" t="str">
        <f t="shared" si="9"/>
        <v/>
      </c>
      <c r="AC17" s="769" t="str">
        <f t="shared" si="9"/>
        <v/>
      </c>
      <c r="AD17" s="769" t="str">
        <f t="shared" si="9"/>
        <v/>
      </c>
      <c r="AE17" s="769" t="str">
        <f t="shared" si="9"/>
        <v/>
      </c>
      <c r="AF17" s="769" t="str">
        <f t="shared" si="9"/>
        <v/>
      </c>
    </row>
    <row r="18" spans="1:32">
      <c r="A18">
        <f t="shared" si="1"/>
        <v>10</v>
      </c>
      <c r="B18" s="273"/>
      <c r="C18" s="273"/>
      <c r="D18" s="273"/>
      <c r="E18" s="273"/>
      <c r="F18" s="273"/>
      <c r="G18" s="273"/>
      <c r="H18"/>
      <c r="J18" s="1560" t="s">
        <v>1014</v>
      </c>
      <c r="K18" s="1560"/>
      <c r="L18" s="767" t="e">
        <f>IF(L11="",IF(USL&lt;datamax,cellwidthadjust,cellwidthadjust2),L11)</f>
        <v>#DIV/0!</v>
      </c>
      <c r="M18" s="354"/>
    </row>
    <row r="19" spans="1:32">
      <c r="A19">
        <f t="shared" si="1"/>
        <v>11</v>
      </c>
      <c r="B19" s="273"/>
      <c r="C19" s="273"/>
      <c r="D19" s="273"/>
      <c r="E19" s="273"/>
      <c r="F19" s="273"/>
      <c r="G19" s="273"/>
      <c r="H19"/>
      <c r="J19" s="1560" t="s">
        <v>1021</v>
      </c>
      <c r="K19" s="1560"/>
      <c r="L19" s="767">
        <f>IF(L12="",MIN(B9:G108),L12)</f>
        <v>0</v>
      </c>
    </row>
    <row r="20" spans="1:32">
      <c r="A20">
        <f t="shared" si="1"/>
        <v>12</v>
      </c>
      <c r="B20" s="273"/>
      <c r="C20" s="273"/>
      <c r="D20" s="273"/>
      <c r="E20" s="273"/>
      <c r="F20" s="273"/>
      <c r="G20" s="273"/>
      <c r="H20"/>
      <c r="J20" s="1560" t="s">
        <v>1022</v>
      </c>
      <c r="K20" s="1560"/>
      <c r="L20" s="767">
        <f>MAX(B9:G108)</f>
        <v>0</v>
      </c>
    </row>
    <row r="21" spans="1:32">
      <c r="A21">
        <f t="shared" si="1"/>
        <v>13</v>
      </c>
      <c r="B21" s="273"/>
      <c r="C21" s="273"/>
      <c r="D21" s="273"/>
      <c r="E21" s="273"/>
      <c r="F21" s="273"/>
      <c r="G21" s="273"/>
      <c r="H21"/>
      <c r="J21" s="1560" t="s">
        <v>125</v>
      </c>
      <c r="K21" s="1560"/>
      <c r="L21" s="770">
        <f>COUNT(B9:G108)</f>
        <v>0</v>
      </c>
    </row>
    <row r="22" spans="1:32">
      <c r="A22" s="1362">
        <f t="shared" si="1"/>
        <v>14</v>
      </c>
      <c r="B22" s="273"/>
      <c r="C22" s="273"/>
      <c r="D22" s="273"/>
      <c r="E22" s="273"/>
      <c r="F22" s="273"/>
      <c r="G22" s="273"/>
      <c r="H22" s="1362"/>
      <c r="J22" s="1560" t="s">
        <v>1023</v>
      </c>
      <c r="K22" s="1560"/>
      <c r="L22" s="771">
        <f>MIN(LSL,datamin)</f>
        <v>0</v>
      </c>
    </row>
    <row r="23" spans="1:32" ht="13.5" thickBot="1">
      <c r="A23" s="1362">
        <f t="shared" si="1"/>
        <v>15</v>
      </c>
      <c r="B23" s="273"/>
      <c r="C23" s="273"/>
      <c r="D23" s="273"/>
      <c r="E23" s="273"/>
      <c r="F23" s="273"/>
      <c r="G23" s="273"/>
      <c r="H23" s="1362"/>
      <c r="J23" s="1560" t="s">
        <v>1024</v>
      </c>
      <c r="K23" s="1560"/>
      <c r="L23" s="771">
        <f>MAX(USL,datamax)</f>
        <v>0</v>
      </c>
    </row>
    <row r="24" spans="1:32" ht="14.25" thickTop="1">
      <c r="A24" s="1362">
        <f t="shared" si="1"/>
        <v>16</v>
      </c>
      <c r="B24" s="273"/>
      <c r="C24" s="273"/>
      <c r="D24" s="273"/>
      <c r="E24" s="273"/>
      <c r="F24" s="273"/>
      <c r="G24" s="273"/>
      <c r="H24" s="1362"/>
      <c r="J24" s="1561" t="s">
        <v>1025</v>
      </c>
      <c r="K24" s="1561"/>
      <c r="L24" s="771" t="e">
        <f>TRUNC((LSL-datamin)/cellwidth)+1</f>
        <v>#DIV/0!</v>
      </c>
      <c r="AA24" s="1570" t="s">
        <v>195</v>
      </c>
      <c r="AB24" s="1571"/>
      <c r="AC24" s="1566" t="e">
        <f>IF(L93=1,avg,IF(L93=2,L82,L91))</f>
        <v>#DIV/0!</v>
      </c>
      <c r="AD24" s="1567"/>
    </row>
    <row r="25" spans="1:32">
      <c r="A25" s="1362">
        <f t="shared" si="1"/>
        <v>17</v>
      </c>
      <c r="B25" s="273"/>
      <c r="C25" s="273"/>
      <c r="D25" s="273"/>
      <c r="E25" s="273"/>
      <c r="F25" s="273"/>
      <c r="G25" s="273"/>
      <c r="H25" s="1362"/>
      <c r="J25" s="1560" t="s">
        <v>1026</v>
      </c>
      <c r="K25" s="1560"/>
      <c r="L25" s="771">
        <f>IF(L11="",(graphmax-graphmin)/14,L11)</f>
        <v>0</v>
      </c>
      <c r="AA25" s="1572" t="s">
        <v>555</v>
      </c>
      <c r="AB25" s="1573"/>
      <c r="AC25" s="1568" t="e">
        <f>IF(L93=1,s,IF(L93=2,M82,M91))</f>
        <v>#DIV/0!</v>
      </c>
      <c r="AD25" s="1569"/>
    </row>
    <row r="26" spans="1:32">
      <c r="A26" s="1362">
        <f t="shared" si="1"/>
        <v>18</v>
      </c>
      <c r="B26" s="273"/>
      <c r="C26" s="273"/>
      <c r="D26" s="273"/>
      <c r="E26" s="273"/>
      <c r="F26" s="273"/>
      <c r="G26" s="273"/>
      <c r="H26" s="1362"/>
      <c r="J26" s="1560" t="s">
        <v>1027</v>
      </c>
      <c r="K26" s="1560"/>
      <c r="L26" s="771" t="e">
        <f>EVEN(((graphmax-graphmin)/14)/(1/(((graphmax-graphmin)/(USL-LSL))/cellwidth1)))*(1/(((graphmax-graphmin)/(USL-LSL))/cellwidth1))</f>
        <v>#DIV/0!</v>
      </c>
      <c r="AA26" s="1574" t="s">
        <v>1013</v>
      </c>
      <c r="AB26" s="1575"/>
      <c r="AC26" s="1568" t="e">
        <f>L17</f>
        <v>#NUM!</v>
      </c>
      <c r="AD26" s="1569"/>
    </row>
    <row r="27" spans="1:32">
      <c r="A27" s="1362">
        <f t="shared" si="1"/>
        <v>19</v>
      </c>
      <c r="B27" s="273"/>
      <c r="C27" s="273"/>
      <c r="D27" s="273"/>
      <c r="E27" s="273"/>
      <c r="F27" s="273"/>
      <c r="G27" s="273"/>
      <c r="H27" s="1362"/>
      <c r="J27" s="1560" t="s">
        <v>1028</v>
      </c>
      <c r="K27" s="1560"/>
      <c r="L27" s="771" t="e">
        <f>IF(TRUNC((USL-LSL)/(graphmax-graphmin))*((USL-LSL)/14)=0,cellwidth1,TRUNC((USL-LSL)/(graphmax-graphmin))*((USL-LSL)/14))</f>
        <v>#DIV/0!</v>
      </c>
      <c r="AA27" s="1574" t="s">
        <v>1019</v>
      </c>
      <c r="AB27" s="1575"/>
      <c r="AC27" s="1568">
        <f>MIN(B9:G108)</f>
        <v>0</v>
      </c>
      <c r="AD27" s="1569"/>
    </row>
    <row r="28" spans="1:32">
      <c r="A28" s="1362">
        <f t="shared" si="1"/>
        <v>20</v>
      </c>
      <c r="B28" s="273"/>
      <c r="C28" s="273"/>
      <c r="D28" s="273"/>
      <c r="E28" s="273"/>
      <c r="F28" s="273"/>
      <c r="G28" s="273"/>
      <c r="H28" s="1362"/>
      <c r="J28" s="44"/>
      <c r="AA28" s="1574" t="s">
        <v>1015</v>
      </c>
      <c r="AB28" s="1575"/>
      <c r="AC28" s="1568">
        <f>MAX(B9:G108)</f>
        <v>0</v>
      </c>
      <c r="AD28" s="1569"/>
    </row>
    <row r="29" spans="1:32">
      <c r="A29" s="1362">
        <f t="shared" si="1"/>
        <v>21</v>
      </c>
      <c r="B29" s="273"/>
      <c r="C29" s="273"/>
      <c r="D29" s="273"/>
      <c r="E29" s="273"/>
      <c r="F29" s="273"/>
      <c r="G29" s="273"/>
      <c r="H29" s="1362"/>
      <c r="K29" s="1562" t="s">
        <v>1029</v>
      </c>
      <c r="L29" s="1563"/>
      <c r="M29" s="773" t="s">
        <v>1030</v>
      </c>
      <c r="N29" s="773" t="s">
        <v>1031</v>
      </c>
      <c r="O29" s="773" t="s">
        <v>1032</v>
      </c>
      <c r="P29" s="772" t="s">
        <v>1033</v>
      </c>
      <c r="Q29" s="354"/>
      <c r="AA29" s="1574" t="s">
        <v>453</v>
      </c>
      <c r="AB29" s="1575"/>
      <c r="AC29" s="1568">
        <f>n</f>
        <v>0</v>
      </c>
      <c r="AD29" s="1569"/>
    </row>
    <row r="30" spans="1:32">
      <c r="A30" s="1362">
        <f t="shared" si="1"/>
        <v>22</v>
      </c>
      <c r="B30" s="273"/>
      <c r="C30" s="273"/>
      <c r="D30" s="273"/>
      <c r="E30" s="273"/>
      <c r="F30" s="273"/>
      <c r="G30" s="273"/>
      <c r="H30" s="1362"/>
      <c r="J30" s="43" t="str">
        <f>IF(L12="","",1)</f>
        <v/>
      </c>
      <c r="K30" s="774" t="s">
        <v>1034</v>
      </c>
      <c r="L30" s="775" t="s">
        <v>1035</v>
      </c>
      <c r="M30" s="776" t="str">
        <f>K31</f>
        <v/>
      </c>
      <c r="N30" s="777"/>
      <c r="O30" s="778" t="e">
        <f t="shared" ref="O30:O64" si="10">IF(M30=K$1,K$69,IF(AND(K$3&gt;=M30,K$3&lt;M31),K$69,""))</f>
        <v>#N/A</v>
      </c>
      <c r="P30" s="543" t="e">
        <f t="shared" ref="P30:P64" si="11">IF(AND(K$2&gt;=M30,K$2&lt;M31),K$69+1,"")</f>
        <v>#DIV/0!</v>
      </c>
      <c r="Q30" s="354"/>
      <c r="AA30" s="1582" t="s">
        <v>1036</v>
      </c>
      <c r="AB30" s="1583"/>
      <c r="AC30" s="1576" t="e">
        <f>(COUNTIF(B9:G108,"&lt;"&amp;LSL)+COUNTIF(B9:G108,"&gt;"&amp;USL))/n</f>
        <v>#DIV/0!</v>
      </c>
      <c r="AD30" s="1577"/>
    </row>
    <row r="31" spans="1:32">
      <c r="A31" s="1362">
        <f t="shared" si="1"/>
        <v>23</v>
      </c>
      <c r="B31" s="273"/>
      <c r="C31" s="273"/>
      <c r="D31" s="273"/>
      <c r="E31" s="273"/>
      <c r="F31" s="273"/>
      <c r="G31" s="273"/>
      <c r="H31" s="1362"/>
      <c r="J31" s="779" t="s">
        <v>1019</v>
      </c>
      <c r="K31" s="780" t="str">
        <f>IF(J30=1,L12,IF(LSL="","",IF(LSL&gt;datamin,LSL-L24*cellwidth,L32-0.5*cellwidth)))</f>
        <v/>
      </c>
      <c r="L31" s="781"/>
      <c r="M31" s="782" t="str">
        <f>L32</f>
        <v/>
      </c>
      <c r="N31" s="777" t="e">
        <f>K51</f>
        <v>#N/A</v>
      </c>
      <c r="O31" s="778" t="e">
        <f t="shared" si="10"/>
        <v>#N/A</v>
      </c>
      <c r="P31" s="543" t="e">
        <f t="shared" si="11"/>
        <v>#DIV/0!</v>
      </c>
      <c r="Q31" s="354"/>
      <c r="X31" s="44"/>
      <c r="Y31" s="44"/>
      <c r="AA31" s="1574" t="s">
        <v>678</v>
      </c>
      <c r="AB31" s="1575"/>
      <c r="AC31" s="1578" t="str">
        <f>IF(B9="","",IF(L93=1,P77,IF(L93=2,P86,P91)))</f>
        <v/>
      </c>
      <c r="AD31" s="1579"/>
    </row>
    <row r="32" spans="1:32" ht="13.5" thickBot="1">
      <c r="A32" s="1362">
        <f t="shared" si="1"/>
        <v>24</v>
      </c>
      <c r="B32" s="273"/>
      <c r="C32" s="273"/>
      <c r="D32" s="273"/>
      <c r="E32" s="273"/>
      <c r="F32" s="273"/>
      <c r="G32" s="273"/>
      <c r="H32" s="1362"/>
      <c r="J32" s="783">
        <v>2</v>
      </c>
      <c r="K32" s="780" t="e">
        <f t="shared" ref="K32:K48" si="12">K31+cellwidth</f>
        <v>#VALUE!</v>
      </c>
      <c r="L32" s="784" t="str">
        <f>IF(LSL="","",IF(LSL&lt;datamin,LSL-0.5*cellwidth,IF(LSL=datamin,LSL,K31+(0.5*cellwidth))))</f>
        <v/>
      </c>
      <c r="M32" s="776" t="e">
        <f>K32</f>
        <v>#VALUE!</v>
      </c>
      <c r="N32" s="777"/>
      <c r="O32" s="778" t="e">
        <f t="shared" si="10"/>
        <v>#VALUE!</v>
      </c>
      <c r="P32" s="543" t="e">
        <f t="shared" si="11"/>
        <v>#DIV/0!</v>
      </c>
      <c r="Q32" s="354"/>
      <c r="X32" s="44"/>
      <c r="Y32" s="44"/>
      <c r="AA32" s="1585" t="s">
        <v>567</v>
      </c>
      <c r="AB32" s="1586"/>
      <c r="AC32" s="1580" t="str">
        <f>IF(B9="","",IF(L93=1,P75,IF(L93=2,P84,P91)))</f>
        <v/>
      </c>
      <c r="AD32" s="1581"/>
    </row>
    <row r="33" spans="1:30" ht="13.5" thickTop="1">
      <c r="A33" s="1362">
        <f t="shared" si="1"/>
        <v>25</v>
      </c>
      <c r="B33" s="273"/>
      <c r="C33" s="273"/>
      <c r="D33" s="273"/>
      <c r="E33" s="273"/>
      <c r="F33" s="273"/>
      <c r="G33" s="273"/>
      <c r="H33" s="1362"/>
      <c r="J33" s="783">
        <v>3</v>
      </c>
      <c r="K33" s="780" t="e">
        <f t="shared" si="12"/>
        <v>#VALUE!</v>
      </c>
      <c r="L33" s="785" t="e">
        <f t="shared" ref="L33:L48" si="13">0.5*(K33-K32)+K32</f>
        <v>#VALUE!</v>
      </c>
      <c r="M33" s="782" t="e">
        <f>L33</f>
        <v>#VALUE!</v>
      </c>
      <c r="N33" s="777" t="e">
        <f>K52</f>
        <v>#N/A</v>
      </c>
      <c r="O33" s="778" t="e">
        <f t="shared" si="10"/>
        <v>#VALUE!</v>
      </c>
      <c r="P33" s="543" t="e">
        <f t="shared" si="11"/>
        <v>#DIV/0!</v>
      </c>
      <c r="Q33" s="354"/>
      <c r="X33" s="44"/>
      <c r="Y33" s="44"/>
      <c r="AA33" s="1584" t="str">
        <f>IF(L93=1,"Normal Distribution",IF(L93=2,"Uniform Distribution","Truncated Distribution"))</f>
        <v>Normal Distribution</v>
      </c>
      <c r="AB33" s="1584"/>
      <c r="AC33" s="1584"/>
      <c r="AD33" s="1584"/>
    </row>
    <row r="34" spans="1:30">
      <c r="A34" s="1362">
        <f t="shared" si="1"/>
        <v>26</v>
      </c>
      <c r="B34" s="273"/>
      <c r="C34" s="273"/>
      <c r="D34" s="273"/>
      <c r="E34" s="273"/>
      <c r="F34" s="273"/>
      <c r="G34" s="273"/>
      <c r="H34" s="1362"/>
      <c r="J34" s="783">
        <v>4</v>
      </c>
      <c r="K34" s="780" t="e">
        <f t="shared" si="12"/>
        <v>#VALUE!</v>
      </c>
      <c r="L34" s="785" t="e">
        <f t="shared" si="13"/>
        <v>#VALUE!</v>
      </c>
      <c r="M34" s="776" t="e">
        <f>K33</f>
        <v>#VALUE!</v>
      </c>
      <c r="N34" s="777"/>
      <c r="O34" s="778" t="e">
        <f t="shared" si="10"/>
        <v>#VALUE!</v>
      </c>
      <c r="P34" s="543" t="e">
        <f t="shared" si="11"/>
        <v>#DIV/0!</v>
      </c>
      <c r="Q34" s="354"/>
      <c r="X34" s="44"/>
      <c r="Y34" s="44"/>
      <c r="AA34" s="1470" t="str">
        <f>IF(LSL=0,"Bounded at Zero","")</f>
        <v>Bounded at Zero</v>
      </c>
      <c r="AB34" s="1470"/>
      <c r="AC34" s="1470"/>
      <c r="AD34" s="1470"/>
    </row>
    <row r="35" spans="1:30">
      <c r="A35" s="1362">
        <f t="shared" si="1"/>
        <v>27</v>
      </c>
      <c r="B35" s="273"/>
      <c r="C35" s="273"/>
      <c r="D35" s="273"/>
      <c r="E35" s="273"/>
      <c r="F35" s="273"/>
      <c r="G35" s="273"/>
      <c r="H35" s="1362"/>
      <c r="J35" s="783">
        <v>5</v>
      </c>
      <c r="K35" s="780" t="e">
        <f t="shared" si="12"/>
        <v>#VALUE!</v>
      </c>
      <c r="L35" s="785" t="e">
        <f t="shared" si="13"/>
        <v>#VALUE!</v>
      </c>
      <c r="M35" s="782" t="e">
        <f>L34</f>
        <v>#VALUE!</v>
      </c>
      <c r="N35" s="777" t="e">
        <f>K53</f>
        <v>#N/A</v>
      </c>
      <c r="O35" s="778" t="e">
        <f t="shared" si="10"/>
        <v>#VALUE!</v>
      </c>
      <c r="P35" s="543" t="e">
        <f t="shared" si="11"/>
        <v>#DIV/0!</v>
      </c>
      <c r="Q35" s="354"/>
      <c r="X35" s="44"/>
      <c r="Y35" s="44"/>
    </row>
    <row r="36" spans="1:30">
      <c r="A36" s="1362">
        <f t="shared" si="1"/>
        <v>28</v>
      </c>
      <c r="B36" s="273"/>
      <c r="C36" s="273"/>
      <c r="D36" s="273"/>
      <c r="E36" s="273"/>
      <c r="F36" s="273"/>
      <c r="G36" s="273"/>
      <c r="H36" s="1362"/>
      <c r="J36" s="783">
        <v>6</v>
      </c>
      <c r="K36" s="780" t="e">
        <f t="shared" si="12"/>
        <v>#VALUE!</v>
      </c>
      <c r="L36" s="785" t="e">
        <f t="shared" si="13"/>
        <v>#VALUE!</v>
      </c>
      <c r="M36" s="776" t="e">
        <f>K34</f>
        <v>#VALUE!</v>
      </c>
      <c r="N36" s="777"/>
      <c r="O36" s="778" t="e">
        <f t="shared" si="10"/>
        <v>#VALUE!</v>
      </c>
      <c r="P36" s="543" t="e">
        <f t="shared" si="11"/>
        <v>#DIV/0!</v>
      </c>
      <c r="Q36" s="354"/>
      <c r="X36" s="44"/>
      <c r="Y36" s="44"/>
    </row>
    <row r="37" spans="1:30">
      <c r="A37" s="1362">
        <f t="shared" si="1"/>
        <v>29</v>
      </c>
      <c r="B37" s="273"/>
      <c r="C37" s="273"/>
      <c r="D37" s="273"/>
      <c r="E37" s="273"/>
      <c r="F37" s="273"/>
      <c r="G37" s="273"/>
      <c r="H37" s="1362"/>
      <c r="J37" s="783">
        <v>7</v>
      </c>
      <c r="K37" s="780" t="e">
        <f t="shared" si="12"/>
        <v>#VALUE!</v>
      </c>
      <c r="L37" s="785" t="e">
        <f t="shared" si="13"/>
        <v>#VALUE!</v>
      </c>
      <c r="M37" s="782" t="e">
        <f>L35</f>
        <v>#VALUE!</v>
      </c>
      <c r="N37" s="777" t="e">
        <f>K54</f>
        <v>#N/A</v>
      </c>
      <c r="O37" s="778" t="e">
        <f t="shared" si="10"/>
        <v>#VALUE!</v>
      </c>
      <c r="P37" s="543" t="e">
        <f t="shared" si="11"/>
        <v>#DIV/0!</v>
      </c>
      <c r="Q37" s="354"/>
      <c r="X37" s="44"/>
      <c r="Y37" s="44"/>
    </row>
    <row r="38" spans="1:30">
      <c r="A38" s="1362">
        <f t="shared" si="1"/>
        <v>30</v>
      </c>
      <c r="B38" s="273"/>
      <c r="C38" s="273"/>
      <c r="D38" s="273"/>
      <c r="E38" s="273"/>
      <c r="F38" s="273"/>
      <c r="G38" s="273"/>
      <c r="H38" s="1362"/>
      <c r="J38" s="783">
        <v>8</v>
      </c>
      <c r="K38" s="780" t="e">
        <f t="shared" si="12"/>
        <v>#VALUE!</v>
      </c>
      <c r="L38" s="785" t="e">
        <f t="shared" si="13"/>
        <v>#VALUE!</v>
      </c>
      <c r="M38" s="776" t="e">
        <f>K35</f>
        <v>#VALUE!</v>
      </c>
      <c r="N38" s="777"/>
      <c r="O38" s="778" t="e">
        <f t="shared" si="10"/>
        <v>#VALUE!</v>
      </c>
      <c r="P38" s="543" t="e">
        <f t="shared" si="11"/>
        <v>#DIV/0!</v>
      </c>
      <c r="Q38" s="354"/>
      <c r="X38" s="44"/>
      <c r="Y38" s="44"/>
    </row>
    <row r="39" spans="1:30">
      <c r="A39" s="1362">
        <f t="shared" si="1"/>
        <v>31</v>
      </c>
      <c r="B39" s="273"/>
      <c r="C39" s="273"/>
      <c r="D39" s="273"/>
      <c r="E39" s="273"/>
      <c r="F39" s="273"/>
      <c r="G39" s="273"/>
      <c r="H39" s="1362"/>
      <c r="J39" s="783">
        <v>9</v>
      </c>
      <c r="K39" s="780" t="e">
        <f t="shared" si="12"/>
        <v>#VALUE!</v>
      </c>
      <c r="L39" s="785" t="e">
        <f t="shared" si="13"/>
        <v>#VALUE!</v>
      </c>
      <c r="M39" s="782" t="e">
        <f>L36</f>
        <v>#VALUE!</v>
      </c>
      <c r="N39" s="777" t="e">
        <f>K55</f>
        <v>#N/A</v>
      </c>
      <c r="O39" s="778" t="e">
        <f t="shared" si="10"/>
        <v>#VALUE!</v>
      </c>
      <c r="P39" s="543" t="e">
        <f t="shared" si="11"/>
        <v>#DIV/0!</v>
      </c>
      <c r="Q39" s="354"/>
      <c r="X39" s="44"/>
      <c r="Y39" s="44"/>
    </row>
    <row r="40" spans="1:30">
      <c r="A40" s="1362">
        <f t="shared" si="1"/>
        <v>32</v>
      </c>
      <c r="B40" s="273"/>
      <c r="C40" s="273"/>
      <c r="D40" s="273"/>
      <c r="E40" s="273"/>
      <c r="F40" s="273"/>
      <c r="G40" s="273"/>
      <c r="H40" s="1362"/>
      <c r="J40" s="783">
        <v>10</v>
      </c>
      <c r="K40" s="780" t="e">
        <f t="shared" si="12"/>
        <v>#VALUE!</v>
      </c>
      <c r="L40" s="785" t="e">
        <f t="shared" si="13"/>
        <v>#VALUE!</v>
      </c>
      <c r="M40" s="776" t="e">
        <f>K36</f>
        <v>#VALUE!</v>
      </c>
      <c r="N40" s="777"/>
      <c r="O40" s="778" t="e">
        <f t="shared" si="10"/>
        <v>#VALUE!</v>
      </c>
      <c r="P40" s="543" t="e">
        <f t="shared" si="11"/>
        <v>#DIV/0!</v>
      </c>
      <c r="Q40" s="354"/>
      <c r="X40" s="44"/>
      <c r="Y40" s="44"/>
    </row>
    <row r="41" spans="1:30">
      <c r="A41" s="1362">
        <f t="shared" si="1"/>
        <v>33</v>
      </c>
      <c r="B41" s="273"/>
      <c r="C41" s="273"/>
      <c r="D41" s="273"/>
      <c r="E41" s="273"/>
      <c r="F41" s="273"/>
      <c r="G41" s="273"/>
      <c r="H41" s="1362"/>
      <c r="J41" s="783">
        <v>11</v>
      </c>
      <c r="K41" s="780" t="e">
        <f t="shared" si="12"/>
        <v>#VALUE!</v>
      </c>
      <c r="L41" s="785" t="e">
        <f t="shared" si="13"/>
        <v>#VALUE!</v>
      </c>
      <c r="M41" s="782" t="e">
        <f>L37</f>
        <v>#VALUE!</v>
      </c>
      <c r="N41" s="777" t="e">
        <f>K56</f>
        <v>#N/A</v>
      </c>
      <c r="O41" s="778" t="e">
        <f t="shared" si="10"/>
        <v>#VALUE!</v>
      </c>
      <c r="P41" s="543" t="e">
        <f t="shared" si="11"/>
        <v>#DIV/0!</v>
      </c>
      <c r="Q41" s="354"/>
      <c r="X41" s="44"/>
      <c r="Y41" s="44"/>
    </row>
    <row r="42" spans="1:30">
      <c r="A42" s="1362">
        <f t="shared" si="1"/>
        <v>34</v>
      </c>
      <c r="B42" s="273"/>
      <c r="C42" s="273"/>
      <c r="D42" s="273"/>
      <c r="E42" s="273"/>
      <c r="F42" s="273"/>
      <c r="G42" s="273"/>
      <c r="H42" s="1361"/>
      <c r="J42" s="783">
        <v>12</v>
      </c>
      <c r="K42" s="780" t="e">
        <f t="shared" si="12"/>
        <v>#VALUE!</v>
      </c>
      <c r="L42" s="785" t="e">
        <f t="shared" si="13"/>
        <v>#VALUE!</v>
      </c>
      <c r="M42" s="776" t="e">
        <f>K37</f>
        <v>#VALUE!</v>
      </c>
      <c r="N42" s="777"/>
      <c r="O42" s="778" t="e">
        <f t="shared" si="10"/>
        <v>#VALUE!</v>
      </c>
      <c r="P42" s="543" t="e">
        <f t="shared" si="11"/>
        <v>#DIV/0!</v>
      </c>
      <c r="Q42" s="354"/>
      <c r="X42" s="44"/>
      <c r="Y42" s="44"/>
    </row>
    <row r="43" spans="1:30">
      <c r="A43" s="1361">
        <f t="shared" si="1"/>
        <v>35</v>
      </c>
      <c r="B43" s="273"/>
      <c r="C43" s="273"/>
      <c r="D43" s="273"/>
      <c r="E43" s="273"/>
      <c r="F43" s="273"/>
      <c r="G43" s="273"/>
      <c r="H43" s="1361"/>
      <c r="J43" s="783">
        <v>13</v>
      </c>
      <c r="K43" s="780" t="e">
        <f t="shared" si="12"/>
        <v>#VALUE!</v>
      </c>
      <c r="L43" s="785" t="e">
        <f t="shared" si="13"/>
        <v>#VALUE!</v>
      </c>
      <c r="M43" s="782" t="e">
        <f>L38</f>
        <v>#VALUE!</v>
      </c>
      <c r="N43" s="777" t="e">
        <f>K57</f>
        <v>#N/A</v>
      </c>
      <c r="O43" s="778" t="e">
        <f t="shared" si="10"/>
        <v>#VALUE!</v>
      </c>
      <c r="P43" s="543" t="e">
        <f t="shared" si="11"/>
        <v>#DIV/0!</v>
      </c>
      <c r="Q43" s="354"/>
      <c r="X43" s="44"/>
      <c r="Y43" s="44"/>
      <c r="AA43" s="46"/>
    </row>
    <row r="44" spans="1:30">
      <c r="A44" s="1361">
        <f t="shared" si="1"/>
        <v>36</v>
      </c>
      <c r="B44" s="273"/>
      <c r="C44" s="273"/>
      <c r="D44" s="273"/>
      <c r="E44" s="273"/>
      <c r="F44" s="273"/>
      <c r="G44" s="273"/>
      <c r="H44" s="1361"/>
      <c r="J44" s="783">
        <v>14</v>
      </c>
      <c r="K44" s="780" t="e">
        <f t="shared" si="12"/>
        <v>#VALUE!</v>
      </c>
      <c r="L44" s="785" t="e">
        <f t="shared" si="13"/>
        <v>#VALUE!</v>
      </c>
      <c r="M44" s="776" t="e">
        <f>K38</f>
        <v>#VALUE!</v>
      </c>
      <c r="N44" s="777"/>
      <c r="O44" s="778" t="e">
        <f t="shared" si="10"/>
        <v>#VALUE!</v>
      </c>
      <c r="P44" s="543" t="e">
        <f t="shared" si="11"/>
        <v>#DIV/0!</v>
      </c>
      <c r="Q44" s="354"/>
      <c r="X44" s="44"/>
      <c r="Y44" s="44"/>
    </row>
    <row r="45" spans="1:30">
      <c r="A45" s="1361">
        <f t="shared" si="1"/>
        <v>37</v>
      </c>
      <c r="B45" s="273"/>
      <c r="C45" s="273"/>
      <c r="D45" s="273"/>
      <c r="E45" s="273"/>
      <c r="F45" s="273"/>
      <c r="G45" s="273"/>
      <c r="H45" s="1361"/>
      <c r="J45" s="783">
        <v>15</v>
      </c>
      <c r="K45" s="780" t="e">
        <f t="shared" si="12"/>
        <v>#VALUE!</v>
      </c>
      <c r="L45" s="785" t="e">
        <f t="shared" si="13"/>
        <v>#VALUE!</v>
      </c>
      <c r="M45" s="782" t="e">
        <f>L39</f>
        <v>#VALUE!</v>
      </c>
      <c r="N45" s="786" t="e">
        <f>K58</f>
        <v>#N/A</v>
      </c>
      <c r="O45" s="778" t="e">
        <f t="shared" si="10"/>
        <v>#VALUE!</v>
      </c>
      <c r="P45" s="543" t="e">
        <f t="shared" si="11"/>
        <v>#DIV/0!</v>
      </c>
      <c r="Q45" s="354"/>
      <c r="X45" s="44"/>
      <c r="Y45" s="44"/>
    </row>
    <row r="46" spans="1:30">
      <c r="A46" s="1361">
        <f t="shared" si="1"/>
        <v>38</v>
      </c>
      <c r="B46" s="273"/>
      <c r="C46" s="273"/>
      <c r="D46" s="273"/>
      <c r="E46" s="273"/>
      <c r="F46" s="273"/>
      <c r="G46" s="273"/>
      <c r="H46" s="1361"/>
      <c r="J46" s="783">
        <v>16</v>
      </c>
      <c r="K46" s="780" t="e">
        <f t="shared" si="12"/>
        <v>#VALUE!</v>
      </c>
      <c r="L46" s="785" t="e">
        <f t="shared" si="13"/>
        <v>#VALUE!</v>
      </c>
      <c r="M46" s="776" t="e">
        <f>K39</f>
        <v>#VALUE!</v>
      </c>
      <c r="N46" s="786"/>
      <c r="O46" s="778" t="e">
        <f t="shared" si="10"/>
        <v>#VALUE!</v>
      </c>
      <c r="P46" s="543" t="e">
        <f t="shared" si="11"/>
        <v>#DIV/0!</v>
      </c>
      <c r="Q46" s="354"/>
      <c r="X46" s="44"/>
      <c r="Y46" s="44"/>
    </row>
    <row r="47" spans="1:30">
      <c r="A47" s="1361">
        <f t="shared" si="1"/>
        <v>39</v>
      </c>
      <c r="B47" s="273"/>
      <c r="C47" s="273"/>
      <c r="D47" s="273"/>
      <c r="E47" s="273"/>
      <c r="F47" s="273"/>
      <c r="G47" s="273"/>
      <c r="H47" s="1361"/>
      <c r="J47" s="783">
        <v>17</v>
      </c>
      <c r="K47" s="780" t="e">
        <f t="shared" si="12"/>
        <v>#VALUE!</v>
      </c>
      <c r="L47" s="785" t="e">
        <f t="shared" si="13"/>
        <v>#VALUE!</v>
      </c>
      <c r="M47" s="787" t="e">
        <f>L40</f>
        <v>#VALUE!</v>
      </c>
      <c r="N47" s="786" t="e">
        <f>K59</f>
        <v>#N/A</v>
      </c>
      <c r="O47" s="778" t="e">
        <f t="shared" si="10"/>
        <v>#VALUE!</v>
      </c>
      <c r="P47" s="543" t="e">
        <f t="shared" si="11"/>
        <v>#DIV/0!</v>
      </c>
      <c r="Q47" s="354"/>
      <c r="X47" s="44"/>
      <c r="Y47" s="44"/>
    </row>
    <row r="48" spans="1:30">
      <c r="A48" s="1361">
        <f t="shared" si="1"/>
        <v>40</v>
      </c>
      <c r="B48" s="273"/>
      <c r="C48" s="273"/>
      <c r="D48" s="273"/>
      <c r="E48" s="273"/>
      <c r="F48" s="273"/>
      <c r="G48" s="273"/>
      <c r="H48" s="1361"/>
      <c r="J48" s="783">
        <v>18</v>
      </c>
      <c r="K48" s="780" t="e">
        <f t="shared" si="12"/>
        <v>#VALUE!</v>
      </c>
      <c r="L48" s="785" t="e">
        <f t="shared" si="13"/>
        <v>#VALUE!</v>
      </c>
      <c r="M48" s="788" t="e">
        <f>K40</f>
        <v>#VALUE!</v>
      </c>
      <c r="N48" s="786"/>
      <c r="O48" s="778" t="e">
        <f t="shared" si="10"/>
        <v>#VALUE!</v>
      </c>
      <c r="P48" s="543" t="e">
        <f t="shared" si="11"/>
        <v>#DIV/0!</v>
      </c>
      <c r="Q48" s="354"/>
      <c r="X48" s="44"/>
      <c r="Y48" s="44"/>
    </row>
    <row r="49" spans="1:25">
      <c r="A49" s="1361">
        <f t="shared" si="1"/>
        <v>41</v>
      </c>
      <c r="B49" s="273"/>
      <c r="C49" s="273"/>
      <c r="D49" s="273"/>
      <c r="E49" s="273"/>
      <c r="F49" s="273"/>
      <c r="G49" s="273"/>
      <c r="H49" s="1361"/>
      <c r="J49" s="789" t="s">
        <v>1034</v>
      </c>
      <c r="K49" s="790"/>
      <c r="M49" s="787" t="e">
        <f>L41</f>
        <v>#VALUE!</v>
      </c>
      <c r="N49" s="786" t="e">
        <f>K60</f>
        <v>#N/A</v>
      </c>
      <c r="O49" s="778" t="e">
        <f t="shared" si="10"/>
        <v>#VALUE!</v>
      </c>
      <c r="P49" s="543" t="e">
        <f t="shared" si="11"/>
        <v>#DIV/0!</v>
      </c>
      <c r="Q49" s="354"/>
      <c r="X49" s="44"/>
      <c r="Y49" s="44"/>
    </row>
    <row r="50" spans="1:25">
      <c r="A50" s="1361">
        <f t="shared" si="1"/>
        <v>42</v>
      </c>
      <c r="B50" s="273"/>
      <c r="C50" s="273"/>
      <c r="D50" s="273"/>
      <c r="E50" s="273"/>
      <c r="F50" s="273"/>
      <c r="G50" s="273"/>
      <c r="H50" s="1361"/>
      <c r="J50" s="791" t="str">
        <f t="shared" ref="J50:J67" si="14">K31</f>
        <v/>
      </c>
      <c r="K50" s="792" t="e">
        <f t="array" ref="K50:K66">FREQUENCY(B9:G108,J50:J66)</f>
        <v>#N/A</v>
      </c>
      <c r="M50" s="788" t="e">
        <f>K41</f>
        <v>#VALUE!</v>
      </c>
      <c r="N50" s="786"/>
      <c r="O50" s="778" t="e">
        <f t="shared" si="10"/>
        <v>#VALUE!</v>
      </c>
      <c r="P50" s="543" t="e">
        <f t="shared" si="11"/>
        <v>#DIV/0!</v>
      </c>
      <c r="Q50" s="354"/>
      <c r="X50" s="44"/>
      <c r="Y50" s="44"/>
    </row>
    <row r="51" spans="1:25">
      <c r="A51" s="1361">
        <f t="shared" si="1"/>
        <v>43</v>
      </c>
      <c r="B51" s="273"/>
      <c r="C51" s="273"/>
      <c r="D51" s="273"/>
      <c r="E51" s="273"/>
      <c r="F51" s="273"/>
      <c r="G51" s="273"/>
      <c r="H51" s="1361"/>
      <c r="J51" s="791" t="e">
        <f t="shared" si="14"/>
        <v>#VALUE!</v>
      </c>
      <c r="K51" s="793" t="e">
        <v>#N/A</v>
      </c>
      <c r="L51"/>
      <c r="M51" s="787" t="e">
        <f>L42</f>
        <v>#VALUE!</v>
      </c>
      <c r="N51" s="786" t="e">
        <f>K61</f>
        <v>#N/A</v>
      </c>
      <c r="O51" s="778" t="e">
        <f t="shared" si="10"/>
        <v>#VALUE!</v>
      </c>
      <c r="P51" s="543" t="e">
        <f t="shared" si="11"/>
        <v>#DIV/0!</v>
      </c>
      <c r="Q51" s="354"/>
      <c r="X51" s="44"/>
      <c r="Y51" s="44"/>
    </row>
    <row r="52" spans="1:25">
      <c r="A52" s="1361">
        <f t="shared" si="1"/>
        <v>44</v>
      </c>
      <c r="B52" s="273"/>
      <c r="C52" s="273"/>
      <c r="D52" s="273"/>
      <c r="E52" s="273"/>
      <c r="F52" s="273"/>
      <c r="G52" s="273"/>
      <c r="H52" s="1334"/>
      <c r="J52" s="791" t="e">
        <f t="shared" si="14"/>
        <v>#VALUE!</v>
      </c>
      <c r="K52" s="793" t="e">
        <v>#N/A</v>
      </c>
      <c r="L52"/>
      <c r="M52" s="788" t="e">
        <f>K42</f>
        <v>#VALUE!</v>
      </c>
      <c r="N52" s="786"/>
      <c r="O52" s="778" t="e">
        <f t="shared" si="10"/>
        <v>#VALUE!</v>
      </c>
      <c r="P52" s="543" t="e">
        <f t="shared" si="11"/>
        <v>#DIV/0!</v>
      </c>
      <c r="Q52" s="354"/>
      <c r="X52" s="44"/>
      <c r="Y52" s="44"/>
    </row>
    <row r="53" spans="1:25">
      <c r="A53" s="1334">
        <f t="shared" si="1"/>
        <v>45</v>
      </c>
      <c r="B53" s="273"/>
      <c r="C53" s="273"/>
      <c r="D53" s="273"/>
      <c r="E53" s="273"/>
      <c r="F53" s="273"/>
      <c r="G53" s="273"/>
      <c r="H53" s="1334"/>
      <c r="J53" s="791" t="e">
        <f t="shared" si="14"/>
        <v>#VALUE!</v>
      </c>
      <c r="K53" s="793" t="e">
        <v>#N/A</v>
      </c>
      <c r="M53" s="787" t="e">
        <f>L43</f>
        <v>#VALUE!</v>
      </c>
      <c r="N53" s="786" t="e">
        <f>K62</f>
        <v>#N/A</v>
      </c>
      <c r="O53" s="778" t="e">
        <f t="shared" si="10"/>
        <v>#VALUE!</v>
      </c>
      <c r="P53" s="543" t="e">
        <f t="shared" si="11"/>
        <v>#DIV/0!</v>
      </c>
      <c r="Q53" s="354"/>
      <c r="X53" s="44"/>
      <c r="Y53" s="44"/>
    </row>
    <row r="54" spans="1:25">
      <c r="A54" s="1334">
        <f t="shared" si="1"/>
        <v>46</v>
      </c>
      <c r="B54" s="273"/>
      <c r="C54" s="273"/>
      <c r="D54" s="273"/>
      <c r="E54" s="273"/>
      <c r="F54" s="273"/>
      <c r="G54" s="273"/>
      <c r="H54" s="1334"/>
      <c r="J54" s="791" t="e">
        <f t="shared" si="14"/>
        <v>#VALUE!</v>
      </c>
      <c r="K54" s="793" t="e">
        <v>#N/A</v>
      </c>
      <c r="M54" s="788" t="e">
        <f>K43</f>
        <v>#VALUE!</v>
      </c>
      <c r="N54" s="786"/>
      <c r="O54" s="778" t="e">
        <f t="shared" si="10"/>
        <v>#VALUE!</v>
      </c>
      <c r="P54" s="543" t="e">
        <f t="shared" si="11"/>
        <v>#DIV/0!</v>
      </c>
      <c r="Q54" s="354"/>
      <c r="X54" s="44"/>
      <c r="Y54" s="44"/>
    </row>
    <row r="55" spans="1:25">
      <c r="A55" s="1334">
        <f t="shared" si="1"/>
        <v>47</v>
      </c>
      <c r="B55" s="273"/>
      <c r="C55" s="273"/>
      <c r="D55" s="273"/>
      <c r="E55" s="273"/>
      <c r="F55" s="273"/>
      <c r="G55" s="273"/>
      <c r="H55" s="1334"/>
      <c r="J55" s="791" t="e">
        <f t="shared" si="14"/>
        <v>#VALUE!</v>
      </c>
      <c r="K55" s="793" t="e">
        <v>#N/A</v>
      </c>
      <c r="M55" s="787" t="e">
        <f>L44</f>
        <v>#VALUE!</v>
      </c>
      <c r="N55" s="786" t="e">
        <f>K63</f>
        <v>#N/A</v>
      </c>
      <c r="O55" s="778" t="e">
        <f t="shared" si="10"/>
        <v>#VALUE!</v>
      </c>
      <c r="P55" s="543" t="e">
        <f t="shared" si="11"/>
        <v>#DIV/0!</v>
      </c>
      <c r="Q55" s="354"/>
    </row>
    <row r="56" spans="1:25" ht="13.5" thickBot="1">
      <c r="A56" s="1334">
        <f t="shared" si="1"/>
        <v>48</v>
      </c>
      <c r="B56" s="273"/>
      <c r="C56" s="273"/>
      <c r="D56" s="273"/>
      <c r="E56" s="273"/>
      <c r="F56" s="273"/>
      <c r="G56" s="273"/>
      <c r="H56" s="1334"/>
      <c r="J56" s="791" t="e">
        <f t="shared" si="14"/>
        <v>#VALUE!</v>
      </c>
      <c r="K56" s="793" t="e">
        <v>#N/A</v>
      </c>
      <c r="M56" s="788" t="e">
        <f>K44</f>
        <v>#VALUE!</v>
      </c>
      <c r="N56" s="786"/>
      <c r="O56" s="778" t="e">
        <f t="shared" si="10"/>
        <v>#VALUE!</v>
      </c>
      <c r="P56" s="543" t="e">
        <f t="shared" si="11"/>
        <v>#DIV/0!</v>
      </c>
      <c r="Q56" s="354"/>
      <c r="S56"/>
      <c r="T56" s="753">
        <f>'Stability and Capability'!B8</f>
        <v>0</v>
      </c>
      <c r="U56" s="753">
        <f>'Stability and Capability'!C8</f>
        <v>0</v>
      </c>
      <c r="V56" s="753">
        <f>'Stability and Capability'!D8</f>
        <v>0</v>
      </c>
      <c r="W56" s="753">
        <f>'Stability and Capability'!E8</f>
        <v>0</v>
      </c>
      <c r="X56" s="753">
        <f>'Stability and Capability'!F8</f>
        <v>0</v>
      </c>
      <c r="Y56" s="753">
        <f>'Stability and Capability'!G8</f>
        <v>0</v>
      </c>
    </row>
    <row r="57" spans="1:25" ht="13.5" thickTop="1">
      <c r="A57" s="1334">
        <f t="shared" si="1"/>
        <v>49</v>
      </c>
      <c r="B57" s="273"/>
      <c r="C57" s="273"/>
      <c r="D57" s="273"/>
      <c r="E57" s="273"/>
      <c r="F57" s="273"/>
      <c r="G57" s="273"/>
      <c r="H57" s="1334"/>
      <c r="J57" s="791" t="e">
        <f t="shared" si="14"/>
        <v>#VALUE!</v>
      </c>
      <c r="K57" s="793" t="e">
        <v>#N/A</v>
      </c>
      <c r="M57" s="787" t="e">
        <f>L45</f>
        <v>#VALUE!</v>
      </c>
      <c r="N57" s="786" t="e">
        <f>K64</f>
        <v>#N/A</v>
      </c>
      <c r="O57" s="778" t="e">
        <f t="shared" si="10"/>
        <v>#VALUE!</v>
      </c>
      <c r="P57" s="543" t="e">
        <f t="shared" si="11"/>
        <v>#DIV/0!</v>
      </c>
      <c r="Q57" s="354"/>
      <c r="S57" s="794" t="s">
        <v>1013</v>
      </c>
      <c r="T57" s="795" t="e">
        <f>MEDIAN('Stability and Capability'!B9:B63)</f>
        <v>#NUM!</v>
      </c>
      <c r="U57" s="795" t="e">
        <f>MEDIAN('Stability and Capability'!C9:C63)</f>
        <v>#NUM!</v>
      </c>
      <c r="V57" s="795" t="e">
        <f>MEDIAN('Stability and Capability'!D9:D63)</f>
        <v>#NUM!</v>
      </c>
      <c r="W57" s="795" t="e">
        <f>MEDIAN('Stability and Capability'!E9:E63)</f>
        <v>#NUM!</v>
      </c>
      <c r="X57" s="795" t="e">
        <f>MEDIAN('Stability and Capability'!F9:F63)</f>
        <v>#NUM!</v>
      </c>
      <c r="Y57" s="795" t="e">
        <f>MEDIAN('Stability and Capability'!G9:G63)</f>
        <v>#NUM!</v>
      </c>
    </row>
    <row r="58" spans="1:25">
      <c r="A58" s="1334">
        <f t="shared" si="1"/>
        <v>50</v>
      </c>
      <c r="B58" s="273"/>
      <c r="C58" s="273"/>
      <c r="D58" s="273"/>
      <c r="E58" s="273"/>
      <c r="F58" s="273"/>
      <c r="G58" s="273"/>
      <c r="H58" s="1334"/>
      <c r="J58" s="791" t="e">
        <f t="shared" si="14"/>
        <v>#VALUE!</v>
      </c>
      <c r="K58" s="793" t="e">
        <v>#N/A</v>
      </c>
      <c r="M58" s="788" t="e">
        <f>K45</f>
        <v>#VALUE!</v>
      </c>
      <c r="N58" s="786"/>
      <c r="O58" s="778" t="e">
        <f t="shared" si="10"/>
        <v>#VALUE!</v>
      </c>
      <c r="P58" s="543" t="e">
        <f t="shared" si="11"/>
        <v>#DIV/0!</v>
      </c>
      <c r="Q58" s="354"/>
      <c r="S58" s="796" t="s">
        <v>1015</v>
      </c>
      <c r="T58" s="797">
        <f>'Stability and Capability'!B117</f>
        <v>0</v>
      </c>
      <c r="U58" s="797">
        <f>'Stability and Capability'!C117</f>
        <v>0</v>
      </c>
      <c r="V58" s="797">
        <f>'Stability and Capability'!D117</f>
        <v>0</v>
      </c>
      <c r="W58" s="797">
        <f>'Stability and Capability'!E117</f>
        <v>0</v>
      </c>
      <c r="X58" s="797">
        <f>'Stability and Capability'!F117</f>
        <v>0</v>
      </c>
      <c r="Y58" s="797">
        <f>'Stability and Capability'!G117</f>
        <v>0</v>
      </c>
    </row>
    <row r="59" spans="1:25">
      <c r="A59" s="1334">
        <f t="shared" si="1"/>
        <v>51</v>
      </c>
      <c r="B59" s="273"/>
      <c r="C59" s="273"/>
      <c r="D59" s="273"/>
      <c r="E59" s="273"/>
      <c r="F59" s="273"/>
      <c r="G59" s="273"/>
      <c r="H59" s="1334"/>
      <c r="J59" s="791" t="e">
        <f t="shared" si="14"/>
        <v>#VALUE!</v>
      </c>
      <c r="K59" s="793" t="e">
        <v>#N/A</v>
      </c>
      <c r="M59" s="787" t="e">
        <f>L46</f>
        <v>#VALUE!</v>
      </c>
      <c r="N59" s="786" t="e">
        <f>K65</f>
        <v>#N/A</v>
      </c>
      <c r="O59" s="778" t="e">
        <f t="shared" si="10"/>
        <v>#VALUE!</v>
      </c>
      <c r="P59" s="543" t="e">
        <f t="shared" si="11"/>
        <v>#DIV/0!</v>
      </c>
      <c r="Q59" s="354"/>
      <c r="S59" s="798">
        <v>0.75</v>
      </c>
      <c r="T59" s="797" t="e">
        <f>'Stability and Capability'!B116</f>
        <v>#NUM!</v>
      </c>
      <c r="U59" s="797" t="e">
        <f>'Stability and Capability'!C116</f>
        <v>#NUM!</v>
      </c>
      <c r="V59" s="797" t="e">
        <f>'Stability and Capability'!D116</f>
        <v>#NUM!</v>
      </c>
      <c r="W59" s="797" t="e">
        <f>'Stability and Capability'!E116</f>
        <v>#NUM!</v>
      </c>
      <c r="X59" s="797" t="e">
        <f>'Stability and Capability'!F116</f>
        <v>#NUM!</v>
      </c>
      <c r="Y59" s="797" t="e">
        <f>'Stability and Capability'!G116</f>
        <v>#NUM!</v>
      </c>
    </row>
    <row r="60" spans="1:25">
      <c r="A60" s="1334">
        <f t="shared" si="1"/>
        <v>52</v>
      </c>
      <c r="B60" s="273"/>
      <c r="C60" s="273"/>
      <c r="D60" s="273"/>
      <c r="E60" s="273"/>
      <c r="F60" s="273"/>
      <c r="G60" s="273"/>
      <c r="H60" s="1334"/>
      <c r="J60" s="791" t="e">
        <f t="shared" si="14"/>
        <v>#VALUE!</v>
      </c>
      <c r="K60" s="793" t="e">
        <v>#N/A</v>
      </c>
      <c r="M60" s="788" t="e">
        <f>K46</f>
        <v>#VALUE!</v>
      </c>
      <c r="N60" s="786"/>
      <c r="O60" s="778" t="e">
        <f t="shared" si="10"/>
        <v>#VALUE!</v>
      </c>
      <c r="P60" s="543" t="e">
        <f t="shared" si="11"/>
        <v>#DIV/0!</v>
      </c>
      <c r="Q60" s="354"/>
      <c r="S60" s="798">
        <v>0.25</v>
      </c>
      <c r="T60" s="797" t="e">
        <f>'Stability and Capability'!B112</f>
        <v>#NUM!</v>
      </c>
      <c r="U60" s="797" t="e">
        <f>'Stability and Capability'!C112</f>
        <v>#NUM!</v>
      </c>
      <c r="V60" s="797" t="e">
        <f>'Stability and Capability'!D112</f>
        <v>#NUM!</v>
      </c>
      <c r="W60" s="797" t="e">
        <f>'Stability and Capability'!E112</f>
        <v>#NUM!</v>
      </c>
      <c r="X60" s="797" t="e">
        <f>'Stability and Capability'!F112</f>
        <v>#NUM!</v>
      </c>
      <c r="Y60" s="797" t="e">
        <f>'Stability and Capability'!G112</f>
        <v>#NUM!</v>
      </c>
    </row>
    <row r="61" spans="1:25">
      <c r="A61" s="1334">
        <f t="shared" si="1"/>
        <v>53</v>
      </c>
      <c r="B61" s="273"/>
      <c r="C61" s="273"/>
      <c r="D61" s="273"/>
      <c r="E61" s="273"/>
      <c r="F61" s="273"/>
      <c r="G61" s="273"/>
      <c r="H61" s="1334"/>
      <c r="J61" s="791" t="e">
        <f t="shared" si="14"/>
        <v>#VALUE!</v>
      </c>
      <c r="K61" s="793" t="e">
        <v>#N/A</v>
      </c>
      <c r="M61" s="787" t="e">
        <f>L47</f>
        <v>#VALUE!</v>
      </c>
      <c r="N61" s="786" t="e">
        <f>K66</f>
        <v>#N/A</v>
      </c>
      <c r="O61" s="778" t="e">
        <f t="shared" si="10"/>
        <v>#VALUE!</v>
      </c>
      <c r="P61" s="543" t="e">
        <f t="shared" si="11"/>
        <v>#DIV/0!</v>
      </c>
      <c r="Q61" s="354"/>
      <c r="S61" s="796" t="s">
        <v>1019</v>
      </c>
      <c r="T61" s="797">
        <f>'Stability and Capability'!B111</f>
        <v>0</v>
      </c>
      <c r="U61" s="797">
        <f>'Stability and Capability'!C111</f>
        <v>0</v>
      </c>
      <c r="V61" s="797">
        <f>'Stability and Capability'!D111</f>
        <v>0</v>
      </c>
      <c r="W61" s="797">
        <f>'Stability and Capability'!E111</f>
        <v>0</v>
      </c>
      <c r="X61" s="797">
        <f>'Stability and Capability'!F111</f>
        <v>0</v>
      </c>
      <c r="Y61" s="797">
        <f>'Stability and Capability'!G111</f>
        <v>0</v>
      </c>
    </row>
    <row r="62" spans="1:25">
      <c r="A62" s="1334">
        <f t="shared" si="1"/>
        <v>54</v>
      </c>
      <c r="B62" s="273"/>
      <c r="C62" s="273"/>
      <c r="D62" s="273"/>
      <c r="E62" s="273"/>
      <c r="F62" s="273"/>
      <c r="G62" s="273"/>
      <c r="H62"/>
      <c r="J62" s="791" t="e">
        <f t="shared" si="14"/>
        <v>#VALUE!</v>
      </c>
      <c r="K62" s="793" t="e">
        <v>#N/A</v>
      </c>
      <c r="M62" s="788" t="e">
        <f>K47</f>
        <v>#VALUE!</v>
      </c>
      <c r="N62" s="49"/>
      <c r="O62" s="778" t="e">
        <f t="shared" si="10"/>
        <v>#VALUE!</v>
      </c>
      <c r="P62" s="543" t="e">
        <f t="shared" si="11"/>
        <v>#DIV/0!</v>
      </c>
      <c r="Q62" s="354"/>
      <c r="S62" s="796" t="s">
        <v>195</v>
      </c>
      <c r="T62" s="799" t="e">
        <f>AVERAGE('Stability and Capability'!B9:B63)</f>
        <v>#DIV/0!</v>
      </c>
      <c r="U62" s="799" t="e">
        <f>AVERAGE('Stability and Capability'!C9:C63)</f>
        <v>#DIV/0!</v>
      </c>
      <c r="V62" s="799" t="e">
        <f>AVERAGE('Stability and Capability'!D9:D63)</f>
        <v>#DIV/0!</v>
      </c>
      <c r="W62" s="799" t="e">
        <f>AVERAGE('Stability and Capability'!E9:E63)</f>
        <v>#DIV/0!</v>
      </c>
      <c r="X62" s="799" t="e">
        <f>AVERAGE('Stability and Capability'!F9:F63)</f>
        <v>#DIV/0!</v>
      </c>
      <c r="Y62" s="799" t="e">
        <f>AVERAGE('Stability and Capability'!G9:G63)</f>
        <v>#DIV/0!</v>
      </c>
    </row>
    <row r="63" spans="1:25">
      <c r="A63">
        <f t="shared" si="1"/>
        <v>55</v>
      </c>
      <c r="B63" s="273"/>
      <c r="C63" s="273"/>
      <c r="D63" s="273"/>
      <c r="E63" s="273"/>
      <c r="F63" s="273"/>
      <c r="G63" s="273"/>
      <c r="H63"/>
      <c r="J63" s="791" t="e">
        <f t="shared" si="14"/>
        <v>#VALUE!</v>
      </c>
      <c r="K63" s="793" t="e">
        <v>#N/A</v>
      </c>
      <c r="M63" s="787" t="e">
        <f>L48</f>
        <v>#VALUE!</v>
      </c>
      <c r="N63" s="49"/>
      <c r="O63" s="778" t="e">
        <f t="shared" si="10"/>
        <v>#VALUE!</v>
      </c>
      <c r="P63" s="543" t="e">
        <f t="shared" si="11"/>
        <v>#DIV/0!</v>
      </c>
      <c r="Q63" s="354"/>
      <c r="S63" s="800" t="s">
        <v>555</v>
      </c>
      <c r="T63" s="799" t="e">
        <f>STDEV('Stability and Capability'!B9:B63)</f>
        <v>#DIV/0!</v>
      </c>
      <c r="U63" s="799" t="e">
        <f>STDEV('Stability and Capability'!C9:C63)</f>
        <v>#DIV/0!</v>
      </c>
      <c r="V63" s="799" t="e">
        <f>STDEV('Stability and Capability'!D9:D63)</f>
        <v>#DIV/0!</v>
      </c>
      <c r="W63" s="799" t="e">
        <f>STDEV('Stability and Capability'!E9:E63)</f>
        <v>#DIV/0!</v>
      </c>
      <c r="X63" s="799" t="e">
        <f>STDEV('Stability and Capability'!F9:F63)</f>
        <v>#DIV/0!</v>
      </c>
      <c r="Y63" s="799" t="e">
        <f>STDEV('Stability and Capability'!G9:G63)</f>
        <v>#DIV/0!</v>
      </c>
    </row>
    <row r="64" spans="1:25">
      <c r="A64">
        <f t="shared" si="1"/>
        <v>56</v>
      </c>
      <c r="B64" s="273"/>
      <c r="C64" s="273"/>
      <c r="D64" s="273"/>
      <c r="E64" s="273"/>
      <c r="F64" s="273"/>
      <c r="G64" s="273"/>
      <c r="H64"/>
      <c r="J64" s="791" t="e">
        <f t="shared" si="14"/>
        <v>#VALUE!</v>
      </c>
      <c r="K64" s="793" t="e">
        <v>#N/A</v>
      </c>
      <c r="M64" s="788" t="e">
        <f>K48</f>
        <v>#VALUE!</v>
      </c>
      <c r="N64" s="786"/>
      <c r="O64" s="778" t="e">
        <f t="shared" si="10"/>
        <v>#VALUE!</v>
      </c>
      <c r="P64" s="543" t="e">
        <f t="shared" si="11"/>
        <v>#DIV/0!</v>
      </c>
      <c r="Q64" s="354"/>
    </row>
    <row r="65" spans="1:28">
      <c r="A65">
        <f t="shared" si="1"/>
        <v>57</v>
      </c>
      <c r="B65" s="273"/>
      <c r="C65" s="273"/>
      <c r="D65" s="273"/>
      <c r="E65" s="273"/>
      <c r="F65" s="273"/>
      <c r="G65" s="273"/>
      <c r="H65"/>
      <c r="J65" s="791" t="e">
        <f t="shared" si="14"/>
        <v>#VALUE!</v>
      </c>
      <c r="K65" s="793" t="e">
        <v>#N/A</v>
      </c>
      <c r="N65" s="99" t="e">
        <f>SUM(N30:N64)</f>
        <v>#N/A</v>
      </c>
      <c r="O65" s="354"/>
      <c r="Q65" s="354"/>
    </row>
    <row r="66" spans="1:28">
      <c r="A66">
        <f t="shared" si="1"/>
        <v>58</v>
      </c>
      <c r="B66" s="273"/>
      <c r="C66" s="273"/>
      <c r="D66" s="273"/>
      <c r="E66" s="273"/>
      <c r="F66" s="273"/>
      <c r="G66" s="273"/>
      <c r="H66"/>
      <c r="J66" s="791" t="e">
        <f t="shared" si="14"/>
        <v>#VALUE!</v>
      </c>
      <c r="K66" s="793" t="e">
        <v>#N/A</v>
      </c>
      <c r="N66" s="99"/>
      <c r="O66" s="354"/>
      <c r="Q66" s="354"/>
    </row>
    <row r="67" spans="1:28">
      <c r="A67">
        <f t="shared" si="1"/>
        <v>59</v>
      </c>
      <c r="B67" s="273"/>
      <c r="C67" s="273"/>
      <c r="D67" s="273"/>
      <c r="E67" s="273"/>
      <c r="F67" s="273"/>
      <c r="G67" s="273"/>
      <c r="H67"/>
      <c r="J67" s="791" t="e">
        <f t="shared" si="14"/>
        <v>#VALUE!</v>
      </c>
      <c r="K67" s="793"/>
      <c r="N67" s="99"/>
      <c r="O67" s="354"/>
      <c r="Q67" s="354"/>
    </row>
    <row r="68" spans="1:28">
      <c r="A68">
        <f t="shared" si="1"/>
        <v>60</v>
      </c>
      <c r="B68" s="273"/>
      <c r="C68" s="273"/>
      <c r="D68" s="273"/>
      <c r="E68" s="273"/>
      <c r="F68" s="273"/>
      <c r="G68" s="273"/>
      <c r="H68"/>
      <c r="J68" s="801" t="s">
        <v>1037</v>
      </c>
      <c r="K68" s="793" t="e">
        <f>SUM(K50:K66)</f>
        <v>#N/A</v>
      </c>
      <c r="L68" s="43" t="e">
        <f>IF(K68=n,"","Not all data accounted for!")</f>
        <v>#N/A</v>
      </c>
      <c r="N68" s="99"/>
      <c r="O68" s="354"/>
      <c r="Q68" s="354"/>
    </row>
    <row r="69" spans="1:28">
      <c r="A69">
        <f t="shared" si="1"/>
        <v>61</v>
      </c>
      <c r="B69" s="273"/>
      <c r="C69" s="273"/>
      <c r="D69" s="273"/>
      <c r="E69" s="273"/>
      <c r="F69" s="273"/>
      <c r="G69" s="273"/>
      <c r="H69"/>
      <c r="J69" s="801" t="s">
        <v>1038</v>
      </c>
      <c r="K69" s="793" t="e">
        <f>MAX(K50:K67)+2</f>
        <v>#N/A</v>
      </c>
      <c r="N69" s="99"/>
      <c r="O69" s="354"/>
      <c r="Q69" s="354"/>
    </row>
    <row r="70" spans="1:28">
      <c r="A70">
        <f t="shared" si="1"/>
        <v>62</v>
      </c>
      <c r="B70" s="273"/>
      <c r="C70" s="273"/>
      <c r="D70" s="273"/>
      <c r="E70" s="273"/>
      <c r="F70" s="273"/>
      <c r="G70" s="273"/>
      <c r="H70"/>
      <c r="N70" s="99"/>
      <c r="O70" s="354"/>
      <c r="Q70" s="354"/>
      <c r="T70"/>
      <c r="U70"/>
      <c r="V70"/>
      <c r="W70"/>
      <c r="X70"/>
      <c r="Y70"/>
      <c r="Z70"/>
      <c r="AA70"/>
      <c r="AB70"/>
    </row>
    <row r="71" spans="1:28">
      <c r="A71">
        <f t="shared" si="1"/>
        <v>63</v>
      </c>
      <c r="B71" s="273"/>
      <c r="C71" s="273"/>
      <c r="D71" s="273"/>
      <c r="E71" s="273"/>
      <c r="F71" s="273"/>
      <c r="G71" s="273"/>
      <c r="H71"/>
      <c r="L71" s="1557" t="s">
        <v>1039</v>
      </c>
      <c r="M71" s="1558"/>
      <c r="N71" s="1558"/>
      <c r="O71" s="1558"/>
      <c r="P71" s="1559"/>
      <c r="Q71" s="354"/>
      <c r="T71"/>
      <c r="U71"/>
      <c r="V71"/>
      <c r="W71"/>
      <c r="X71"/>
      <c r="Y71"/>
      <c r="Z71"/>
      <c r="AA71"/>
      <c r="AB71"/>
    </row>
    <row r="72" spans="1:28" ht="15" thickBot="1">
      <c r="A72">
        <f t="shared" si="1"/>
        <v>64</v>
      </c>
      <c r="B72" s="273"/>
      <c r="C72" s="273"/>
      <c r="D72" s="273"/>
      <c r="E72" s="273"/>
      <c r="F72" s="273"/>
      <c r="G72" s="273"/>
      <c r="H72"/>
      <c r="J72"/>
      <c r="K72"/>
      <c r="L72" s="802" t="s">
        <v>201</v>
      </c>
      <c r="M72" s="802" t="s">
        <v>1018</v>
      </c>
      <c r="N72" s="803" t="s">
        <v>678</v>
      </c>
      <c r="O72" s="804" t="s">
        <v>1056</v>
      </c>
      <c r="P72" s="804" t="s">
        <v>1057</v>
      </c>
      <c r="Q72" s="354"/>
      <c r="T72"/>
      <c r="U72"/>
      <c r="V72"/>
      <c r="W72"/>
      <c r="X72"/>
      <c r="Y72"/>
      <c r="Z72"/>
      <c r="AA72"/>
      <c r="AB72"/>
    </row>
    <row r="73" spans="1:28" ht="13.5" thickTop="1">
      <c r="A73">
        <f t="shared" si="1"/>
        <v>65</v>
      </c>
      <c r="B73" s="273"/>
      <c r="C73" s="273"/>
      <c r="D73" s="273"/>
      <c r="E73" s="273"/>
      <c r="F73" s="273"/>
      <c r="G73" s="273"/>
      <c r="H73"/>
      <c r="J73"/>
      <c r="K73"/>
      <c r="L73" s="805" t="e">
        <f>AVERAGE(B9:G108)</f>
        <v>#DIV/0!</v>
      </c>
      <c r="M73" s="805" t="e">
        <f>STDEV(B9:G108)</f>
        <v>#DIV/0!</v>
      </c>
      <c r="N73" s="806" t="e">
        <f>(USL-LSL)/(6*M73)</f>
        <v>#DIV/0!</v>
      </c>
      <c r="O73" s="806" t="e">
        <f>(L73-LSL)/(3*M73)</f>
        <v>#DIV/0!</v>
      </c>
      <c r="P73" s="806" t="e">
        <f>(USL-L73)/(3*M73)</f>
        <v>#DIV/0!</v>
      </c>
      <c r="Q73" s="354"/>
      <c r="T73"/>
      <c r="U73"/>
      <c r="V73"/>
      <c r="W73"/>
      <c r="X73"/>
      <c r="Y73"/>
      <c r="Z73"/>
      <c r="AA73"/>
      <c r="AB73"/>
    </row>
    <row r="74" spans="1:28">
      <c r="A74">
        <f t="shared" si="1"/>
        <v>66</v>
      </c>
      <c r="B74" s="273"/>
      <c r="C74" s="273"/>
      <c r="D74" s="273"/>
      <c r="E74" s="273"/>
      <c r="F74" s="273"/>
      <c r="G74" s="273"/>
      <c r="H74"/>
      <c r="J74" s="385"/>
      <c r="K74" s="385"/>
      <c r="L74" s="385"/>
      <c r="M74" s="385"/>
      <c r="N74" s="349"/>
      <c r="O74" s="349"/>
      <c r="P74" s="349"/>
      <c r="Q74" s="354"/>
      <c r="T74"/>
      <c r="U74"/>
      <c r="V74"/>
      <c r="W74"/>
      <c r="X74"/>
      <c r="Y74"/>
      <c r="Z74"/>
      <c r="AA74"/>
      <c r="AB74"/>
    </row>
    <row r="75" spans="1:28">
      <c r="A75">
        <f t="shared" si="1"/>
        <v>67</v>
      </c>
      <c r="B75" s="273"/>
      <c r="C75" s="273"/>
      <c r="D75" s="273"/>
      <c r="E75" s="273"/>
      <c r="F75" s="273"/>
      <c r="G75" s="273"/>
      <c r="H75"/>
      <c r="J75" s="385"/>
      <c r="K75" s="385"/>
      <c r="L75" s="385"/>
      <c r="M75" s="385"/>
      <c r="N75" s="349"/>
      <c r="O75" s="807" t="s">
        <v>679</v>
      </c>
      <c r="P75" s="808" t="e">
        <f>IF(LSL=0,P73,IF(datamax&lt;K$2,O73,IF(datamin&gt;K$2,P73,IF(AND(O73&gt;2.75,P73&gt;2.75),MIN(O73:P73),IF((NORMSINV(1-(((1-NORMSDIST(3*O73))*10^6+(1-NORMSDIST(3*P73))*10^6)/10^6)))/3&gt;6,MIN(O73:P73),(NORMSINV(1-(((1-NORMSDIST(3*O73))*10^6+(1-NORMSDIST(3*P73))*10^6)/10^6)))/3)))))</f>
        <v>#DIV/0!</v>
      </c>
      <c r="Q75" s="354"/>
      <c r="T75"/>
      <c r="U75"/>
      <c r="V75"/>
      <c r="W75"/>
      <c r="X75"/>
      <c r="Y75"/>
      <c r="Z75"/>
      <c r="AA75"/>
      <c r="AB75"/>
    </row>
    <row r="76" spans="1:28">
      <c r="A76">
        <f t="shared" si="1"/>
        <v>68</v>
      </c>
      <c r="B76" s="273"/>
      <c r="C76" s="273"/>
      <c r="D76" s="273"/>
      <c r="E76" s="273"/>
      <c r="F76" s="273"/>
      <c r="G76" s="273"/>
      <c r="H76"/>
      <c r="J76" s="385"/>
      <c r="K76" s="401"/>
      <c r="L76" s="385"/>
      <c r="M76" s="385"/>
      <c r="N76" s="349"/>
      <c r="O76" s="1564" t="s">
        <v>687</v>
      </c>
      <c r="P76" s="1564"/>
      <c r="Q76" s="354"/>
      <c r="T76"/>
      <c r="U76"/>
      <c r="V76"/>
      <c r="W76"/>
      <c r="X76"/>
      <c r="Y76"/>
      <c r="Z76"/>
      <c r="AA76"/>
      <c r="AB76"/>
    </row>
    <row r="77" spans="1:28">
      <c r="A77">
        <f t="shared" si="1"/>
        <v>69</v>
      </c>
      <c r="B77" s="273"/>
      <c r="C77" s="273"/>
      <c r="D77" s="273"/>
      <c r="E77" s="273"/>
      <c r="F77" s="273"/>
      <c r="G77" s="273"/>
      <c r="H77"/>
      <c r="J77" s="385"/>
      <c r="K77" s="401"/>
      <c r="L77" s="385"/>
      <c r="M77" s="385"/>
      <c r="N77" s="349"/>
      <c r="O77" s="807" t="s">
        <v>680</v>
      </c>
      <c r="P77" s="808" t="str">
        <f>IF(LSL=0,"N/A",IF(N73&gt;1.7,N73,NORMSINV(1-((2*(1-NORMSDIST(3*N73))*10^6)/10^6))/3))</f>
        <v>N/A</v>
      </c>
      <c r="Q77" s="354"/>
      <c r="T77"/>
      <c r="U77"/>
      <c r="V77"/>
      <c r="W77"/>
      <c r="X77"/>
      <c r="Y77"/>
      <c r="Z77"/>
      <c r="AA77"/>
      <c r="AB77"/>
    </row>
    <row r="78" spans="1:28">
      <c r="A78">
        <f t="shared" si="1"/>
        <v>70</v>
      </c>
      <c r="B78" s="273"/>
      <c r="C78" s="273"/>
      <c r="D78" s="273"/>
      <c r="E78" s="273"/>
      <c r="F78" s="273"/>
      <c r="G78" s="273"/>
      <c r="H78"/>
      <c r="J78" s="385"/>
      <c r="K78" s="401"/>
      <c r="L78" s="385"/>
      <c r="M78" s="385"/>
      <c r="N78" s="349"/>
      <c r="O78" s="1565" t="s">
        <v>688</v>
      </c>
      <c r="P78" s="1565"/>
      <c r="Q78" s="354"/>
      <c r="T78"/>
      <c r="U78"/>
      <c r="V78"/>
      <c r="W78"/>
      <c r="X78"/>
      <c r="Y78"/>
      <c r="Z78"/>
      <c r="AA78"/>
      <c r="AB78"/>
    </row>
    <row r="79" spans="1:28">
      <c r="A79">
        <f t="shared" si="1"/>
        <v>71</v>
      </c>
      <c r="B79" s="273"/>
      <c r="C79" s="273"/>
      <c r="D79" s="273"/>
      <c r="E79" s="273"/>
      <c r="F79" s="273"/>
      <c r="G79" s="273"/>
      <c r="H79"/>
      <c r="T79"/>
      <c r="U79"/>
      <c r="V79"/>
      <c r="W79"/>
      <c r="X79"/>
      <c r="Y79"/>
      <c r="Z79"/>
      <c r="AA79"/>
      <c r="AB79"/>
    </row>
    <row r="80" spans="1:28">
      <c r="A80">
        <f t="shared" si="1"/>
        <v>72</v>
      </c>
      <c r="B80" s="273"/>
      <c r="C80" s="273"/>
      <c r="D80" s="273"/>
      <c r="E80" s="273"/>
      <c r="F80" s="273"/>
      <c r="G80" s="273"/>
      <c r="H80"/>
      <c r="J80" s="44"/>
      <c r="L80" s="1557" t="s">
        <v>1040</v>
      </c>
      <c r="M80" s="1558"/>
      <c r="N80" s="1558"/>
      <c r="O80" s="1558"/>
      <c r="P80" s="1559"/>
      <c r="T80"/>
      <c r="U80"/>
      <c r="V80"/>
      <c r="W80"/>
      <c r="X80"/>
      <c r="Y80"/>
      <c r="Z80"/>
      <c r="AA80"/>
      <c r="AB80"/>
    </row>
    <row r="81" spans="1:28" ht="15" thickBot="1">
      <c r="A81">
        <f t="shared" si="1"/>
        <v>73</v>
      </c>
      <c r="B81" s="273"/>
      <c r="C81" s="273"/>
      <c r="D81" s="273"/>
      <c r="E81" s="273"/>
      <c r="F81" s="273"/>
      <c r="G81" s="273"/>
      <c r="H81"/>
      <c r="L81" s="804" t="s">
        <v>460</v>
      </c>
      <c r="M81" s="804" t="s">
        <v>1041</v>
      </c>
      <c r="N81" s="804" t="s">
        <v>678</v>
      </c>
      <c r="O81" s="804" t="s">
        <v>1056</v>
      </c>
      <c r="P81" s="804" t="s">
        <v>1057</v>
      </c>
      <c r="T81"/>
      <c r="U81"/>
      <c r="V81"/>
      <c r="W81"/>
      <c r="X81"/>
      <c r="Y81"/>
      <c r="Z81"/>
      <c r="AA81"/>
      <c r="AB81"/>
    </row>
    <row r="82" spans="1:28" ht="13.5" thickTop="1">
      <c r="A82">
        <f t="shared" ref="A82:A108" si="15">A81+1</f>
        <v>74</v>
      </c>
      <c r="B82" s="273"/>
      <c r="C82" s="273"/>
      <c r="D82" s="273"/>
      <c r="E82" s="273"/>
      <c r="F82" s="273"/>
      <c r="G82" s="273"/>
      <c r="H82"/>
      <c r="L82" s="809">
        <f>(datamin+datamax)/2</f>
        <v>0</v>
      </c>
      <c r="M82" s="809">
        <f>((n+1)/(2*(n-1)))*L15</f>
        <v>0</v>
      </c>
      <c r="N82" s="809" t="e">
        <f>ROUND((USL-LSL)/(2*M82),2)</f>
        <v>#DIV/0!</v>
      </c>
      <c r="O82" s="809" t="e">
        <f>ROUND((L82-LSL)/M82,2)</f>
        <v>#DIV/0!</v>
      </c>
      <c r="P82" s="809" t="e">
        <f>ROUND((USL-L82)/M82,2)</f>
        <v>#DIV/0!</v>
      </c>
      <c r="T82"/>
      <c r="U82"/>
      <c r="V82"/>
      <c r="W82"/>
      <c r="X82"/>
      <c r="Y82"/>
      <c r="Z82"/>
      <c r="AA82"/>
      <c r="AB82"/>
    </row>
    <row r="83" spans="1:28">
      <c r="A83">
        <f t="shared" si="15"/>
        <v>75</v>
      </c>
      <c r="B83" s="273"/>
      <c r="C83" s="273"/>
      <c r="D83" s="273"/>
      <c r="E83" s="273"/>
      <c r="F83" s="273"/>
      <c r="G83" s="273"/>
      <c r="H83"/>
      <c r="J83" s="44"/>
      <c r="T83"/>
      <c r="U83"/>
      <c r="V83"/>
      <c r="W83"/>
      <c r="X83"/>
      <c r="Y83"/>
      <c r="Z83"/>
      <c r="AA83"/>
      <c r="AB83"/>
    </row>
    <row r="84" spans="1:28">
      <c r="A84">
        <f t="shared" si="15"/>
        <v>76</v>
      </c>
      <c r="B84" s="273"/>
      <c r="C84" s="273"/>
      <c r="D84" s="273"/>
      <c r="E84" s="273"/>
      <c r="F84" s="273"/>
      <c r="G84" s="273"/>
      <c r="H84"/>
      <c r="J84" s="44"/>
      <c r="O84" s="807" t="s">
        <v>679</v>
      </c>
      <c r="P84" s="808" t="e">
        <f>IF(LSL=0,P82,IF(datamax&lt;K$2,O82,IF(datamin&gt;K$2,P82,IF(AND(O82&gt;2.75,P82&gt;2.75),MIN(O82:P82),IF((NORMSINV(1-(((1-NORMSDIST(3*O82))*10^6+(1-NORMSDIST(3*P82))*10^6)/10^6)))/3&gt;6,MIN(O82:P82),(NORMSINV(1-(((1-NORMSDIST(3*O82))*10^6+(1-NORMSDIST(3*P82))*10^6)/10^6)))/3)))))</f>
        <v>#DIV/0!</v>
      </c>
      <c r="Q84" s="188"/>
      <c r="T84"/>
      <c r="U84"/>
      <c r="V84"/>
      <c r="W84"/>
      <c r="X84"/>
      <c r="Y84"/>
      <c r="Z84"/>
      <c r="AA84"/>
      <c r="AB84"/>
    </row>
    <row r="85" spans="1:28">
      <c r="A85">
        <f t="shared" si="15"/>
        <v>77</v>
      </c>
      <c r="B85" s="273"/>
      <c r="C85" s="273"/>
      <c r="D85" s="273"/>
      <c r="E85" s="273"/>
      <c r="F85" s="273"/>
      <c r="G85" s="273"/>
      <c r="H85"/>
      <c r="J85" s="44"/>
      <c r="O85" s="1564" t="s">
        <v>687</v>
      </c>
      <c r="P85" s="1564"/>
      <c r="T85"/>
      <c r="U85"/>
      <c r="V85"/>
      <c r="W85"/>
      <c r="X85"/>
      <c r="Y85"/>
      <c r="Z85"/>
      <c r="AA85"/>
      <c r="AB85"/>
    </row>
    <row r="86" spans="1:28">
      <c r="A86">
        <f t="shared" si="15"/>
        <v>78</v>
      </c>
      <c r="B86" s="273"/>
      <c r="C86" s="273"/>
      <c r="D86" s="273"/>
      <c r="E86" s="273"/>
      <c r="F86" s="273"/>
      <c r="G86" s="273"/>
      <c r="H86"/>
      <c r="J86" s="44"/>
      <c r="O86" s="807" t="s">
        <v>680</v>
      </c>
      <c r="P86" s="808" t="str">
        <f>IF(LSL=0,"N/A",IF(N82&gt;1.7,N82,NORMSINV(1-((2*(1-NORMSDIST(3*N82))*10^6)/10^6))/3))</f>
        <v>N/A</v>
      </c>
      <c r="Q86" s="408"/>
      <c r="T86"/>
      <c r="U86"/>
      <c r="V86"/>
      <c r="W86"/>
      <c r="X86"/>
      <c r="Y86"/>
      <c r="Z86"/>
      <c r="AA86"/>
      <c r="AB86"/>
    </row>
    <row r="87" spans="1:28">
      <c r="A87">
        <f t="shared" si="15"/>
        <v>79</v>
      </c>
      <c r="B87" s="273"/>
      <c r="C87" s="273"/>
      <c r="D87" s="273"/>
      <c r="E87" s="273"/>
      <c r="F87" s="273"/>
      <c r="G87" s="273"/>
      <c r="H87"/>
      <c r="J87" s="44"/>
      <c r="O87" s="1565" t="s">
        <v>688</v>
      </c>
      <c r="P87" s="1565"/>
      <c r="T87"/>
      <c r="U87"/>
      <c r="V87"/>
      <c r="W87"/>
      <c r="X87"/>
      <c r="Y87"/>
      <c r="Z87"/>
      <c r="AA87"/>
      <c r="AB87"/>
    </row>
    <row r="88" spans="1:28">
      <c r="A88">
        <f t="shared" si="15"/>
        <v>80</v>
      </c>
      <c r="B88" s="273"/>
      <c r="C88" s="273"/>
      <c r="D88" s="273"/>
      <c r="E88" s="273"/>
      <c r="F88" s="273"/>
      <c r="G88" s="273"/>
      <c r="H88"/>
      <c r="J88" s="44"/>
      <c r="T88"/>
      <c r="U88"/>
      <c r="V88"/>
      <c r="W88"/>
      <c r="X88"/>
      <c r="Y88"/>
      <c r="Z88"/>
      <c r="AA88"/>
      <c r="AB88"/>
    </row>
    <row r="89" spans="1:28">
      <c r="A89">
        <f t="shared" si="15"/>
        <v>81</v>
      </c>
      <c r="B89" s="273"/>
      <c r="C89" s="273"/>
      <c r="D89" s="273"/>
      <c r="E89" s="273"/>
      <c r="F89" s="273"/>
      <c r="G89" s="273"/>
      <c r="H89"/>
      <c r="J89" s="44"/>
      <c r="L89" s="1557" t="s">
        <v>1042</v>
      </c>
      <c r="M89" s="1558"/>
      <c r="N89" s="1558"/>
      <c r="O89" s="1558"/>
      <c r="P89" s="1559"/>
      <c r="T89"/>
      <c r="U89"/>
      <c r="V89"/>
      <c r="W89"/>
      <c r="X89"/>
      <c r="Y89"/>
      <c r="Z89"/>
      <c r="AA89"/>
      <c r="AB89"/>
    </row>
    <row r="90" spans="1:28" ht="13.5" thickBot="1">
      <c r="A90">
        <f t="shared" si="15"/>
        <v>82</v>
      </c>
      <c r="B90" s="273"/>
      <c r="C90" s="273"/>
      <c r="D90" s="273"/>
      <c r="E90" s="273"/>
      <c r="F90" s="273"/>
      <c r="G90" s="273"/>
      <c r="H90"/>
      <c r="J90" s="44"/>
      <c r="L90" s="804" t="s">
        <v>201</v>
      </c>
      <c r="M90" s="804" t="s">
        <v>1018</v>
      </c>
      <c r="N90" s="810" t="s">
        <v>1043</v>
      </c>
      <c r="O90" s="804" t="s">
        <v>1044</v>
      </c>
      <c r="P90" s="804" t="s">
        <v>567</v>
      </c>
      <c r="T90"/>
      <c r="U90"/>
      <c r="V90"/>
      <c r="W90"/>
      <c r="X90"/>
      <c r="Y90"/>
      <c r="Z90"/>
      <c r="AA90"/>
      <c r="AB90"/>
    </row>
    <row r="91" spans="1:28" ht="13.5" thickTop="1">
      <c r="A91">
        <f t="shared" si="15"/>
        <v>83</v>
      </c>
      <c r="B91" s="273"/>
      <c r="C91" s="273"/>
      <c r="D91" s="273"/>
      <c r="E91" s="273"/>
      <c r="F91" s="273"/>
      <c r="G91" s="273"/>
      <c r="H91"/>
      <c r="J91" s="44"/>
      <c r="L91" s="809" t="e">
        <f>AVERAGE(B9:G108)</f>
        <v>#DIV/0!</v>
      </c>
      <c r="M91" s="809" t="e">
        <f>STDEV(B9:G108)</f>
        <v>#DIV/0!</v>
      </c>
      <c r="N91" s="809" t="e">
        <f>1/(AVERAGE(L91:M91))</f>
        <v>#DIV/0!</v>
      </c>
      <c r="O91" s="811" t="e">
        <f>EXP(-USL*N91)</f>
        <v>#DIV/0!</v>
      </c>
      <c r="P91" s="809" t="e">
        <f>ROUND((NORMSINV(1-EXP(-USL*N91)))/3,2)</f>
        <v>#DIV/0!</v>
      </c>
      <c r="T91"/>
      <c r="U91"/>
      <c r="V91"/>
      <c r="W91"/>
      <c r="X91"/>
      <c r="Y91"/>
      <c r="Z91"/>
      <c r="AA91"/>
      <c r="AB91"/>
    </row>
    <row r="92" spans="1:28">
      <c r="A92">
        <f t="shared" si="15"/>
        <v>84</v>
      </c>
      <c r="B92" s="273"/>
      <c r="C92" s="273"/>
      <c r="D92" s="273"/>
      <c r="E92" s="273"/>
      <c r="F92" s="273"/>
      <c r="G92" s="273"/>
      <c r="H92"/>
      <c r="J92" s="44"/>
      <c r="T92"/>
      <c r="U92"/>
      <c r="V92"/>
      <c r="W92"/>
      <c r="X92"/>
      <c r="Y92"/>
      <c r="Z92"/>
      <c r="AA92"/>
      <c r="AB92"/>
    </row>
    <row r="93" spans="1:28">
      <c r="A93">
        <f t="shared" si="15"/>
        <v>85</v>
      </c>
      <c r="B93" s="273"/>
      <c r="C93" s="273"/>
      <c r="D93" s="273"/>
      <c r="E93" s="273"/>
      <c r="F93" s="273"/>
      <c r="G93" s="273"/>
      <c r="H93"/>
      <c r="J93" s="44"/>
      <c r="L93" s="43">
        <v>1</v>
      </c>
      <c r="O93"/>
      <c r="P93"/>
    </row>
    <row r="94" spans="1:28">
      <c r="A94">
        <f t="shared" si="15"/>
        <v>86</v>
      </c>
      <c r="B94" s="273"/>
      <c r="C94" s="273"/>
      <c r="D94" s="273"/>
      <c r="E94" s="273"/>
      <c r="F94" s="273"/>
      <c r="G94" s="273"/>
      <c r="H94"/>
      <c r="J94" s="44"/>
      <c r="O94"/>
      <c r="P94"/>
    </row>
    <row r="95" spans="1:28">
      <c r="A95">
        <f t="shared" si="15"/>
        <v>87</v>
      </c>
      <c r="B95" s="273"/>
      <c r="C95" s="273"/>
      <c r="D95" s="273"/>
      <c r="E95" s="273"/>
      <c r="F95" s="273"/>
      <c r="G95" s="273"/>
      <c r="H95"/>
      <c r="J95" s="44"/>
    </row>
    <row r="96" spans="1:28">
      <c r="A96">
        <f t="shared" si="15"/>
        <v>88</v>
      </c>
      <c r="B96" s="273"/>
      <c r="C96" s="273"/>
      <c r="D96" s="273"/>
      <c r="E96" s="273"/>
      <c r="F96" s="273"/>
      <c r="G96" s="273"/>
      <c r="H96"/>
      <c r="J96" s="44"/>
    </row>
    <row r="97" spans="1:17">
      <c r="A97">
        <f t="shared" si="15"/>
        <v>89</v>
      </c>
      <c r="B97" s="273"/>
      <c r="C97" s="273"/>
      <c r="D97" s="273"/>
      <c r="E97" s="273"/>
      <c r="F97" s="273"/>
      <c r="G97" s="273"/>
      <c r="H97"/>
      <c r="J97" s="44"/>
      <c r="L97"/>
      <c r="M97"/>
      <c r="N97"/>
      <c r="O97"/>
      <c r="P97"/>
      <c r="Q97"/>
    </row>
    <row r="98" spans="1:17">
      <c r="A98">
        <f t="shared" si="15"/>
        <v>90</v>
      </c>
      <c r="B98" s="273"/>
      <c r="C98" s="273"/>
      <c r="D98" s="273"/>
      <c r="E98" s="273"/>
      <c r="F98" s="273"/>
      <c r="G98" s="273"/>
      <c r="H98"/>
      <c r="J98" s="44"/>
      <c r="L98"/>
      <c r="M98"/>
      <c r="N98"/>
      <c r="O98"/>
      <c r="P98"/>
      <c r="Q98"/>
    </row>
    <row r="99" spans="1:17">
      <c r="A99">
        <f t="shared" si="15"/>
        <v>91</v>
      </c>
      <c r="B99" s="273"/>
      <c r="C99" s="273"/>
      <c r="D99" s="273"/>
      <c r="E99" s="273"/>
      <c r="F99" s="273"/>
      <c r="G99" s="273"/>
      <c r="H99"/>
      <c r="J99" s="44"/>
    </row>
    <row r="100" spans="1:17">
      <c r="A100">
        <f t="shared" si="15"/>
        <v>92</v>
      </c>
      <c r="B100" s="273"/>
      <c r="C100" s="273"/>
      <c r="D100" s="273"/>
      <c r="E100" s="273"/>
      <c r="F100" s="273"/>
      <c r="G100" s="273"/>
      <c r="H100"/>
      <c r="J100" s="44"/>
    </row>
    <row r="101" spans="1:17">
      <c r="A101">
        <f t="shared" si="15"/>
        <v>93</v>
      </c>
      <c r="B101" s="273"/>
      <c r="C101" s="273"/>
      <c r="D101" s="273"/>
      <c r="E101" s="273"/>
      <c r="F101" s="273"/>
      <c r="G101" s="273"/>
      <c r="H101"/>
      <c r="J101" s="44"/>
    </row>
    <row r="102" spans="1:17">
      <c r="A102">
        <f t="shared" si="15"/>
        <v>94</v>
      </c>
      <c r="B102" s="273"/>
      <c r="C102" s="273"/>
      <c r="D102" s="273"/>
      <c r="E102" s="273"/>
      <c r="F102" s="273"/>
      <c r="G102" s="273"/>
      <c r="H102"/>
      <c r="J102" s="44"/>
    </row>
    <row r="103" spans="1:17">
      <c r="A103">
        <f t="shared" si="15"/>
        <v>95</v>
      </c>
      <c r="B103" s="273"/>
      <c r="C103" s="273"/>
      <c r="D103" s="273"/>
      <c r="E103" s="273"/>
      <c r="F103" s="273"/>
      <c r="G103" s="273"/>
      <c r="H103"/>
      <c r="J103" s="44"/>
    </row>
    <row r="104" spans="1:17">
      <c r="A104">
        <f t="shared" si="15"/>
        <v>96</v>
      </c>
      <c r="B104" s="273"/>
      <c r="C104" s="273"/>
      <c r="D104" s="273"/>
      <c r="E104" s="273"/>
      <c r="F104" s="273"/>
      <c r="G104" s="273"/>
      <c r="H104"/>
      <c r="J104" s="44"/>
    </row>
    <row r="105" spans="1:17">
      <c r="A105">
        <f t="shared" si="15"/>
        <v>97</v>
      </c>
      <c r="B105" s="273"/>
      <c r="C105" s="273"/>
      <c r="D105" s="273"/>
      <c r="E105" s="273"/>
      <c r="F105" s="273"/>
      <c r="G105" s="273"/>
      <c r="H105"/>
      <c r="J105" s="44"/>
    </row>
    <row r="106" spans="1:17">
      <c r="A106">
        <f t="shared" si="15"/>
        <v>98</v>
      </c>
      <c r="B106" s="273"/>
      <c r="C106" s="273"/>
      <c r="D106" s="273"/>
      <c r="E106" s="273"/>
      <c r="F106" s="273"/>
      <c r="G106" s="273"/>
      <c r="H106"/>
      <c r="J106" s="44"/>
    </row>
    <row r="107" spans="1:17">
      <c r="A107">
        <f t="shared" si="15"/>
        <v>99</v>
      </c>
      <c r="B107" s="273"/>
      <c r="C107" s="273"/>
      <c r="D107" s="273"/>
      <c r="E107" s="273"/>
      <c r="F107" s="273"/>
      <c r="G107" s="273"/>
      <c r="H107"/>
      <c r="J107" s="44"/>
    </row>
    <row r="108" spans="1:17">
      <c r="A108">
        <f t="shared" si="15"/>
        <v>100</v>
      </c>
      <c r="B108" s="273"/>
      <c r="C108" s="273"/>
      <c r="D108" s="273"/>
      <c r="E108" s="273"/>
      <c r="F108" s="273"/>
      <c r="G108" s="273"/>
      <c r="H108"/>
      <c r="J108" s="44"/>
    </row>
    <row r="109" spans="1:17">
      <c r="A109"/>
      <c r="B109" s="812"/>
      <c r="C109" s="812"/>
      <c r="D109" s="812"/>
      <c r="E109" s="812"/>
      <c r="F109" s="812"/>
      <c r="G109" s="812"/>
      <c r="J109" s="44"/>
    </row>
    <row r="110" spans="1:17">
      <c r="A110" s="813" t="s">
        <v>453</v>
      </c>
      <c r="B110" s="814">
        <f t="shared" ref="B110:G110" si="16">COUNT(B9:B108)</f>
        <v>0</v>
      </c>
      <c r="C110" s="814">
        <f t="shared" si="16"/>
        <v>0</v>
      </c>
      <c r="D110" s="814">
        <f t="shared" si="16"/>
        <v>0</v>
      </c>
      <c r="E110" s="814">
        <f t="shared" si="16"/>
        <v>0</v>
      </c>
      <c r="F110" s="814">
        <f t="shared" si="16"/>
        <v>0</v>
      </c>
      <c r="G110" s="814">
        <f t="shared" si="16"/>
        <v>0</v>
      </c>
      <c r="J110" s="44"/>
    </row>
    <row r="111" spans="1:17">
      <c r="A111" s="813" t="s">
        <v>1045</v>
      </c>
      <c r="B111" s="814">
        <f t="shared" ref="B111:G111" si="17">MIN(B9:B108)</f>
        <v>0</v>
      </c>
      <c r="C111" s="814">
        <f t="shared" si="17"/>
        <v>0</v>
      </c>
      <c r="D111" s="814">
        <f t="shared" si="17"/>
        <v>0</v>
      </c>
      <c r="E111" s="814">
        <f t="shared" si="17"/>
        <v>0</v>
      </c>
      <c r="F111" s="814">
        <f t="shared" si="17"/>
        <v>0</v>
      </c>
      <c r="G111" s="814">
        <f t="shared" si="17"/>
        <v>0</v>
      </c>
      <c r="L111" s="44" t="e">
        <f>IF(#REF!="","",IF(#REF!&gt;K$3,1,""))</f>
        <v>#REF!</v>
      </c>
    </row>
    <row r="112" spans="1:17">
      <c r="A112" s="813" t="s">
        <v>1046</v>
      </c>
      <c r="B112" s="814" t="e">
        <f t="shared" ref="B112:G112" si="18">PERCENTILE(B9:B108,0.25)</f>
        <v>#NUM!</v>
      </c>
      <c r="C112" s="814" t="e">
        <f t="shared" si="18"/>
        <v>#NUM!</v>
      </c>
      <c r="D112" s="814" t="e">
        <f t="shared" si="18"/>
        <v>#NUM!</v>
      </c>
      <c r="E112" s="814" t="e">
        <f t="shared" si="18"/>
        <v>#NUM!</v>
      </c>
      <c r="F112" s="814" t="e">
        <f t="shared" si="18"/>
        <v>#NUM!</v>
      </c>
      <c r="G112" s="814" t="e">
        <f t="shared" si="18"/>
        <v>#NUM!</v>
      </c>
      <c r="L112" s="44" t="e">
        <f>IF(#REF!="","",IF(#REF!&gt;K$3,1,""))</f>
        <v>#REF!</v>
      </c>
    </row>
    <row r="113" spans="1:12">
      <c r="A113" s="813" t="s">
        <v>1047</v>
      </c>
      <c r="B113" s="814" t="e">
        <f t="shared" ref="B113:G113" si="19">B114-1.58*(B118/SQRT(B110))</f>
        <v>#NUM!</v>
      </c>
      <c r="C113" s="814" t="e">
        <f t="shared" si="19"/>
        <v>#NUM!</v>
      </c>
      <c r="D113" s="814" t="e">
        <f t="shared" si="19"/>
        <v>#NUM!</v>
      </c>
      <c r="E113" s="814" t="e">
        <f t="shared" si="19"/>
        <v>#NUM!</v>
      </c>
      <c r="F113" s="814" t="e">
        <f t="shared" si="19"/>
        <v>#NUM!</v>
      </c>
      <c r="G113" s="814" t="e">
        <f t="shared" si="19"/>
        <v>#NUM!</v>
      </c>
      <c r="L113" s="44" t="e">
        <f>IF(#REF!="","",IF(#REF!&gt;K$3,1,""))</f>
        <v>#REF!</v>
      </c>
    </row>
    <row r="114" spans="1:12">
      <c r="A114" s="813" t="s">
        <v>1013</v>
      </c>
      <c r="B114" s="814" t="e">
        <f t="shared" ref="B114:G114" si="20">MEDIAN(B9:B108)</f>
        <v>#NUM!</v>
      </c>
      <c r="C114" s="814" t="e">
        <f t="shared" si="20"/>
        <v>#NUM!</v>
      </c>
      <c r="D114" s="814" t="e">
        <f t="shared" si="20"/>
        <v>#NUM!</v>
      </c>
      <c r="E114" s="814" t="e">
        <f t="shared" si="20"/>
        <v>#NUM!</v>
      </c>
      <c r="F114" s="814" t="e">
        <f t="shared" si="20"/>
        <v>#NUM!</v>
      </c>
      <c r="G114" s="814" t="e">
        <f t="shared" si="20"/>
        <v>#NUM!</v>
      </c>
      <c r="L114" s="44" t="e">
        <f>IF(#REF!="","",IF(#REF!&gt;K$3,1,""))</f>
        <v>#REF!</v>
      </c>
    </row>
    <row r="115" spans="1:12">
      <c r="A115" s="813" t="s">
        <v>1048</v>
      </c>
      <c r="B115" s="814" t="e">
        <f t="shared" ref="B115:G115" si="21">B114+1.58*(B118/SQRT(B110))</f>
        <v>#NUM!</v>
      </c>
      <c r="C115" s="814" t="e">
        <f t="shared" si="21"/>
        <v>#NUM!</v>
      </c>
      <c r="D115" s="814" t="e">
        <f t="shared" si="21"/>
        <v>#NUM!</v>
      </c>
      <c r="E115" s="814" t="e">
        <f t="shared" si="21"/>
        <v>#NUM!</v>
      </c>
      <c r="F115" s="814" t="e">
        <f t="shared" si="21"/>
        <v>#NUM!</v>
      </c>
      <c r="G115" s="814" t="e">
        <f t="shared" si="21"/>
        <v>#NUM!</v>
      </c>
      <c r="L115" s="44" t="e">
        <f>IF(#REF!="","",IF(#REF!&gt;K$3,1,""))</f>
        <v>#REF!</v>
      </c>
    </row>
    <row r="116" spans="1:12">
      <c r="A116" s="813" t="s">
        <v>1049</v>
      </c>
      <c r="B116" s="814" t="e">
        <f>PERCENTILE(B9:B108,0.9)</f>
        <v>#NUM!</v>
      </c>
      <c r="C116" s="814" t="e">
        <f>PERCENTILE(C9:C108,0.9)</f>
        <v>#NUM!</v>
      </c>
      <c r="D116" s="814" t="e">
        <f>PERCENTILE(D9:D108,0.75)</f>
        <v>#NUM!</v>
      </c>
      <c r="E116" s="814" t="e">
        <f>PERCENTILE(E9:E108,0.75)</f>
        <v>#NUM!</v>
      </c>
      <c r="F116" s="814" t="e">
        <f>PERCENTILE(F9:F108,0.75)</f>
        <v>#NUM!</v>
      </c>
      <c r="G116" s="814" t="e">
        <f>PERCENTILE(G9:G108,0.75)</f>
        <v>#NUM!</v>
      </c>
      <c r="L116" s="44" t="e">
        <f>IF(#REF!="","",IF(#REF!&gt;K$3,1,""))</f>
        <v>#REF!</v>
      </c>
    </row>
    <row r="117" spans="1:12">
      <c r="A117" s="813" t="s">
        <v>1050</v>
      </c>
      <c r="B117" s="814">
        <f t="shared" ref="B117:G117" si="22">MAX(B9:B108)</f>
        <v>0</v>
      </c>
      <c r="C117" s="814">
        <f t="shared" si="22"/>
        <v>0</v>
      </c>
      <c r="D117" s="814">
        <f t="shared" si="22"/>
        <v>0</v>
      </c>
      <c r="E117" s="814">
        <f t="shared" si="22"/>
        <v>0</v>
      </c>
      <c r="F117" s="814">
        <f t="shared" si="22"/>
        <v>0</v>
      </c>
      <c r="G117" s="814">
        <f t="shared" si="22"/>
        <v>0</v>
      </c>
      <c r="L117" s="44" t="e">
        <f>IF(#REF!="","",IF(#REF!&gt;K$3,1,""))</f>
        <v>#REF!</v>
      </c>
    </row>
    <row r="118" spans="1:12">
      <c r="A118" s="813" t="s">
        <v>1051</v>
      </c>
      <c r="B118" s="814" t="e">
        <f t="shared" ref="B118:G118" si="23">B116-B112</f>
        <v>#NUM!</v>
      </c>
      <c r="C118" s="814" t="e">
        <f t="shared" si="23"/>
        <v>#NUM!</v>
      </c>
      <c r="D118" s="814" t="e">
        <f t="shared" si="23"/>
        <v>#NUM!</v>
      </c>
      <c r="E118" s="814" t="e">
        <f t="shared" si="23"/>
        <v>#NUM!</v>
      </c>
      <c r="F118" s="814" t="e">
        <f t="shared" si="23"/>
        <v>#NUM!</v>
      </c>
      <c r="G118" s="814" t="e">
        <f t="shared" si="23"/>
        <v>#NUM!</v>
      </c>
      <c r="L118" s="44" t="e">
        <f>IF(#REF!="","",IF(#REF!&gt;K$3,1,""))</f>
        <v>#REF!</v>
      </c>
    </row>
    <row r="119" spans="1:12">
      <c r="A119"/>
      <c r="B119"/>
      <c r="C119"/>
      <c r="D119"/>
      <c r="E119"/>
      <c r="F119"/>
      <c r="G119"/>
      <c r="L119" s="44" t="e">
        <f>IF(#REF!="","",IF(#REF!&gt;K$3,1,""))</f>
        <v>#REF!</v>
      </c>
    </row>
    <row r="120" spans="1:12">
      <c r="A120"/>
      <c r="B120"/>
      <c r="C120"/>
      <c r="D120"/>
      <c r="E120"/>
      <c r="F120"/>
      <c r="G120"/>
      <c r="L120" s="44" t="e">
        <f>IF(#REF!="","",IF(#REF!&gt;K$3,1,""))</f>
        <v>#REF!</v>
      </c>
    </row>
    <row r="121" spans="1:12">
      <c r="A121"/>
      <c r="B121"/>
      <c r="C121"/>
      <c r="D121"/>
      <c r="E121"/>
      <c r="F121"/>
      <c r="G121"/>
      <c r="L121" s="44" t="e">
        <f>IF(#REF!="","",IF(#REF!&gt;K$3,1,""))</f>
        <v>#REF!</v>
      </c>
    </row>
    <row r="122" spans="1:12">
      <c r="A122"/>
      <c r="B122"/>
      <c r="C122"/>
      <c r="D122"/>
      <c r="E122"/>
      <c r="F122"/>
      <c r="G122"/>
      <c r="L122" s="44" t="e">
        <f>IF(#REF!="","",IF(#REF!&gt;K$3,1,""))</f>
        <v>#REF!</v>
      </c>
    </row>
    <row r="123" spans="1:12">
      <c r="A123" s="815">
        <f>B8</f>
        <v>0</v>
      </c>
      <c r="B123" s="816" t="s">
        <v>1052</v>
      </c>
      <c r="C123" s="816" t="s">
        <v>880</v>
      </c>
      <c r="D123" s="816" t="s">
        <v>1053</v>
      </c>
      <c r="E123" s="816" t="s">
        <v>154</v>
      </c>
      <c r="F123" s="816" t="s">
        <v>155</v>
      </c>
      <c r="G123" s="93"/>
      <c r="L123" s="44" t="e">
        <f>IF(#REF!="","",IF(#REF!&gt;K$3,1,""))</f>
        <v>#REF!</v>
      </c>
    </row>
    <row r="124" spans="1:12">
      <c r="A124" s="817" t="s">
        <v>1045</v>
      </c>
      <c r="B124" s="818">
        <v>0.4</v>
      </c>
      <c r="C124" s="818">
        <f>B$111</f>
        <v>0</v>
      </c>
      <c r="D124" s="818">
        <v>0</v>
      </c>
      <c r="E124" s="819">
        <f>LSL</f>
        <v>0</v>
      </c>
      <c r="F124" s="819">
        <f>USL</f>
        <v>0</v>
      </c>
      <c r="G124"/>
      <c r="L124" s="44" t="e">
        <f>IF(#REF!="","",IF(#REF!&gt;K$3,1,""))</f>
        <v>#REF!</v>
      </c>
    </row>
    <row r="125" spans="1:12">
      <c r="A125" s="817" t="s">
        <v>1045</v>
      </c>
      <c r="B125" s="818">
        <v>0.6</v>
      </c>
      <c r="C125" s="818">
        <f>B$111</f>
        <v>0</v>
      </c>
      <c r="D125" s="818">
        <v>0.5</v>
      </c>
      <c r="E125" s="819">
        <f t="shared" ref="E125:E156" si="24">E124</f>
        <v>0</v>
      </c>
      <c r="F125" s="819">
        <f t="shared" ref="F125:F156" si="25">F124</f>
        <v>0</v>
      </c>
      <c r="G125"/>
      <c r="L125" s="44" t="e">
        <f>IF(#REF!="","",IF(#REF!&gt;K$3,1,""))</f>
        <v>#REF!</v>
      </c>
    </row>
    <row r="126" spans="1:12">
      <c r="A126" s="817" t="s">
        <v>1045</v>
      </c>
      <c r="B126" s="818">
        <v>0.5</v>
      </c>
      <c r="C126" s="818">
        <f>B$111</f>
        <v>0</v>
      </c>
      <c r="D126" s="818">
        <v>1</v>
      </c>
      <c r="E126" s="819">
        <f t="shared" si="24"/>
        <v>0</v>
      </c>
      <c r="F126" s="819">
        <f t="shared" si="25"/>
        <v>0</v>
      </c>
      <c r="G126"/>
      <c r="L126" s="44" t="e">
        <f>IF(#REF!="","",IF(#REF!&gt;K$3,1,""))</f>
        <v>#REF!</v>
      </c>
    </row>
    <row r="127" spans="1:12">
      <c r="A127" s="817" t="s">
        <v>1046</v>
      </c>
      <c r="B127" s="818">
        <v>0.5</v>
      </c>
      <c r="C127" s="818" t="e">
        <f>B$112</f>
        <v>#NUM!</v>
      </c>
      <c r="D127" s="818">
        <v>1.5</v>
      </c>
      <c r="E127" s="819">
        <f t="shared" si="24"/>
        <v>0</v>
      </c>
      <c r="F127" s="819">
        <f t="shared" si="25"/>
        <v>0</v>
      </c>
      <c r="G127"/>
      <c r="L127" s="44" t="e">
        <f>IF(#REF!="","",IF(#REF!&gt;K$3,1,""))</f>
        <v>#REF!</v>
      </c>
    </row>
    <row r="128" spans="1:12">
      <c r="A128" s="817" t="s">
        <v>1046</v>
      </c>
      <c r="B128" s="818">
        <v>0.625</v>
      </c>
      <c r="C128" s="818" t="e">
        <f>B$112</f>
        <v>#NUM!</v>
      </c>
      <c r="D128" s="818">
        <v>2</v>
      </c>
      <c r="E128" s="819">
        <f t="shared" si="24"/>
        <v>0</v>
      </c>
      <c r="F128" s="819">
        <f t="shared" si="25"/>
        <v>0</v>
      </c>
      <c r="G128"/>
      <c r="L128" s="44" t="e">
        <f>IF(#REF!="","",IF(#REF!&gt;K$3,1,""))</f>
        <v>#REF!</v>
      </c>
    </row>
    <row r="129" spans="1:12">
      <c r="A129" s="817" t="s">
        <v>1046</v>
      </c>
      <c r="B129" s="818">
        <v>0.375</v>
      </c>
      <c r="C129" s="818" t="e">
        <f>B$112</f>
        <v>#NUM!</v>
      </c>
      <c r="D129" s="818">
        <v>2.5</v>
      </c>
      <c r="E129" s="819">
        <f t="shared" si="24"/>
        <v>0</v>
      </c>
      <c r="F129" s="819">
        <f t="shared" si="25"/>
        <v>0</v>
      </c>
      <c r="G129"/>
      <c r="L129" s="44" t="e">
        <f>IF(#REF!="","",IF(#REF!&gt;K$3,1,""))</f>
        <v>#REF!</v>
      </c>
    </row>
    <row r="130" spans="1:12">
      <c r="A130" s="817" t="s">
        <v>1049</v>
      </c>
      <c r="B130" s="818">
        <v>0.375</v>
      </c>
      <c r="C130" s="818" t="e">
        <f>B$116</f>
        <v>#NUM!</v>
      </c>
      <c r="D130" s="818">
        <v>3</v>
      </c>
      <c r="E130" s="819">
        <f t="shared" si="24"/>
        <v>0</v>
      </c>
      <c r="F130" s="819">
        <f t="shared" si="25"/>
        <v>0</v>
      </c>
      <c r="G130"/>
      <c r="L130" s="44" t="e">
        <f>IF(#REF!="","",IF(#REF!&gt;K$3,1,""))</f>
        <v>#REF!</v>
      </c>
    </row>
    <row r="131" spans="1:12">
      <c r="A131" s="817" t="s">
        <v>1049</v>
      </c>
      <c r="B131" s="818">
        <v>0.625</v>
      </c>
      <c r="C131" s="818" t="e">
        <f>B$116</f>
        <v>#NUM!</v>
      </c>
      <c r="D131" s="818">
        <v>3.5</v>
      </c>
      <c r="E131" s="819">
        <f t="shared" si="24"/>
        <v>0</v>
      </c>
      <c r="F131" s="819">
        <f t="shared" si="25"/>
        <v>0</v>
      </c>
      <c r="G131"/>
      <c r="L131" s="44" t="e">
        <f>IF(#REF!="","",IF(#REF!&gt;K$3,1,""))</f>
        <v>#REF!</v>
      </c>
    </row>
    <row r="132" spans="1:12">
      <c r="A132" s="817" t="s">
        <v>1049</v>
      </c>
      <c r="B132" s="818">
        <v>0.5</v>
      </c>
      <c r="C132" s="818" t="e">
        <f>B$116</f>
        <v>#NUM!</v>
      </c>
      <c r="D132" s="818">
        <v>4</v>
      </c>
      <c r="E132" s="819">
        <f t="shared" si="24"/>
        <v>0</v>
      </c>
      <c r="F132" s="819">
        <f t="shared" si="25"/>
        <v>0</v>
      </c>
      <c r="G132"/>
      <c r="L132" s="44" t="e">
        <f>IF(#REF!="","",IF(#REF!&gt;K$3,1,""))</f>
        <v>#REF!</v>
      </c>
    </row>
    <row r="133" spans="1:12">
      <c r="A133" s="817" t="s">
        <v>1050</v>
      </c>
      <c r="B133" s="818">
        <v>0.5</v>
      </c>
      <c r="C133" s="818">
        <f>B$117</f>
        <v>0</v>
      </c>
      <c r="D133" s="818">
        <v>4.5</v>
      </c>
      <c r="E133" s="819">
        <f t="shared" si="24"/>
        <v>0</v>
      </c>
      <c r="F133" s="819">
        <f t="shared" si="25"/>
        <v>0</v>
      </c>
      <c r="G133"/>
      <c r="L133" s="44" t="e">
        <f>IF(#REF!="","",IF(#REF!&gt;K$3,1,""))</f>
        <v>#REF!</v>
      </c>
    </row>
    <row r="134" spans="1:12">
      <c r="A134" s="817" t="s">
        <v>1050</v>
      </c>
      <c r="B134" s="818">
        <v>0.6</v>
      </c>
      <c r="C134" s="818">
        <f>B$117</f>
        <v>0</v>
      </c>
      <c r="D134" s="818">
        <v>5</v>
      </c>
      <c r="E134" s="819">
        <f t="shared" si="24"/>
        <v>0</v>
      </c>
      <c r="F134" s="819">
        <f t="shared" si="25"/>
        <v>0</v>
      </c>
      <c r="G134"/>
      <c r="L134" s="44" t="e">
        <f>IF(#REF!="","",IF(#REF!&gt;K$3,1,""))</f>
        <v>#REF!</v>
      </c>
    </row>
    <row r="135" spans="1:12">
      <c r="A135" s="820" t="s">
        <v>1050</v>
      </c>
      <c r="B135" s="821">
        <v>0.4</v>
      </c>
      <c r="C135" s="818">
        <f>B$117</f>
        <v>0</v>
      </c>
      <c r="D135" s="818">
        <v>5.5</v>
      </c>
      <c r="E135" s="819">
        <f t="shared" si="24"/>
        <v>0</v>
      </c>
      <c r="F135" s="819">
        <f t="shared" si="25"/>
        <v>0</v>
      </c>
      <c r="G135"/>
      <c r="L135" s="44" t="e">
        <f>IF(#REF!="","",IF(#REF!&gt;K$3,1,""))</f>
        <v>#REF!</v>
      </c>
    </row>
    <row r="136" spans="1:12">
      <c r="A136" s="817" t="s">
        <v>1054</v>
      </c>
      <c r="B136" s="821">
        <v>0.5</v>
      </c>
      <c r="C136" s="818">
        <f>B$117</f>
        <v>0</v>
      </c>
      <c r="D136" s="818">
        <v>6</v>
      </c>
      <c r="E136" s="819">
        <f t="shared" si="24"/>
        <v>0</v>
      </c>
      <c r="F136" s="819">
        <f t="shared" si="25"/>
        <v>0</v>
      </c>
      <c r="G136"/>
      <c r="L136" s="44" t="e">
        <f>IF(#REF!="","",IF(#REF!&gt;K$3,1,""))</f>
        <v>#REF!</v>
      </c>
    </row>
    <row r="137" spans="1:12">
      <c r="A137" s="817" t="s">
        <v>1049</v>
      </c>
      <c r="B137" s="821">
        <v>0.5</v>
      </c>
      <c r="C137" s="818" t="e">
        <f>B$116</f>
        <v>#NUM!</v>
      </c>
      <c r="D137" s="818"/>
      <c r="E137" s="819">
        <f t="shared" si="24"/>
        <v>0</v>
      </c>
      <c r="F137" s="819">
        <f t="shared" si="25"/>
        <v>0</v>
      </c>
      <c r="G137"/>
      <c r="L137" s="44" t="e">
        <f>IF(#REF!="","",IF(#REF!&gt;K$3,1,""))</f>
        <v>#REF!</v>
      </c>
    </row>
    <row r="138" spans="1:12">
      <c r="A138" s="817" t="s">
        <v>1049</v>
      </c>
      <c r="B138" s="821">
        <v>0.625</v>
      </c>
      <c r="C138" s="818" t="e">
        <f>B$116</f>
        <v>#NUM!</v>
      </c>
      <c r="D138" s="818"/>
      <c r="E138" s="819">
        <f t="shared" si="24"/>
        <v>0</v>
      </c>
      <c r="F138" s="819">
        <f t="shared" si="25"/>
        <v>0</v>
      </c>
      <c r="G138"/>
      <c r="L138" s="44" t="e">
        <f>IF(#REF!="","",IF(#REF!&gt;K$3,1,""))</f>
        <v>#REF!</v>
      </c>
    </row>
    <row r="139" spans="1:12">
      <c r="A139" s="817" t="s">
        <v>1013</v>
      </c>
      <c r="B139" s="821">
        <v>0.625</v>
      </c>
      <c r="C139" s="818" t="e">
        <f>B$114</f>
        <v>#NUM!</v>
      </c>
      <c r="D139" s="818"/>
      <c r="E139" s="819">
        <f t="shared" si="24"/>
        <v>0</v>
      </c>
      <c r="F139" s="819">
        <f t="shared" si="25"/>
        <v>0</v>
      </c>
      <c r="G139"/>
      <c r="L139" s="44" t="e">
        <f>IF(#REF!="","",IF(#REF!&gt;K$3,1,""))</f>
        <v>#REF!</v>
      </c>
    </row>
    <row r="140" spans="1:12">
      <c r="A140" s="817" t="s">
        <v>1013</v>
      </c>
      <c r="B140" s="821">
        <v>0.375</v>
      </c>
      <c r="C140" s="818" t="e">
        <f>B$114</f>
        <v>#NUM!</v>
      </c>
      <c r="D140" s="818"/>
      <c r="E140" s="819">
        <f t="shared" si="24"/>
        <v>0</v>
      </c>
      <c r="F140" s="819">
        <f t="shared" si="25"/>
        <v>0</v>
      </c>
      <c r="G140"/>
      <c r="L140" s="44" t="e">
        <f>IF(#REF!="","",IF(#REF!&gt;K$3,1,""))</f>
        <v>#REF!</v>
      </c>
    </row>
    <row r="141" spans="1:12">
      <c r="A141" s="817" t="s">
        <v>1013</v>
      </c>
      <c r="B141" s="818">
        <v>0.625</v>
      </c>
      <c r="C141" s="818" t="e">
        <f>B$114</f>
        <v>#NUM!</v>
      </c>
      <c r="D141" s="818"/>
      <c r="E141" s="819">
        <f t="shared" si="24"/>
        <v>0</v>
      </c>
      <c r="F141" s="819">
        <f t="shared" si="25"/>
        <v>0</v>
      </c>
      <c r="G141"/>
      <c r="L141" s="44" t="e">
        <f>IF(#REF!="","",IF(#REF!&gt;K$3,1,""))</f>
        <v>#REF!</v>
      </c>
    </row>
    <row r="142" spans="1:12" ht="13.5" thickBot="1">
      <c r="A142" s="822" t="s">
        <v>1046</v>
      </c>
      <c r="B142" s="823">
        <v>0.625</v>
      </c>
      <c r="C142" s="823" t="e">
        <f>B$112</f>
        <v>#NUM!</v>
      </c>
      <c r="D142" s="821"/>
      <c r="E142" s="819">
        <f t="shared" si="24"/>
        <v>0</v>
      </c>
      <c r="F142" s="819">
        <f t="shared" si="25"/>
        <v>0</v>
      </c>
      <c r="G142"/>
      <c r="L142" s="44" t="e">
        <f>IF(#REF!="","",IF(#REF!&gt;K$3,1,""))</f>
        <v>#REF!</v>
      </c>
    </row>
    <row r="143" spans="1:12" ht="13.5" thickTop="1">
      <c r="A143" s="824">
        <f>C8</f>
        <v>0</v>
      </c>
      <c r="B143" s="821"/>
      <c r="C143" s="821"/>
      <c r="D143" s="821"/>
      <c r="E143" s="819">
        <f t="shared" si="24"/>
        <v>0</v>
      </c>
      <c r="F143" s="819">
        <f t="shared" si="25"/>
        <v>0</v>
      </c>
      <c r="G143"/>
      <c r="L143" s="44" t="e">
        <f>IF(#REF!="","",IF(#REF!&gt;K$3,1,""))</f>
        <v>#REF!</v>
      </c>
    </row>
    <row r="144" spans="1:12">
      <c r="A144" s="817" t="s">
        <v>1045</v>
      </c>
      <c r="B144" s="821">
        <f t="shared" ref="B144:B162" si="26">B124+1</f>
        <v>1.4</v>
      </c>
      <c r="C144" s="818">
        <f>C$111</f>
        <v>0</v>
      </c>
      <c r="D144" s="818"/>
      <c r="E144" s="819">
        <f t="shared" si="24"/>
        <v>0</v>
      </c>
      <c r="F144" s="819">
        <f t="shared" si="25"/>
        <v>0</v>
      </c>
      <c r="G144"/>
      <c r="L144" s="44" t="e">
        <f>IF(#REF!="","",IF(#REF!&gt;K$3,1,""))</f>
        <v>#REF!</v>
      </c>
    </row>
    <row r="145" spans="1:12">
      <c r="A145" s="817" t="s">
        <v>1045</v>
      </c>
      <c r="B145" s="821">
        <f t="shared" si="26"/>
        <v>1.6</v>
      </c>
      <c r="C145" s="818">
        <f>C$111</f>
        <v>0</v>
      </c>
      <c r="D145" s="818"/>
      <c r="E145" s="819">
        <f t="shared" si="24"/>
        <v>0</v>
      </c>
      <c r="F145" s="819">
        <f t="shared" si="25"/>
        <v>0</v>
      </c>
      <c r="G145"/>
      <c r="L145" s="44" t="e">
        <f>IF(#REF!="","",IF(#REF!&gt;K$3,1,""))</f>
        <v>#REF!</v>
      </c>
    </row>
    <row r="146" spans="1:12">
      <c r="A146" s="817" t="s">
        <v>1045</v>
      </c>
      <c r="B146" s="821">
        <f t="shared" si="26"/>
        <v>1.5</v>
      </c>
      <c r="C146" s="818">
        <f>C$111</f>
        <v>0</v>
      </c>
      <c r="D146" s="818"/>
      <c r="E146" s="819">
        <f t="shared" si="24"/>
        <v>0</v>
      </c>
      <c r="F146" s="819">
        <f t="shared" si="25"/>
        <v>0</v>
      </c>
      <c r="G146"/>
      <c r="L146" s="44" t="e">
        <f>IF(#REF!="","",IF(#REF!&gt;K$3,1,""))</f>
        <v>#REF!</v>
      </c>
    </row>
    <row r="147" spans="1:12">
      <c r="A147" s="817" t="s">
        <v>1046</v>
      </c>
      <c r="B147" s="821">
        <f t="shared" si="26"/>
        <v>1.5</v>
      </c>
      <c r="C147" s="818" t="e">
        <f>C$112</f>
        <v>#NUM!</v>
      </c>
      <c r="D147" s="818"/>
      <c r="E147" s="819">
        <f t="shared" si="24"/>
        <v>0</v>
      </c>
      <c r="F147" s="819">
        <f t="shared" si="25"/>
        <v>0</v>
      </c>
      <c r="G147"/>
      <c r="L147" s="44" t="e">
        <f>IF(#REF!="","",IF(#REF!&gt;K$3,1,""))</f>
        <v>#REF!</v>
      </c>
    </row>
    <row r="148" spans="1:12">
      <c r="A148" s="817" t="s">
        <v>1046</v>
      </c>
      <c r="B148" s="821">
        <f t="shared" si="26"/>
        <v>1.625</v>
      </c>
      <c r="C148" s="818" t="e">
        <f>C$112</f>
        <v>#NUM!</v>
      </c>
      <c r="D148" s="818"/>
      <c r="E148" s="819">
        <f t="shared" si="24"/>
        <v>0</v>
      </c>
      <c r="F148" s="819">
        <f t="shared" si="25"/>
        <v>0</v>
      </c>
      <c r="G148"/>
      <c r="L148" s="44" t="e">
        <f>IF(#REF!="","",IF(#REF!&gt;K$3,1,""))</f>
        <v>#REF!</v>
      </c>
    </row>
    <row r="149" spans="1:12">
      <c r="A149" s="817" t="s">
        <v>1046</v>
      </c>
      <c r="B149" s="821">
        <f t="shared" si="26"/>
        <v>1.375</v>
      </c>
      <c r="C149" s="818" t="e">
        <f>C$112</f>
        <v>#NUM!</v>
      </c>
      <c r="D149" s="818"/>
      <c r="E149" s="819">
        <f t="shared" si="24"/>
        <v>0</v>
      </c>
      <c r="F149" s="819">
        <f t="shared" si="25"/>
        <v>0</v>
      </c>
      <c r="G149"/>
      <c r="L149" s="44" t="e">
        <f>IF(#REF!="","",IF(#REF!&gt;K$3,1,""))</f>
        <v>#REF!</v>
      </c>
    </row>
    <row r="150" spans="1:12">
      <c r="A150" s="817" t="s">
        <v>1049</v>
      </c>
      <c r="B150" s="821">
        <f t="shared" si="26"/>
        <v>1.375</v>
      </c>
      <c r="C150" s="818" t="e">
        <f>C$116</f>
        <v>#NUM!</v>
      </c>
      <c r="D150" s="818"/>
      <c r="E150" s="819">
        <f t="shared" si="24"/>
        <v>0</v>
      </c>
      <c r="F150" s="819">
        <f t="shared" si="25"/>
        <v>0</v>
      </c>
      <c r="G150"/>
      <c r="L150" s="44" t="e">
        <f>IF(#REF!="","",IF(#REF!&gt;K$3,1,""))</f>
        <v>#REF!</v>
      </c>
    </row>
    <row r="151" spans="1:12">
      <c r="A151" s="817" t="s">
        <v>1049</v>
      </c>
      <c r="B151" s="821">
        <f t="shared" si="26"/>
        <v>1.625</v>
      </c>
      <c r="C151" s="818" t="e">
        <f>C$116</f>
        <v>#NUM!</v>
      </c>
      <c r="D151" s="818"/>
      <c r="E151" s="819">
        <f t="shared" si="24"/>
        <v>0</v>
      </c>
      <c r="F151" s="819">
        <f t="shared" si="25"/>
        <v>0</v>
      </c>
      <c r="G151"/>
      <c r="L151" s="44" t="e">
        <f>IF(#REF!="","",IF(#REF!&gt;K$3,1,""))</f>
        <v>#REF!</v>
      </c>
    </row>
    <row r="152" spans="1:12">
      <c r="A152" s="817" t="s">
        <v>1049</v>
      </c>
      <c r="B152" s="821">
        <f t="shared" si="26"/>
        <v>1.5</v>
      </c>
      <c r="C152" s="818" t="e">
        <f>C$116</f>
        <v>#NUM!</v>
      </c>
      <c r="D152" s="818"/>
      <c r="E152" s="819">
        <f t="shared" si="24"/>
        <v>0</v>
      </c>
      <c r="F152" s="819">
        <f t="shared" si="25"/>
        <v>0</v>
      </c>
      <c r="G152"/>
      <c r="L152" s="44" t="e">
        <f>IF(#REF!="","",IF(#REF!&gt;K$3,1,""))</f>
        <v>#REF!</v>
      </c>
    </row>
    <row r="153" spans="1:12">
      <c r="A153" s="817" t="s">
        <v>1050</v>
      </c>
      <c r="B153" s="821">
        <f t="shared" si="26"/>
        <v>1.5</v>
      </c>
      <c r="C153" s="818">
        <f>C$117</f>
        <v>0</v>
      </c>
      <c r="D153" s="818"/>
      <c r="E153" s="819">
        <f t="shared" si="24"/>
        <v>0</v>
      </c>
      <c r="F153" s="819">
        <f t="shared" si="25"/>
        <v>0</v>
      </c>
      <c r="G153"/>
      <c r="L153" s="44" t="e">
        <f>IF(#REF!="","",IF(#REF!&gt;K$3,1,""))</f>
        <v>#REF!</v>
      </c>
    </row>
    <row r="154" spans="1:12">
      <c r="A154" s="817" t="s">
        <v>1050</v>
      </c>
      <c r="B154" s="821">
        <f t="shared" si="26"/>
        <v>1.6</v>
      </c>
      <c r="C154" s="818">
        <f>C$117</f>
        <v>0</v>
      </c>
      <c r="D154" s="818"/>
      <c r="E154" s="819">
        <f t="shared" si="24"/>
        <v>0</v>
      </c>
      <c r="F154" s="819">
        <f t="shared" si="25"/>
        <v>0</v>
      </c>
      <c r="G154"/>
      <c r="L154" s="44" t="e">
        <f>IF(#REF!="","",IF(#REF!&gt;K$3,1,""))</f>
        <v>#REF!</v>
      </c>
    </row>
    <row r="155" spans="1:12">
      <c r="A155" s="820" t="s">
        <v>1050</v>
      </c>
      <c r="B155" s="821">
        <f t="shared" si="26"/>
        <v>1.4</v>
      </c>
      <c r="C155" s="818">
        <f>C$117</f>
        <v>0</v>
      </c>
      <c r="D155" s="818"/>
      <c r="E155" s="819">
        <f t="shared" si="24"/>
        <v>0</v>
      </c>
      <c r="F155" s="819">
        <f t="shared" si="25"/>
        <v>0</v>
      </c>
      <c r="G155"/>
      <c r="L155" s="44" t="e">
        <f>IF(#REF!="","",IF(#REF!&gt;K$3,1,""))</f>
        <v>#REF!</v>
      </c>
    </row>
    <row r="156" spans="1:12">
      <c r="A156" s="817" t="s">
        <v>1054</v>
      </c>
      <c r="B156" s="821">
        <f t="shared" si="26"/>
        <v>1.5</v>
      </c>
      <c r="C156" s="818">
        <f>C$117</f>
        <v>0</v>
      </c>
      <c r="D156" s="818"/>
      <c r="E156" s="819">
        <f t="shared" si="24"/>
        <v>0</v>
      </c>
      <c r="F156" s="819">
        <f t="shared" si="25"/>
        <v>0</v>
      </c>
      <c r="G156"/>
      <c r="L156" s="44" t="e">
        <f>IF(#REF!="","",IF(#REF!&gt;K$3,1,""))</f>
        <v>#REF!</v>
      </c>
    </row>
    <row r="157" spans="1:12">
      <c r="A157" s="817" t="s">
        <v>1049</v>
      </c>
      <c r="B157" s="821">
        <f t="shared" si="26"/>
        <v>1.5</v>
      </c>
      <c r="C157" s="818" t="e">
        <f>C$116</f>
        <v>#NUM!</v>
      </c>
      <c r="D157" s="818"/>
      <c r="E157" s="819">
        <f t="shared" ref="E157:E188" si="27">E156</f>
        <v>0</v>
      </c>
      <c r="F157" s="819">
        <f t="shared" ref="F157:F188" si="28">F156</f>
        <v>0</v>
      </c>
      <c r="G157"/>
      <c r="L157" s="44" t="e">
        <f>IF(#REF!="","",IF(#REF!&gt;K$3,1,""))</f>
        <v>#REF!</v>
      </c>
    </row>
    <row r="158" spans="1:12">
      <c r="A158" s="817" t="s">
        <v>1049</v>
      </c>
      <c r="B158" s="821">
        <f t="shared" si="26"/>
        <v>1.625</v>
      </c>
      <c r="C158" s="818" t="e">
        <f>C$116</f>
        <v>#NUM!</v>
      </c>
      <c r="D158" s="818"/>
      <c r="E158" s="819">
        <f t="shared" si="27"/>
        <v>0</v>
      </c>
      <c r="F158" s="819">
        <f t="shared" si="28"/>
        <v>0</v>
      </c>
      <c r="G158"/>
      <c r="L158" s="44" t="e">
        <f>IF(#REF!="","",IF(#REF!&gt;K$3,1,""))</f>
        <v>#REF!</v>
      </c>
    </row>
    <row r="159" spans="1:12">
      <c r="A159" s="817" t="s">
        <v>1013</v>
      </c>
      <c r="B159" s="821">
        <f t="shared" si="26"/>
        <v>1.625</v>
      </c>
      <c r="C159" s="818" t="e">
        <f>C$114</f>
        <v>#NUM!</v>
      </c>
      <c r="D159" s="818"/>
      <c r="E159" s="819">
        <f t="shared" si="27"/>
        <v>0</v>
      </c>
      <c r="F159" s="819">
        <f t="shared" si="28"/>
        <v>0</v>
      </c>
      <c r="G159"/>
      <c r="L159" s="44" t="e">
        <f>IF(#REF!="","",IF(#REF!&gt;K$3,1,""))</f>
        <v>#REF!</v>
      </c>
    </row>
    <row r="160" spans="1:12">
      <c r="A160" s="817" t="s">
        <v>1013</v>
      </c>
      <c r="B160" s="821">
        <f t="shared" si="26"/>
        <v>1.375</v>
      </c>
      <c r="C160" s="818" t="e">
        <f>C$114</f>
        <v>#NUM!</v>
      </c>
      <c r="D160" s="818"/>
      <c r="E160" s="819">
        <f t="shared" si="27"/>
        <v>0</v>
      </c>
      <c r="F160" s="819">
        <f t="shared" si="28"/>
        <v>0</v>
      </c>
      <c r="G160"/>
      <c r="L160" s="44" t="e">
        <f>IF(#REF!="","",IF(#REF!&gt;K$3,1,""))</f>
        <v>#REF!</v>
      </c>
    </row>
    <row r="161" spans="1:12">
      <c r="A161" s="817" t="s">
        <v>1013</v>
      </c>
      <c r="B161" s="821">
        <f t="shared" si="26"/>
        <v>1.625</v>
      </c>
      <c r="C161" s="818" t="e">
        <f>C$114</f>
        <v>#NUM!</v>
      </c>
      <c r="D161" s="818"/>
      <c r="E161" s="819">
        <f t="shared" si="27"/>
        <v>0</v>
      </c>
      <c r="F161" s="819">
        <f t="shared" si="28"/>
        <v>0</v>
      </c>
      <c r="G161"/>
      <c r="L161" s="44" t="e">
        <f>IF(#REF!="","",IF(#REF!&gt;K$3,1,""))</f>
        <v>#REF!</v>
      </c>
    </row>
    <row r="162" spans="1:12" ht="13.5" thickBot="1">
      <c r="A162" s="822" t="s">
        <v>1046</v>
      </c>
      <c r="B162" s="823">
        <f t="shared" si="26"/>
        <v>1.625</v>
      </c>
      <c r="C162" s="823" t="e">
        <f>C$112</f>
        <v>#NUM!</v>
      </c>
      <c r="D162" s="821"/>
      <c r="E162" s="819">
        <f t="shared" si="27"/>
        <v>0</v>
      </c>
      <c r="F162" s="819">
        <f t="shared" si="28"/>
        <v>0</v>
      </c>
      <c r="G162"/>
      <c r="L162" s="44" t="e">
        <f>IF(#REF!="","",IF(#REF!&gt;K$3,1,""))</f>
        <v>#REF!</v>
      </c>
    </row>
    <row r="163" spans="1:12" ht="13.5" thickTop="1">
      <c r="A163" s="825">
        <f>D8</f>
        <v>0</v>
      </c>
      <c r="B163" s="821"/>
      <c r="C163" s="818"/>
      <c r="D163" s="818"/>
      <c r="E163" s="819">
        <f t="shared" si="27"/>
        <v>0</v>
      </c>
      <c r="F163" s="819">
        <f t="shared" si="28"/>
        <v>0</v>
      </c>
      <c r="G163"/>
      <c r="L163" s="44" t="e">
        <f>IF(#REF!="","",IF(#REF!&gt;K$3,1,""))</f>
        <v>#REF!</v>
      </c>
    </row>
    <row r="164" spans="1:12">
      <c r="A164" s="817" t="s">
        <v>1045</v>
      </c>
      <c r="B164" s="821">
        <f t="shared" ref="B164:B182" si="29">B144+1</f>
        <v>2.4</v>
      </c>
      <c r="C164" s="818">
        <f>D$111</f>
        <v>0</v>
      </c>
      <c r="D164" s="818"/>
      <c r="E164" s="819">
        <f t="shared" si="27"/>
        <v>0</v>
      </c>
      <c r="F164" s="819">
        <f t="shared" si="28"/>
        <v>0</v>
      </c>
      <c r="G164"/>
      <c r="L164" s="44" t="e">
        <f>IF(#REF!="","",IF(#REF!&gt;K$3,1,""))</f>
        <v>#REF!</v>
      </c>
    </row>
    <row r="165" spans="1:12">
      <c r="A165" s="817" t="s">
        <v>1045</v>
      </c>
      <c r="B165" s="821">
        <f t="shared" si="29"/>
        <v>2.6</v>
      </c>
      <c r="C165" s="818">
        <f>D$111</f>
        <v>0</v>
      </c>
      <c r="D165" s="818"/>
      <c r="E165" s="819">
        <f t="shared" si="27"/>
        <v>0</v>
      </c>
      <c r="F165" s="819">
        <f t="shared" si="28"/>
        <v>0</v>
      </c>
      <c r="G165"/>
      <c r="L165" s="44" t="e">
        <f>IF(#REF!="","",IF(#REF!&gt;K$3,1,""))</f>
        <v>#REF!</v>
      </c>
    </row>
    <row r="166" spans="1:12">
      <c r="A166" s="817" t="s">
        <v>1045</v>
      </c>
      <c r="B166" s="821">
        <f t="shared" si="29"/>
        <v>2.5</v>
      </c>
      <c r="C166" s="818">
        <f>D$111</f>
        <v>0</v>
      </c>
      <c r="D166" s="818"/>
      <c r="E166" s="819">
        <f t="shared" si="27"/>
        <v>0</v>
      </c>
      <c r="F166" s="819">
        <f t="shared" si="28"/>
        <v>0</v>
      </c>
      <c r="G166"/>
      <c r="L166" s="44" t="e">
        <f>IF(#REF!="","",IF(#REF!&gt;K$3,1,""))</f>
        <v>#REF!</v>
      </c>
    </row>
    <row r="167" spans="1:12">
      <c r="A167" s="817" t="s">
        <v>1046</v>
      </c>
      <c r="B167" s="821">
        <f t="shared" si="29"/>
        <v>2.5</v>
      </c>
      <c r="C167" s="818" t="e">
        <f>D$112</f>
        <v>#NUM!</v>
      </c>
      <c r="D167" s="818"/>
      <c r="E167" s="819">
        <f t="shared" si="27"/>
        <v>0</v>
      </c>
      <c r="F167" s="819">
        <f t="shared" si="28"/>
        <v>0</v>
      </c>
      <c r="G167"/>
      <c r="L167" s="44" t="e">
        <f>IF(#REF!="","",IF(#REF!&gt;K$3,1,""))</f>
        <v>#REF!</v>
      </c>
    </row>
    <row r="168" spans="1:12">
      <c r="A168" s="817" t="s">
        <v>1046</v>
      </c>
      <c r="B168" s="821">
        <f t="shared" si="29"/>
        <v>2.625</v>
      </c>
      <c r="C168" s="818" t="e">
        <f>D$112</f>
        <v>#NUM!</v>
      </c>
      <c r="D168" s="818"/>
      <c r="E168" s="819">
        <f t="shared" si="27"/>
        <v>0</v>
      </c>
      <c r="F168" s="819">
        <f t="shared" si="28"/>
        <v>0</v>
      </c>
      <c r="G168"/>
      <c r="L168" s="44" t="e">
        <f>IF(#REF!="","",IF(#REF!&gt;K$3,1,""))</f>
        <v>#REF!</v>
      </c>
    </row>
    <row r="169" spans="1:12">
      <c r="A169" s="817" t="s">
        <v>1046</v>
      </c>
      <c r="B169" s="821">
        <f t="shared" si="29"/>
        <v>2.375</v>
      </c>
      <c r="C169" s="818" t="e">
        <f>D$112</f>
        <v>#NUM!</v>
      </c>
      <c r="D169" s="818"/>
      <c r="E169" s="819">
        <f t="shared" si="27"/>
        <v>0</v>
      </c>
      <c r="F169" s="819">
        <f t="shared" si="28"/>
        <v>0</v>
      </c>
      <c r="G169"/>
      <c r="L169" s="44" t="e">
        <f>IF(#REF!="","",IF(#REF!&gt;K$3,1,""))</f>
        <v>#REF!</v>
      </c>
    </row>
    <row r="170" spans="1:12">
      <c r="A170" s="817" t="s">
        <v>1049</v>
      </c>
      <c r="B170" s="821">
        <f t="shared" si="29"/>
        <v>2.375</v>
      </c>
      <c r="C170" s="818" t="e">
        <f>D$116</f>
        <v>#NUM!</v>
      </c>
      <c r="D170" s="818"/>
      <c r="E170" s="819">
        <f t="shared" si="27"/>
        <v>0</v>
      </c>
      <c r="F170" s="819">
        <f t="shared" si="28"/>
        <v>0</v>
      </c>
      <c r="G170"/>
      <c r="L170" s="44" t="e">
        <f>IF(#REF!="","",IF(#REF!&gt;K$3,1,""))</f>
        <v>#REF!</v>
      </c>
    </row>
    <row r="171" spans="1:12">
      <c r="A171" s="817" t="s">
        <v>1049</v>
      </c>
      <c r="B171" s="821">
        <f t="shared" si="29"/>
        <v>2.625</v>
      </c>
      <c r="C171" s="818" t="e">
        <f>D$116</f>
        <v>#NUM!</v>
      </c>
      <c r="D171" s="818"/>
      <c r="E171" s="819">
        <f t="shared" si="27"/>
        <v>0</v>
      </c>
      <c r="F171" s="819">
        <f t="shared" si="28"/>
        <v>0</v>
      </c>
      <c r="G171"/>
      <c r="L171" s="44" t="e">
        <f>IF(#REF!="","",IF(#REF!&gt;K$3,1,""))</f>
        <v>#REF!</v>
      </c>
    </row>
    <row r="172" spans="1:12">
      <c r="A172" s="817" t="s">
        <v>1049</v>
      </c>
      <c r="B172" s="821">
        <f t="shared" si="29"/>
        <v>2.5</v>
      </c>
      <c r="C172" s="818" t="e">
        <f>D$116</f>
        <v>#NUM!</v>
      </c>
      <c r="D172" s="818"/>
      <c r="E172" s="819">
        <f t="shared" si="27"/>
        <v>0</v>
      </c>
      <c r="F172" s="819">
        <f t="shared" si="28"/>
        <v>0</v>
      </c>
      <c r="G172"/>
      <c r="L172" s="44" t="e">
        <f>IF(#REF!="","",IF(#REF!&gt;K$3,1,""))</f>
        <v>#REF!</v>
      </c>
    </row>
    <row r="173" spans="1:12">
      <c r="A173" s="817" t="s">
        <v>1050</v>
      </c>
      <c r="B173" s="821">
        <f t="shared" si="29"/>
        <v>2.5</v>
      </c>
      <c r="C173" s="818">
        <f>D$117</f>
        <v>0</v>
      </c>
      <c r="D173" s="818"/>
      <c r="E173" s="819">
        <f t="shared" si="27"/>
        <v>0</v>
      </c>
      <c r="F173" s="819">
        <f t="shared" si="28"/>
        <v>0</v>
      </c>
      <c r="G173"/>
      <c r="L173" s="44" t="e">
        <f>IF(#REF!="","",IF(#REF!&gt;K$3,1,""))</f>
        <v>#REF!</v>
      </c>
    </row>
    <row r="174" spans="1:12">
      <c r="A174" s="817" t="s">
        <v>1050</v>
      </c>
      <c r="B174" s="821">
        <f t="shared" si="29"/>
        <v>2.6</v>
      </c>
      <c r="C174" s="818">
        <f>D$117</f>
        <v>0</v>
      </c>
      <c r="D174" s="818"/>
      <c r="E174" s="819">
        <f t="shared" si="27"/>
        <v>0</v>
      </c>
      <c r="F174" s="819">
        <f t="shared" si="28"/>
        <v>0</v>
      </c>
      <c r="G174"/>
      <c r="L174" s="44" t="e">
        <f>IF(#REF!="","",IF(#REF!&gt;K$3,1,""))</f>
        <v>#REF!</v>
      </c>
    </row>
    <row r="175" spans="1:12">
      <c r="A175" s="820" t="s">
        <v>1050</v>
      </c>
      <c r="B175" s="821">
        <f t="shared" si="29"/>
        <v>2.4</v>
      </c>
      <c r="C175" s="818">
        <f>D$117</f>
        <v>0</v>
      </c>
      <c r="D175" s="818"/>
      <c r="E175" s="819">
        <f t="shared" si="27"/>
        <v>0</v>
      </c>
      <c r="F175" s="819">
        <f t="shared" si="28"/>
        <v>0</v>
      </c>
      <c r="G175"/>
      <c r="L175" s="44" t="e">
        <f>IF(#REF!="","",IF(#REF!&gt;K$3,1,""))</f>
        <v>#REF!</v>
      </c>
    </row>
    <row r="176" spans="1:12">
      <c r="A176" s="817" t="s">
        <v>1054</v>
      </c>
      <c r="B176" s="821">
        <f t="shared" si="29"/>
        <v>2.5</v>
      </c>
      <c r="C176" s="818">
        <f>D$117</f>
        <v>0</v>
      </c>
      <c r="D176" s="818"/>
      <c r="E176" s="819">
        <f t="shared" si="27"/>
        <v>0</v>
      </c>
      <c r="F176" s="819">
        <f t="shared" si="28"/>
        <v>0</v>
      </c>
      <c r="G176"/>
      <c r="L176" s="44" t="e">
        <f>IF(#REF!="","",IF(#REF!&gt;K$3,1,""))</f>
        <v>#REF!</v>
      </c>
    </row>
    <row r="177" spans="1:12">
      <c r="A177" s="817" t="s">
        <v>1049</v>
      </c>
      <c r="B177" s="821">
        <f t="shared" si="29"/>
        <v>2.5</v>
      </c>
      <c r="C177" s="818" t="e">
        <f>D$116</f>
        <v>#NUM!</v>
      </c>
      <c r="D177" s="818"/>
      <c r="E177" s="819">
        <f t="shared" si="27"/>
        <v>0</v>
      </c>
      <c r="F177" s="819">
        <f t="shared" si="28"/>
        <v>0</v>
      </c>
      <c r="G177"/>
      <c r="L177" s="44" t="e">
        <f>IF(#REF!="","",IF(#REF!&gt;K$3,1,""))</f>
        <v>#REF!</v>
      </c>
    </row>
    <row r="178" spans="1:12">
      <c r="A178" s="817" t="s">
        <v>1049</v>
      </c>
      <c r="B178" s="821">
        <f t="shared" si="29"/>
        <v>2.625</v>
      </c>
      <c r="C178" s="818" t="e">
        <f>D$116</f>
        <v>#NUM!</v>
      </c>
      <c r="D178" s="818"/>
      <c r="E178" s="819">
        <f t="shared" si="27"/>
        <v>0</v>
      </c>
      <c r="F178" s="819">
        <f t="shared" si="28"/>
        <v>0</v>
      </c>
      <c r="G178"/>
      <c r="L178" s="44" t="e">
        <f>IF(#REF!="","",IF(#REF!&gt;K$3,1,""))</f>
        <v>#REF!</v>
      </c>
    </row>
    <row r="179" spans="1:12">
      <c r="A179" s="817" t="s">
        <v>1013</v>
      </c>
      <c r="B179" s="821">
        <f t="shared" si="29"/>
        <v>2.625</v>
      </c>
      <c r="C179" s="818" t="e">
        <f>D$114</f>
        <v>#NUM!</v>
      </c>
      <c r="D179" s="818"/>
      <c r="E179" s="819">
        <f t="shared" si="27"/>
        <v>0</v>
      </c>
      <c r="F179" s="819">
        <f t="shared" si="28"/>
        <v>0</v>
      </c>
      <c r="G179"/>
      <c r="L179" s="44" t="e">
        <f>IF(#REF!="","",IF(#REF!&gt;K$3,1,""))</f>
        <v>#REF!</v>
      </c>
    </row>
    <row r="180" spans="1:12">
      <c r="A180" s="817" t="s">
        <v>1013</v>
      </c>
      <c r="B180" s="821">
        <f t="shared" si="29"/>
        <v>2.375</v>
      </c>
      <c r="C180" s="818" t="e">
        <f>D$114</f>
        <v>#NUM!</v>
      </c>
      <c r="D180" s="818"/>
      <c r="E180" s="819">
        <f t="shared" si="27"/>
        <v>0</v>
      </c>
      <c r="F180" s="819">
        <f t="shared" si="28"/>
        <v>0</v>
      </c>
      <c r="G180"/>
      <c r="L180" s="44" t="e">
        <f>IF(#REF!="","",IF(#REF!&gt;K$3,1,""))</f>
        <v>#REF!</v>
      </c>
    </row>
    <row r="181" spans="1:12">
      <c r="A181" s="817" t="s">
        <v>1013</v>
      </c>
      <c r="B181" s="821">
        <f t="shared" si="29"/>
        <v>2.625</v>
      </c>
      <c r="C181" s="818" t="e">
        <f>D$114</f>
        <v>#NUM!</v>
      </c>
      <c r="D181" s="818"/>
      <c r="E181" s="819">
        <f t="shared" si="27"/>
        <v>0</v>
      </c>
      <c r="F181" s="819">
        <f t="shared" si="28"/>
        <v>0</v>
      </c>
      <c r="G181"/>
      <c r="L181" s="44" t="e">
        <f>IF(#REF!="","",IF(#REF!&gt;K$3,1,""))</f>
        <v>#REF!</v>
      </c>
    </row>
    <row r="182" spans="1:12" ht="13.5" thickBot="1">
      <c r="A182" s="822" t="s">
        <v>1046</v>
      </c>
      <c r="B182" s="823">
        <f t="shared" si="29"/>
        <v>2.625</v>
      </c>
      <c r="C182" s="823" t="e">
        <f>D$112</f>
        <v>#NUM!</v>
      </c>
      <c r="D182" s="821"/>
      <c r="E182" s="819">
        <f t="shared" si="27"/>
        <v>0</v>
      </c>
      <c r="F182" s="819">
        <f t="shared" si="28"/>
        <v>0</v>
      </c>
      <c r="G182"/>
      <c r="L182" s="44" t="e">
        <f>IF(#REF!="","",IF(#REF!&gt;K$3,1,""))</f>
        <v>#REF!</v>
      </c>
    </row>
    <row r="183" spans="1:12" ht="13.5" thickTop="1">
      <c r="A183" s="825">
        <f>E8</f>
        <v>0</v>
      </c>
      <c r="B183" s="821"/>
      <c r="C183" s="818"/>
      <c r="D183" s="818"/>
      <c r="E183" s="819">
        <f t="shared" si="27"/>
        <v>0</v>
      </c>
      <c r="F183" s="819">
        <f t="shared" si="28"/>
        <v>0</v>
      </c>
      <c r="G183"/>
      <c r="L183" s="44" t="e">
        <f>IF(#REF!="","",IF(#REF!&gt;K$3,1,""))</f>
        <v>#REF!</v>
      </c>
    </row>
    <row r="184" spans="1:12">
      <c r="A184" s="817" t="s">
        <v>1045</v>
      </c>
      <c r="B184" s="821">
        <f t="shared" ref="B184:B202" si="30">B164+1</f>
        <v>3.4</v>
      </c>
      <c r="C184" s="818">
        <f>E$111</f>
        <v>0</v>
      </c>
      <c r="D184" s="818"/>
      <c r="E184" s="819">
        <f t="shared" si="27"/>
        <v>0</v>
      </c>
      <c r="F184" s="819">
        <f t="shared" si="28"/>
        <v>0</v>
      </c>
      <c r="G184"/>
      <c r="L184" s="44" t="e">
        <f>IF(#REF!="","",IF(#REF!&gt;K$3,1,""))</f>
        <v>#REF!</v>
      </c>
    </row>
    <row r="185" spans="1:12">
      <c r="A185" s="817" t="s">
        <v>1045</v>
      </c>
      <c r="B185" s="821">
        <f t="shared" si="30"/>
        <v>3.6</v>
      </c>
      <c r="C185" s="818">
        <f>E$111</f>
        <v>0</v>
      </c>
      <c r="D185" s="818"/>
      <c r="E185" s="819">
        <f t="shared" si="27"/>
        <v>0</v>
      </c>
      <c r="F185" s="819">
        <f t="shared" si="28"/>
        <v>0</v>
      </c>
      <c r="G185"/>
      <c r="L185" s="44" t="e">
        <f>IF(#REF!="","",IF(#REF!&gt;K$3,1,""))</f>
        <v>#REF!</v>
      </c>
    </row>
    <row r="186" spans="1:12">
      <c r="A186" s="817" t="s">
        <v>1045</v>
      </c>
      <c r="B186" s="821">
        <f t="shared" si="30"/>
        <v>3.5</v>
      </c>
      <c r="C186" s="818">
        <f>E$111</f>
        <v>0</v>
      </c>
      <c r="D186" s="818"/>
      <c r="E186" s="819">
        <f t="shared" si="27"/>
        <v>0</v>
      </c>
      <c r="F186" s="819">
        <f t="shared" si="28"/>
        <v>0</v>
      </c>
      <c r="G186"/>
      <c r="L186" s="44" t="e">
        <f>IF(#REF!="","",IF(#REF!&gt;K$3,1,""))</f>
        <v>#REF!</v>
      </c>
    </row>
    <row r="187" spans="1:12">
      <c r="A187" s="817" t="s">
        <v>1046</v>
      </c>
      <c r="B187" s="821">
        <f t="shared" si="30"/>
        <v>3.5</v>
      </c>
      <c r="C187" s="818" t="e">
        <f>E$112</f>
        <v>#NUM!</v>
      </c>
      <c r="D187" s="818"/>
      <c r="E187" s="819">
        <f t="shared" si="27"/>
        <v>0</v>
      </c>
      <c r="F187" s="819">
        <f t="shared" si="28"/>
        <v>0</v>
      </c>
      <c r="G187"/>
      <c r="L187" s="44" t="e">
        <f>IF(#REF!="","",IF(#REF!&gt;K$3,1,""))</f>
        <v>#REF!</v>
      </c>
    </row>
    <row r="188" spans="1:12">
      <c r="A188" s="817" t="s">
        <v>1046</v>
      </c>
      <c r="B188" s="821">
        <f t="shared" si="30"/>
        <v>3.625</v>
      </c>
      <c r="C188" s="818" t="e">
        <f>E$112</f>
        <v>#NUM!</v>
      </c>
      <c r="D188" s="818"/>
      <c r="E188" s="819">
        <f t="shared" si="27"/>
        <v>0</v>
      </c>
      <c r="F188" s="819">
        <f t="shared" si="28"/>
        <v>0</v>
      </c>
      <c r="G188"/>
      <c r="L188" s="44" t="e">
        <f>IF(#REF!="","",IF(#REF!&gt;K$3,1,""))</f>
        <v>#REF!</v>
      </c>
    </row>
    <row r="189" spans="1:12">
      <c r="A189" s="817" t="s">
        <v>1046</v>
      </c>
      <c r="B189" s="821">
        <f t="shared" si="30"/>
        <v>3.375</v>
      </c>
      <c r="C189" s="818" t="e">
        <f>E$112</f>
        <v>#NUM!</v>
      </c>
      <c r="D189" s="818"/>
      <c r="E189" s="819">
        <f t="shared" ref="E189:E220" si="31">E188</f>
        <v>0</v>
      </c>
      <c r="F189" s="819">
        <f t="shared" ref="F189:F220" si="32">F188</f>
        <v>0</v>
      </c>
      <c r="G189"/>
      <c r="L189" s="44" t="e">
        <f>IF(#REF!="","",IF(#REF!&gt;K$3,1,""))</f>
        <v>#REF!</v>
      </c>
    </row>
    <row r="190" spans="1:12">
      <c r="A190" s="817" t="s">
        <v>1049</v>
      </c>
      <c r="B190" s="821">
        <f t="shared" si="30"/>
        <v>3.375</v>
      </c>
      <c r="C190" s="818" t="e">
        <f>E$116</f>
        <v>#NUM!</v>
      </c>
      <c r="D190" s="818"/>
      <c r="E190" s="819">
        <f t="shared" si="31"/>
        <v>0</v>
      </c>
      <c r="F190" s="819">
        <f t="shared" si="32"/>
        <v>0</v>
      </c>
      <c r="G190"/>
      <c r="L190" s="44" t="e">
        <f>IF(#REF!="","",IF(#REF!&gt;K$3,1,""))</f>
        <v>#REF!</v>
      </c>
    </row>
    <row r="191" spans="1:12">
      <c r="A191" s="817" t="s">
        <v>1049</v>
      </c>
      <c r="B191" s="821">
        <f t="shared" si="30"/>
        <v>3.625</v>
      </c>
      <c r="C191" s="818" t="e">
        <f>E$116</f>
        <v>#NUM!</v>
      </c>
      <c r="D191" s="818"/>
      <c r="E191" s="819">
        <f t="shared" si="31"/>
        <v>0</v>
      </c>
      <c r="F191" s="819">
        <f t="shared" si="32"/>
        <v>0</v>
      </c>
      <c r="G191"/>
      <c r="L191" s="44" t="e">
        <f>IF(#REF!="","",IF(#REF!&gt;K$3,1,""))</f>
        <v>#REF!</v>
      </c>
    </row>
    <row r="192" spans="1:12">
      <c r="A192" s="817" t="s">
        <v>1049</v>
      </c>
      <c r="B192" s="821">
        <f t="shared" si="30"/>
        <v>3.5</v>
      </c>
      <c r="C192" s="818" t="e">
        <f>E$116</f>
        <v>#NUM!</v>
      </c>
      <c r="D192" s="818"/>
      <c r="E192" s="819">
        <f t="shared" si="31"/>
        <v>0</v>
      </c>
      <c r="F192" s="819">
        <f t="shared" si="32"/>
        <v>0</v>
      </c>
      <c r="G192"/>
      <c r="L192" s="44" t="e">
        <f>IF(#REF!="","",IF(#REF!&gt;K$3,1,""))</f>
        <v>#REF!</v>
      </c>
    </row>
    <row r="193" spans="1:12">
      <c r="A193" s="817" t="s">
        <v>1050</v>
      </c>
      <c r="B193" s="821">
        <f t="shared" si="30"/>
        <v>3.5</v>
      </c>
      <c r="C193" s="818">
        <f>E$117</f>
        <v>0</v>
      </c>
      <c r="D193" s="818"/>
      <c r="E193" s="819">
        <f t="shared" si="31"/>
        <v>0</v>
      </c>
      <c r="F193" s="819">
        <f t="shared" si="32"/>
        <v>0</v>
      </c>
      <c r="G193"/>
      <c r="L193" s="44" t="e">
        <f>IF(#REF!="","",IF(#REF!&gt;K$3,1,""))</f>
        <v>#REF!</v>
      </c>
    </row>
    <row r="194" spans="1:12">
      <c r="A194" s="817" t="s">
        <v>1050</v>
      </c>
      <c r="B194" s="821">
        <f t="shared" si="30"/>
        <v>3.6</v>
      </c>
      <c r="C194" s="818">
        <f>E$117</f>
        <v>0</v>
      </c>
      <c r="D194" s="818"/>
      <c r="E194" s="819">
        <f t="shared" si="31"/>
        <v>0</v>
      </c>
      <c r="F194" s="819">
        <f t="shared" si="32"/>
        <v>0</v>
      </c>
      <c r="G194"/>
      <c r="L194" s="44" t="e">
        <f>IF(#REF!="","",IF(#REF!&gt;K$3,1,""))</f>
        <v>#REF!</v>
      </c>
    </row>
    <row r="195" spans="1:12">
      <c r="A195" s="820" t="s">
        <v>1050</v>
      </c>
      <c r="B195" s="821">
        <f t="shared" si="30"/>
        <v>3.4</v>
      </c>
      <c r="C195" s="818">
        <f>E$117</f>
        <v>0</v>
      </c>
      <c r="D195" s="818"/>
      <c r="E195" s="819">
        <f t="shared" si="31"/>
        <v>0</v>
      </c>
      <c r="F195" s="819">
        <f t="shared" si="32"/>
        <v>0</v>
      </c>
      <c r="G195"/>
      <c r="L195" s="44" t="e">
        <f>IF(#REF!="","",IF(#REF!&gt;K$3,1,""))</f>
        <v>#REF!</v>
      </c>
    </row>
    <row r="196" spans="1:12">
      <c r="A196" s="817" t="s">
        <v>1054</v>
      </c>
      <c r="B196" s="821">
        <f t="shared" si="30"/>
        <v>3.5</v>
      </c>
      <c r="C196" s="818">
        <f>E$117</f>
        <v>0</v>
      </c>
      <c r="D196" s="818"/>
      <c r="E196" s="819">
        <f t="shared" si="31"/>
        <v>0</v>
      </c>
      <c r="F196" s="819">
        <f t="shared" si="32"/>
        <v>0</v>
      </c>
      <c r="G196"/>
      <c r="L196" s="44" t="e">
        <f>IF(#REF!="","",IF(#REF!&gt;K$3,1,""))</f>
        <v>#REF!</v>
      </c>
    </row>
    <row r="197" spans="1:12">
      <c r="A197" s="817" t="s">
        <v>1049</v>
      </c>
      <c r="B197" s="821">
        <f t="shared" si="30"/>
        <v>3.5</v>
      </c>
      <c r="C197" s="818" t="e">
        <f>E$116</f>
        <v>#NUM!</v>
      </c>
      <c r="D197" s="818"/>
      <c r="E197" s="819">
        <f t="shared" si="31"/>
        <v>0</v>
      </c>
      <c r="F197" s="819">
        <f t="shared" si="32"/>
        <v>0</v>
      </c>
      <c r="G197"/>
      <c r="L197" s="44" t="e">
        <f>IF(#REF!="","",IF(#REF!&gt;K$3,1,""))</f>
        <v>#REF!</v>
      </c>
    </row>
    <row r="198" spans="1:12">
      <c r="A198" s="817" t="s">
        <v>1049</v>
      </c>
      <c r="B198" s="821">
        <f t="shared" si="30"/>
        <v>3.625</v>
      </c>
      <c r="C198" s="818" t="e">
        <f>E$116</f>
        <v>#NUM!</v>
      </c>
      <c r="D198" s="818"/>
      <c r="E198" s="819">
        <f t="shared" si="31"/>
        <v>0</v>
      </c>
      <c r="F198" s="819">
        <f t="shared" si="32"/>
        <v>0</v>
      </c>
      <c r="G198"/>
      <c r="L198" s="44" t="e">
        <f>IF(#REF!="","",IF(#REF!&gt;K$3,1,""))</f>
        <v>#REF!</v>
      </c>
    </row>
    <row r="199" spans="1:12">
      <c r="A199" s="817" t="s">
        <v>1013</v>
      </c>
      <c r="B199" s="821">
        <f t="shared" si="30"/>
        <v>3.625</v>
      </c>
      <c r="C199" s="818" t="e">
        <f>E$114</f>
        <v>#NUM!</v>
      </c>
      <c r="D199" s="818"/>
      <c r="E199" s="819">
        <f t="shared" si="31"/>
        <v>0</v>
      </c>
      <c r="F199" s="819">
        <f t="shared" si="32"/>
        <v>0</v>
      </c>
      <c r="G199"/>
      <c r="L199" s="44" t="e">
        <f>IF(#REF!="","",IF(#REF!&gt;K$3,1,""))</f>
        <v>#REF!</v>
      </c>
    </row>
    <row r="200" spans="1:12">
      <c r="A200" s="817" t="s">
        <v>1013</v>
      </c>
      <c r="B200" s="821">
        <f t="shared" si="30"/>
        <v>3.375</v>
      </c>
      <c r="C200" s="818" t="e">
        <f>E$114</f>
        <v>#NUM!</v>
      </c>
      <c r="D200" s="818"/>
      <c r="E200" s="819">
        <f t="shared" si="31"/>
        <v>0</v>
      </c>
      <c r="F200" s="819">
        <f t="shared" si="32"/>
        <v>0</v>
      </c>
      <c r="G200"/>
      <c r="L200" s="44" t="e">
        <f>IF(#REF!="","",IF(#REF!&gt;K$3,1,""))</f>
        <v>#REF!</v>
      </c>
    </row>
    <row r="201" spans="1:12">
      <c r="A201" s="817" t="s">
        <v>1013</v>
      </c>
      <c r="B201" s="821">
        <f t="shared" si="30"/>
        <v>3.625</v>
      </c>
      <c r="C201" s="818" t="e">
        <f>E$114</f>
        <v>#NUM!</v>
      </c>
      <c r="D201" s="818"/>
      <c r="E201" s="819">
        <f t="shared" si="31"/>
        <v>0</v>
      </c>
      <c r="F201" s="819">
        <f t="shared" si="32"/>
        <v>0</v>
      </c>
      <c r="G201"/>
      <c r="L201" s="44" t="e">
        <f>IF(#REF!="","",IF(#REF!&gt;K$3,1,""))</f>
        <v>#REF!</v>
      </c>
    </row>
    <row r="202" spans="1:12" ht="13.5" thickBot="1">
      <c r="A202" s="822" t="s">
        <v>1046</v>
      </c>
      <c r="B202" s="823">
        <f t="shared" si="30"/>
        <v>3.625</v>
      </c>
      <c r="C202" s="823" t="e">
        <f>E$112</f>
        <v>#NUM!</v>
      </c>
      <c r="D202" s="821"/>
      <c r="E202" s="819">
        <f t="shared" si="31"/>
        <v>0</v>
      </c>
      <c r="F202" s="819">
        <f t="shared" si="32"/>
        <v>0</v>
      </c>
      <c r="G202"/>
      <c r="L202" s="44" t="e">
        <f>IF(#REF!="","",IF(#REF!&gt;K$3,1,""))</f>
        <v>#REF!</v>
      </c>
    </row>
    <row r="203" spans="1:12" ht="13.5" thickTop="1">
      <c r="A203" s="825">
        <f>F8</f>
        <v>0</v>
      </c>
      <c r="B203" s="821"/>
      <c r="C203" s="818"/>
      <c r="D203" s="818"/>
      <c r="E203" s="819">
        <f t="shared" si="31"/>
        <v>0</v>
      </c>
      <c r="F203" s="819">
        <f t="shared" si="32"/>
        <v>0</v>
      </c>
      <c r="G203"/>
      <c r="L203" s="44" t="e">
        <f>IF(#REF!="","",IF(#REF!&gt;K$3,1,""))</f>
        <v>#REF!</v>
      </c>
    </row>
    <row r="204" spans="1:12">
      <c r="A204" s="817" t="s">
        <v>1045</v>
      </c>
      <c r="B204" s="821">
        <f t="shared" ref="B204:B222" si="33">B184+1</f>
        <v>4.4000000000000004</v>
      </c>
      <c r="C204" s="818">
        <f>F$111</f>
        <v>0</v>
      </c>
      <c r="D204" s="818"/>
      <c r="E204" s="819">
        <f t="shared" si="31"/>
        <v>0</v>
      </c>
      <c r="F204" s="819">
        <f t="shared" si="32"/>
        <v>0</v>
      </c>
      <c r="G204"/>
      <c r="L204" s="44" t="e">
        <f>IF(#REF!="","",IF(#REF!&gt;K$3,1,""))</f>
        <v>#REF!</v>
      </c>
    </row>
    <row r="205" spans="1:12">
      <c r="A205" s="817" t="s">
        <v>1045</v>
      </c>
      <c r="B205" s="821">
        <f t="shared" si="33"/>
        <v>4.5999999999999996</v>
      </c>
      <c r="C205" s="818">
        <f>F$111</f>
        <v>0</v>
      </c>
      <c r="D205" s="818"/>
      <c r="E205" s="819">
        <f t="shared" si="31"/>
        <v>0</v>
      </c>
      <c r="F205" s="819">
        <f t="shared" si="32"/>
        <v>0</v>
      </c>
      <c r="G205"/>
      <c r="L205" s="44" t="e">
        <f>IF(#REF!="","",IF(#REF!&gt;K$3,1,""))</f>
        <v>#REF!</v>
      </c>
    </row>
    <row r="206" spans="1:12">
      <c r="A206" s="817" t="s">
        <v>1045</v>
      </c>
      <c r="B206" s="821">
        <f t="shared" si="33"/>
        <v>4.5</v>
      </c>
      <c r="C206" s="818">
        <f>F$111</f>
        <v>0</v>
      </c>
      <c r="D206" s="818"/>
      <c r="E206" s="819">
        <f t="shared" si="31"/>
        <v>0</v>
      </c>
      <c r="F206" s="819">
        <f t="shared" si="32"/>
        <v>0</v>
      </c>
      <c r="G206"/>
      <c r="L206" s="44" t="e">
        <f>IF(#REF!="","",IF(#REF!&gt;K$3,1,""))</f>
        <v>#REF!</v>
      </c>
    </row>
    <row r="207" spans="1:12">
      <c r="A207" s="817" t="s">
        <v>1046</v>
      </c>
      <c r="B207" s="821">
        <f t="shared" si="33"/>
        <v>4.5</v>
      </c>
      <c r="C207" s="818" t="e">
        <f>F$112</f>
        <v>#NUM!</v>
      </c>
      <c r="D207" s="818"/>
      <c r="E207" s="819">
        <f t="shared" si="31"/>
        <v>0</v>
      </c>
      <c r="F207" s="819">
        <f t="shared" si="32"/>
        <v>0</v>
      </c>
      <c r="G207"/>
      <c r="L207" s="44" t="e">
        <f>IF(#REF!="","",IF(#REF!&gt;K$3,1,""))</f>
        <v>#REF!</v>
      </c>
    </row>
    <row r="208" spans="1:12">
      <c r="A208" s="817" t="s">
        <v>1046</v>
      </c>
      <c r="B208" s="821">
        <f t="shared" si="33"/>
        <v>4.625</v>
      </c>
      <c r="C208" s="818" t="e">
        <f>F$112</f>
        <v>#NUM!</v>
      </c>
      <c r="D208" s="818"/>
      <c r="E208" s="819">
        <f t="shared" si="31"/>
        <v>0</v>
      </c>
      <c r="F208" s="819">
        <f t="shared" si="32"/>
        <v>0</v>
      </c>
      <c r="G208"/>
      <c r="L208" s="44" t="e">
        <f>IF(#REF!="","",IF(#REF!&gt;K$3,1,""))</f>
        <v>#REF!</v>
      </c>
    </row>
    <row r="209" spans="1:12">
      <c r="A209" s="817" t="s">
        <v>1046</v>
      </c>
      <c r="B209" s="821">
        <f t="shared" si="33"/>
        <v>4.375</v>
      </c>
      <c r="C209" s="818" t="e">
        <f>F$112</f>
        <v>#NUM!</v>
      </c>
      <c r="D209" s="818"/>
      <c r="E209" s="819">
        <f t="shared" si="31"/>
        <v>0</v>
      </c>
      <c r="F209" s="819">
        <f t="shared" si="32"/>
        <v>0</v>
      </c>
      <c r="G209"/>
      <c r="L209" s="44" t="e">
        <f>IF(#REF!="","",IF(#REF!&gt;K$3,1,""))</f>
        <v>#REF!</v>
      </c>
    </row>
    <row r="210" spans="1:12">
      <c r="A210" s="817" t="s">
        <v>1049</v>
      </c>
      <c r="B210" s="821">
        <f t="shared" si="33"/>
        <v>4.375</v>
      </c>
      <c r="C210" s="818" t="e">
        <f>F$116</f>
        <v>#NUM!</v>
      </c>
      <c r="D210" s="818"/>
      <c r="E210" s="819">
        <f t="shared" si="31"/>
        <v>0</v>
      </c>
      <c r="F210" s="819">
        <f t="shared" si="32"/>
        <v>0</v>
      </c>
      <c r="G210"/>
      <c r="L210" s="44" t="e">
        <f>IF(#REF!="","",IF(#REF!&gt;K$3,1,""))</f>
        <v>#REF!</v>
      </c>
    </row>
    <row r="211" spans="1:12">
      <c r="A211" s="817" t="s">
        <v>1049</v>
      </c>
      <c r="B211" s="821">
        <f t="shared" si="33"/>
        <v>4.625</v>
      </c>
      <c r="C211" s="818" t="e">
        <f>F$116</f>
        <v>#NUM!</v>
      </c>
      <c r="D211" s="818"/>
      <c r="E211" s="819">
        <f t="shared" si="31"/>
        <v>0</v>
      </c>
      <c r="F211" s="819">
        <f t="shared" si="32"/>
        <v>0</v>
      </c>
      <c r="G211"/>
      <c r="L211" s="44" t="e">
        <f>IF(#REF!="","",IF(#REF!&gt;K$3,1,""))</f>
        <v>#REF!</v>
      </c>
    </row>
    <row r="212" spans="1:12">
      <c r="A212" s="817" t="s">
        <v>1049</v>
      </c>
      <c r="B212" s="821">
        <f t="shared" si="33"/>
        <v>4.5</v>
      </c>
      <c r="C212" s="818" t="e">
        <f>F$116</f>
        <v>#NUM!</v>
      </c>
      <c r="D212" s="818"/>
      <c r="E212" s="819">
        <f t="shared" si="31"/>
        <v>0</v>
      </c>
      <c r="F212" s="819">
        <f t="shared" si="32"/>
        <v>0</v>
      </c>
      <c r="G212"/>
      <c r="L212" s="44" t="e">
        <f>IF(#REF!="","",IF(#REF!&gt;K$3,1,""))</f>
        <v>#REF!</v>
      </c>
    </row>
    <row r="213" spans="1:12">
      <c r="A213" s="817" t="s">
        <v>1050</v>
      </c>
      <c r="B213" s="821">
        <f t="shared" si="33"/>
        <v>4.5</v>
      </c>
      <c r="C213" s="818">
        <f>F$117</f>
        <v>0</v>
      </c>
      <c r="D213" s="818"/>
      <c r="E213" s="819">
        <f t="shared" si="31"/>
        <v>0</v>
      </c>
      <c r="F213" s="819">
        <f t="shared" si="32"/>
        <v>0</v>
      </c>
      <c r="G213"/>
      <c r="L213" s="44" t="e">
        <f>IF(#REF!="","",IF(#REF!&gt;K$3,1,""))</f>
        <v>#REF!</v>
      </c>
    </row>
    <row r="214" spans="1:12">
      <c r="A214" s="817" t="s">
        <v>1050</v>
      </c>
      <c r="B214" s="821">
        <f t="shared" si="33"/>
        <v>4.5999999999999996</v>
      </c>
      <c r="C214" s="818">
        <f>F$117</f>
        <v>0</v>
      </c>
      <c r="D214" s="818"/>
      <c r="E214" s="819">
        <f t="shared" si="31"/>
        <v>0</v>
      </c>
      <c r="F214" s="819">
        <f t="shared" si="32"/>
        <v>0</v>
      </c>
      <c r="G214"/>
      <c r="L214" s="44" t="e">
        <f>IF(#REF!="","",IF(#REF!&gt;K$3,1,""))</f>
        <v>#REF!</v>
      </c>
    </row>
    <row r="215" spans="1:12">
      <c r="A215" s="820" t="s">
        <v>1050</v>
      </c>
      <c r="B215" s="821">
        <f t="shared" si="33"/>
        <v>4.4000000000000004</v>
      </c>
      <c r="C215" s="818">
        <f>F$117</f>
        <v>0</v>
      </c>
      <c r="D215" s="818"/>
      <c r="E215" s="819">
        <f t="shared" si="31"/>
        <v>0</v>
      </c>
      <c r="F215" s="819">
        <f t="shared" si="32"/>
        <v>0</v>
      </c>
      <c r="G215"/>
      <c r="L215" s="44" t="e">
        <f>IF(#REF!="","",IF(#REF!&gt;K$3,1,""))</f>
        <v>#REF!</v>
      </c>
    </row>
    <row r="216" spans="1:12">
      <c r="A216" s="817" t="s">
        <v>1054</v>
      </c>
      <c r="B216" s="821">
        <f t="shared" si="33"/>
        <v>4.5</v>
      </c>
      <c r="C216" s="818">
        <f>F$117</f>
        <v>0</v>
      </c>
      <c r="D216" s="818"/>
      <c r="E216" s="819">
        <f t="shared" si="31"/>
        <v>0</v>
      </c>
      <c r="F216" s="819">
        <f t="shared" si="32"/>
        <v>0</v>
      </c>
      <c r="G216"/>
      <c r="L216" s="44" t="e">
        <f>IF(#REF!="","",IF(#REF!&gt;K$3,1,""))</f>
        <v>#REF!</v>
      </c>
    </row>
    <row r="217" spans="1:12">
      <c r="A217" s="817" t="s">
        <v>1049</v>
      </c>
      <c r="B217" s="821">
        <f t="shared" si="33"/>
        <v>4.5</v>
      </c>
      <c r="C217" s="818" t="e">
        <f>F$116</f>
        <v>#NUM!</v>
      </c>
      <c r="D217" s="818"/>
      <c r="E217" s="819">
        <f t="shared" si="31"/>
        <v>0</v>
      </c>
      <c r="F217" s="819">
        <f t="shared" si="32"/>
        <v>0</v>
      </c>
      <c r="G217"/>
      <c r="L217" s="44" t="e">
        <f>IF(#REF!="","",IF(#REF!&gt;K$3,1,""))</f>
        <v>#REF!</v>
      </c>
    </row>
    <row r="218" spans="1:12">
      <c r="A218" s="817" t="s">
        <v>1049</v>
      </c>
      <c r="B218" s="821">
        <f t="shared" si="33"/>
        <v>4.625</v>
      </c>
      <c r="C218" s="818" t="e">
        <f>F$116</f>
        <v>#NUM!</v>
      </c>
      <c r="D218" s="818"/>
      <c r="E218" s="819">
        <f t="shared" si="31"/>
        <v>0</v>
      </c>
      <c r="F218" s="819">
        <f t="shared" si="32"/>
        <v>0</v>
      </c>
      <c r="G218"/>
      <c r="L218" s="44" t="e">
        <f>IF(#REF!="","",IF(#REF!&gt;K$3,1,""))</f>
        <v>#REF!</v>
      </c>
    </row>
    <row r="219" spans="1:12">
      <c r="A219" s="817" t="s">
        <v>1013</v>
      </c>
      <c r="B219" s="821">
        <f t="shared" si="33"/>
        <v>4.625</v>
      </c>
      <c r="C219" s="818" t="e">
        <f>F$114</f>
        <v>#NUM!</v>
      </c>
      <c r="D219" s="818"/>
      <c r="E219" s="819">
        <f t="shared" si="31"/>
        <v>0</v>
      </c>
      <c r="F219" s="819">
        <f t="shared" si="32"/>
        <v>0</v>
      </c>
      <c r="G219"/>
      <c r="L219" s="44" t="e">
        <f>IF(#REF!="","",IF(#REF!&gt;K$3,1,""))</f>
        <v>#REF!</v>
      </c>
    </row>
    <row r="220" spans="1:12">
      <c r="A220" s="817" t="s">
        <v>1013</v>
      </c>
      <c r="B220" s="821">
        <f t="shared" si="33"/>
        <v>4.375</v>
      </c>
      <c r="C220" s="818" t="e">
        <f>F$114</f>
        <v>#NUM!</v>
      </c>
      <c r="D220" s="818"/>
      <c r="E220" s="819">
        <f t="shared" si="31"/>
        <v>0</v>
      </c>
      <c r="F220" s="819">
        <f t="shared" si="32"/>
        <v>0</v>
      </c>
      <c r="G220"/>
      <c r="L220" s="44" t="e">
        <f>IF(#REF!="","",IF(#REF!&gt;K$3,1,""))</f>
        <v>#REF!</v>
      </c>
    </row>
    <row r="221" spans="1:12">
      <c r="A221" s="817" t="s">
        <v>1013</v>
      </c>
      <c r="B221" s="821">
        <f t="shared" si="33"/>
        <v>4.625</v>
      </c>
      <c r="C221" s="818" t="e">
        <f>F$114</f>
        <v>#NUM!</v>
      </c>
      <c r="D221" s="818"/>
      <c r="E221" s="819">
        <f t="shared" ref="E221:E242" si="34">E220</f>
        <v>0</v>
      </c>
      <c r="F221" s="819">
        <f t="shared" ref="F221:F242" si="35">F220</f>
        <v>0</v>
      </c>
      <c r="G221"/>
      <c r="L221" s="44" t="e">
        <f>IF(#REF!="","",IF(#REF!&gt;K$3,1,""))</f>
        <v>#REF!</v>
      </c>
    </row>
    <row r="222" spans="1:12" ht="13.5" thickBot="1">
      <c r="A222" s="822" t="s">
        <v>1046</v>
      </c>
      <c r="B222" s="823">
        <f t="shared" si="33"/>
        <v>4.625</v>
      </c>
      <c r="C222" s="823" t="e">
        <f>F$112</f>
        <v>#NUM!</v>
      </c>
      <c r="D222" s="821"/>
      <c r="E222" s="819">
        <f t="shared" si="34"/>
        <v>0</v>
      </c>
      <c r="F222" s="819">
        <f t="shared" si="35"/>
        <v>0</v>
      </c>
      <c r="G222"/>
      <c r="L222" s="44" t="e">
        <f>IF(#REF!="","",IF(#REF!&gt;K$3,1,""))</f>
        <v>#REF!</v>
      </c>
    </row>
    <row r="223" spans="1:12" ht="13.5" thickTop="1">
      <c r="A223" s="825">
        <f>G8</f>
        <v>0</v>
      </c>
      <c r="B223" s="821"/>
      <c r="C223" s="818"/>
      <c r="D223" s="818"/>
      <c r="E223" s="819">
        <f t="shared" si="34"/>
        <v>0</v>
      </c>
      <c r="F223" s="819">
        <f t="shared" si="35"/>
        <v>0</v>
      </c>
      <c r="G223"/>
      <c r="L223" s="44" t="e">
        <f>IF(#REF!="","",IF(#REF!&gt;K$3,1,""))</f>
        <v>#REF!</v>
      </c>
    </row>
    <row r="224" spans="1:12">
      <c r="A224" s="817" t="s">
        <v>1045</v>
      </c>
      <c r="B224" s="821">
        <f t="shared" ref="B224:B242" si="36">B204+1</f>
        <v>5.4</v>
      </c>
      <c r="C224" s="818">
        <f>G$111</f>
        <v>0</v>
      </c>
      <c r="D224" s="818"/>
      <c r="E224" s="819">
        <f t="shared" si="34"/>
        <v>0</v>
      </c>
      <c r="F224" s="819">
        <f t="shared" si="35"/>
        <v>0</v>
      </c>
      <c r="G224"/>
      <c r="L224" s="44" t="e">
        <f>IF(#REF!="","",IF(#REF!&gt;K$3,1,""))</f>
        <v>#REF!</v>
      </c>
    </row>
    <row r="225" spans="1:12">
      <c r="A225" s="817" t="s">
        <v>1045</v>
      </c>
      <c r="B225" s="821">
        <f t="shared" si="36"/>
        <v>5.6</v>
      </c>
      <c r="C225" s="818">
        <f>G$111</f>
        <v>0</v>
      </c>
      <c r="D225" s="818"/>
      <c r="E225" s="819">
        <f t="shared" si="34"/>
        <v>0</v>
      </c>
      <c r="F225" s="819">
        <f t="shared" si="35"/>
        <v>0</v>
      </c>
      <c r="G225"/>
      <c r="L225" s="44" t="e">
        <f>IF(#REF!="","",IF(#REF!&gt;K$3,1,""))</f>
        <v>#REF!</v>
      </c>
    </row>
    <row r="226" spans="1:12">
      <c r="A226" s="817" t="s">
        <v>1045</v>
      </c>
      <c r="B226" s="821">
        <f t="shared" si="36"/>
        <v>5.5</v>
      </c>
      <c r="C226" s="818">
        <f>G$111</f>
        <v>0</v>
      </c>
      <c r="D226" s="818"/>
      <c r="E226" s="819">
        <f t="shared" si="34"/>
        <v>0</v>
      </c>
      <c r="F226" s="819">
        <f t="shared" si="35"/>
        <v>0</v>
      </c>
      <c r="G226"/>
      <c r="L226" s="44" t="e">
        <f>IF(#REF!="","",IF(#REF!&gt;K$3,1,""))</f>
        <v>#REF!</v>
      </c>
    </row>
    <row r="227" spans="1:12">
      <c r="A227" s="817" t="s">
        <v>1046</v>
      </c>
      <c r="B227" s="821">
        <f t="shared" si="36"/>
        <v>5.5</v>
      </c>
      <c r="C227" s="818" t="e">
        <f>G$112</f>
        <v>#NUM!</v>
      </c>
      <c r="D227" s="818"/>
      <c r="E227" s="819">
        <f t="shared" si="34"/>
        <v>0</v>
      </c>
      <c r="F227" s="819">
        <f t="shared" si="35"/>
        <v>0</v>
      </c>
      <c r="G227"/>
      <c r="L227" s="44" t="e">
        <f>IF(#REF!="","",IF(#REF!&gt;K$3,1,""))</f>
        <v>#REF!</v>
      </c>
    </row>
    <row r="228" spans="1:12">
      <c r="A228" s="817" t="s">
        <v>1046</v>
      </c>
      <c r="B228" s="821">
        <f t="shared" si="36"/>
        <v>5.625</v>
      </c>
      <c r="C228" s="818" t="e">
        <f>G$112</f>
        <v>#NUM!</v>
      </c>
      <c r="D228" s="818"/>
      <c r="E228" s="819">
        <f t="shared" si="34"/>
        <v>0</v>
      </c>
      <c r="F228" s="819">
        <f t="shared" si="35"/>
        <v>0</v>
      </c>
      <c r="G228"/>
      <c r="L228" s="44" t="e">
        <f>IF(#REF!="","",IF(#REF!&gt;K$3,1,""))</f>
        <v>#REF!</v>
      </c>
    </row>
    <row r="229" spans="1:12">
      <c r="A229" s="817" t="s">
        <v>1046</v>
      </c>
      <c r="B229" s="821">
        <f t="shared" si="36"/>
        <v>5.375</v>
      </c>
      <c r="C229" s="818" t="e">
        <f>G$112</f>
        <v>#NUM!</v>
      </c>
      <c r="D229" s="818"/>
      <c r="E229" s="819">
        <f t="shared" si="34"/>
        <v>0</v>
      </c>
      <c r="F229" s="819">
        <f t="shared" si="35"/>
        <v>0</v>
      </c>
      <c r="G229"/>
      <c r="L229" s="44" t="e">
        <f>IF(#REF!="","",IF(#REF!&gt;K$3,1,""))</f>
        <v>#REF!</v>
      </c>
    </row>
    <row r="230" spans="1:12">
      <c r="A230" s="817" t="s">
        <v>1049</v>
      </c>
      <c r="B230" s="821">
        <f t="shared" si="36"/>
        <v>5.375</v>
      </c>
      <c r="C230" s="818" t="e">
        <f>G$116</f>
        <v>#NUM!</v>
      </c>
      <c r="D230" s="818"/>
      <c r="E230" s="819">
        <f t="shared" si="34"/>
        <v>0</v>
      </c>
      <c r="F230" s="819">
        <f t="shared" si="35"/>
        <v>0</v>
      </c>
      <c r="G230"/>
      <c r="L230" s="44" t="e">
        <f>IF(#REF!="","",IF(#REF!&gt;K$3,1,""))</f>
        <v>#REF!</v>
      </c>
    </row>
    <row r="231" spans="1:12">
      <c r="A231" s="817" t="s">
        <v>1049</v>
      </c>
      <c r="B231" s="821">
        <f t="shared" si="36"/>
        <v>5.625</v>
      </c>
      <c r="C231" s="818" t="e">
        <f>G$116</f>
        <v>#NUM!</v>
      </c>
      <c r="D231" s="818"/>
      <c r="E231" s="819">
        <f t="shared" si="34"/>
        <v>0</v>
      </c>
      <c r="F231" s="819">
        <f t="shared" si="35"/>
        <v>0</v>
      </c>
      <c r="G231"/>
      <c r="L231" s="44" t="e">
        <f>IF(#REF!="","",IF(#REF!&gt;K$3,1,""))</f>
        <v>#REF!</v>
      </c>
    </row>
    <row r="232" spans="1:12">
      <c r="A232" s="817" t="s">
        <v>1049</v>
      </c>
      <c r="B232" s="821">
        <f t="shared" si="36"/>
        <v>5.5</v>
      </c>
      <c r="C232" s="818" t="e">
        <f>G$116</f>
        <v>#NUM!</v>
      </c>
      <c r="D232" s="818"/>
      <c r="E232" s="819">
        <f t="shared" si="34"/>
        <v>0</v>
      </c>
      <c r="F232" s="819">
        <f t="shared" si="35"/>
        <v>0</v>
      </c>
      <c r="G232"/>
      <c r="L232" s="44" t="e">
        <f>IF(#REF!="","",IF(#REF!&gt;K$3,1,""))</f>
        <v>#REF!</v>
      </c>
    </row>
    <row r="233" spans="1:12">
      <c r="A233" s="817" t="s">
        <v>1050</v>
      </c>
      <c r="B233" s="821">
        <f t="shared" si="36"/>
        <v>5.5</v>
      </c>
      <c r="C233" s="818">
        <f>G$117</f>
        <v>0</v>
      </c>
      <c r="D233" s="818"/>
      <c r="E233" s="819">
        <f t="shared" si="34"/>
        <v>0</v>
      </c>
      <c r="F233" s="819">
        <f t="shared" si="35"/>
        <v>0</v>
      </c>
      <c r="G233"/>
      <c r="L233" s="44" t="e">
        <f>IF(#REF!="","",IF(#REF!&gt;K$3,1,""))</f>
        <v>#REF!</v>
      </c>
    </row>
    <row r="234" spans="1:12">
      <c r="A234" s="817" t="s">
        <v>1050</v>
      </c>
      <c r="B234" s="821">
        <f t="shared" si="36"/>
        <v>5.6</v>
      </c>
      <c r="C234" s="818">
        <f>G$117</f>
        <v>0</v>
      </c>
      <c r="D234" s="818"/>
      <c r="E234" s="819">
        <f t="shared" si="34"/>
        <v>0</v>
      </c>
      <c r="F234" s="819">
        <f t="shared" si="35"/>
        <v>0</v>
      </c>
      <c r="G234"/>
      <c r="L234" s="44" t="e">
        <f>IF(#REF!="","",IF(#REF!&gt;K$3,1,""))</f>
        <v>#REF!</v>
      </c>
    </row>
    <row r="235" spans="1:12">
      <c r="A235" s="820" t="s">
        <v>1050</v>
      </c>
      <c r="B235" s="821">
        <f t="shared" si="36"/>
        <v>5.4</v>
      </c>
      <c r="C235" s="818">
        <f>G$117</f>
        <v>0</v>
      </c>
      <c r="D235" s="818"/>
      <c r="E235" s="819">
        <f t="shared" si="34"/>
        <v>0</v>
      </c>
      <c r="F235" s="819">
        <f t="shared" si="35"/>
        <v>0</v>
      </c>
      <c r="G235"/>
      <c r="L235" s="44" t="e">
        <f>IF(#REF!="","",IF(#REF!&gt;K$3,1,""))</f>
        <v>#REF!</v>
      </c>
    </row>
    <row r="236" spans="1:12">
      <c r="A236" s="817" t="s">
        <v>1054</v>
      </c>
      <c r="B236" s="821">
        <f t="shared" si="36"/>
        <v>5.5</v>
      </c>
      <c r="C236" s="818">
        <f>G$117</f>
        <v>0</v>
      </c>
      <c r="D236" s="818"/>
      <c r="E236" s="819">
        <f t="shared" si="34"/>
        <v>0</v>
      </c>
      <c r="F236" s="819">
        <f t="shared" si="35"/>
        <v>0</v>
      </c>
      <c r="G236"/>
      <c r="L236" s="44" t="e">
        <f>IF(#REF!="","",IF(#REF!&gt;K$3,1,""))</f>
        <v>#REF!</v>
      </c>
    </row>
    <row r="237" spans="1:12">
      <c r="A237" s="817" t="s">
        <v>1049</v>
      </c>
      <c r="B237" s="821">
        <f t="shared" si="36"/>
        <v>5.5</v>
      </c>
      <c r="C237" s="818" t="e">
        <f>G$116</f>
        <v>#NUM!</v>
      </c>
      <c r="D237" s="818"/>
      <c r="E237" s="819">
        <f t="shared" si="34"/>
        <v>0</v>
      </c>
      <c r="F237" s="819">
        <f t="shared" si="35"/>
        <v>0</v>
      </c>
      <c r="G237"/>
      <c r="L237" s="44" t="e">
        <f>IF(#REF!="","",IF(#REF!&gt;K$3,1,""))</f>
        <v>#REF!</v>
      </c>
    </row>
    <row r="238" spans="1:12">
      <c r="A238" s="817" t="s">
        <v>1049</v>
      </c>
      <c r="B238" s="821">
        <f t="shared" si="36"/>
        <v>5.625</v>
      </c>
      <c r="C238" s="818" t="e">
        <f>G$116</f>
        <v>#NUM!</v>
      </c>
      <c r="D238" s="818"/>
      <c r="E238" s="819">
        <f t="shared" si="34"/>
        <v>0</v>
      </c>
      <c r="F238" s="819">
        <f t="shared" si="35"/>
        <v>0</v>
      </c>
      <c r="G238"/>
      <c r="L238" s="44" t="e">
        <f>IF(#REF!="","",IF(#REF!&gt;K$3,1,""))</f>
        <v>#REF!</v>
      </c>
    </row>
    <row r="239" spans="1:12">
      <c r="A239" s="817" t="s">
        <v>1013</v>
      </c>
      <c r="B239" s="821">
        <f t="shared" si="36"/>
        <v>5.625</v>
      </c>
      <c r="C239" s="818" t="e">
        <f>G$114</f>
        <v>#NUM!</v>
      </c>
      <c r="D239" s="818"/>
      <c r="E239" s="819">
        <f t="shared" si="34"/>
        <v>0</v>
      </c>
      <c r="F239" s="819">
        <f t="shared" si="35"/>
        <v>0</v>
      </c>
      <c r="G239"/>
      <c r="L239" s="44" t="e">
        <f>IF(#REF!="","",IF(#REF!&gt;K$3,1,""))</f>
        <v>#REF!</v>
      </c>
    </row>
    <row r="240" spans="1:12">
      <c r="A240" s="817" t="s">
        <v>1013</v>
      </c>
      <c r="B240" s="821">
        <f t="shared" si="36"/>
        <v>5.375</v>
      </c>
      <c r="C240" s="818" t="e">
        <f>G$114</f>
        <v>#NUM!</v>
      </c>
      <c r="D240" s="818"/>
      <c r="E240" s="819">
        <f t="shared" si="34"/>
        <v>0</v>
      </c>
      <c r="F240" s="819">
        <f t="shared" si="35"/>
        <v>0</v>
      </c>
      <c r="G240"/>
      <c r="L240" s="44" t="e">
        <f>IF(#REF!="","",IF(#REF!&gt;K$3,1,""))</f>
        <v>#REF!</v>
      </c>
    </row>
    <row r="241" spans="1:12">
      <c r="A241" s="817" t="s">
        <v>1013</v>
      </c>
      <c r="B241" s="821">
        <f t="shared" si="36"/>
        <v>5.625</v>
      </c>
      <c r="C241" s="818" t="e">
        <f>G$114</f>
        <v>#NUM!</v>
      </c>
      <c r="D241" s="818"/>
      <c r="E241" s="819">
        <f t="shared" si="34"/>
        <v>0</v>
      </c>
      <c r="F241" s="819">
        <f t="shared" si="35"/>
        <v>0</v>
      </c>
      <c r="G241"/>
      <c r="L241" s="44" t="e">
        <f>IF(#REF!="","",IF(#REF!&gt;K$3,1,""))</f>
        <v>#REF!</v>
      </c>
    </row>
    <row r="242" spans="1:12" ht="13.5" thickBot="1">
      <c r="A242" s="822" t="s">
        <v>1046</v>
      </c>
      <c r="B242" s="823">
        <f t="shared" si="36"/>
        <v>5.625</v>
      </c>
      <c r="C242" s="823" t="e">
        <f>G$112</f>
        <v>#NUM!</v>
      </c>
      <c r="D242" s="821"/>
      <c r="E242" s="819">
        <f t="shared" si="34"/>
        <v>0</v>
      </c>
      <c r="F242" s="819">
        <f t="shared" si="35"/>
        <v>0</v>
      </c>
      <c r="G242"/>
      <c r="L242" s="44" t="e">
        <f>IF(#REF!="","",IF(#REF!&gt;K$3,1,""))</f>
        <v>#REF!</v>
      </c>
    </row>
    <row r="243" spans="1:12" ht="13.5" thickTop="1">
      <c r="L243" s="44" t="e">
        <f>IF(#REF!="","",IF(#REF!&gt;K$3,1,""))</f>
        <v>#REF!</v>
      </c>
    </row>
    <row r="244" spans="1:12">
      <c r="L244" s="44" t="e">
        <f>IF(#REF!="","",IF(#REF!&gt;K$3,1,""))</f>
        <v>#REF!</v>
      </c>
    </row>
    <row r="245" spans="1:12">
      <c r="L245" s="44" t="e">
        <f>IF(#REF!="","",IF(#REF!&gt;K$3,1,""))</f>
        <v>#REF!</v>
      </c>
    </row>
    <row r="246" spans="1:12">
      <c r="L246" s="44" t="e">
        <f>IF(#REF!="","",IF(#REF!&gt;K$3,1,""))</f>
        <v>#REF!</v>
      </c>
    </row>
    <row r="247" spans="1:12">
      <c r="L247" s="44" t="e">
        <f>IF(#REF!="","",IF(#REF!&gt;K$3,1,""))</f>
        <v>#REF!</v>
      </c>
    </row>
    <row r="248" spans="1:12">
      <c r="L248" s="44" t="e">
        <f>IF(#REF!="","",IF(#REF!&gt;K$3,1,""))</f>
        <v>#REF!</v>
      </c>
    </row>
    <row r="249" spans="1:12">
      <c r="L249" s="44" t="e">
        <f>IF(#REF!="","",IF(#REF!&gt;K$3,1,""))</f>
        <v>#REF!</v>
      </c>
    </row>
    <row r="250" spans="1:12">
      <c r="L250" s="44" t="e">
        <f>IF(#REF!="","",IF(#REF!&gt;K$3,1,""))</f>
        <v>#REF!</v>
      </c>
    </row>
    <row r="251" spans="1:12">
      <c r="L251" s="44" t="e">
        <f>IF(#REF!="","",IF(#REF!&gt;K$3,1,""))</f>
        <v>#REF!</v>
      </c>
    </row>
    <row r="252" spans="1:12">
      <c r="L252" s="44" t="e">
        <f>IF(#REF!="","",IF(#REF!&gt;K$3,1,""))</f>
        <v>#REF!</v>
      </c>
    </row>
    <row r="253" spans="1:12">
      <c r="L253" s="44" t="e">
        <f>IF(#REF!="","",IF(#REF!&gt;K$3,1,""))</f>
        <v>#REF!</v>
      </c>
    </row>
    <row r="254" spans="1:12">
      <c r="L254" s="44" t="e">
        <f>IF(#REF!="","",IF(#REF!&gt;K$3,1,""))</f>
        <v>#REF!</v>
      </c>
    </row>
    <row r="255" spans="1:12">
      <c r="L255" s="44" t="e">
        <f>IF(#REF!="","",IF(#REF!&gt;K$3,1,""))</f>
        <v>#REF!</v>
      </c>
    </row>
    <row r="256" spans="1:12">
      <c r="L256" s="44" t="e">
        <f>IF(#REF!="","",IF(#REF!&gt;K$3,1,""))</f>
        <v>#REF!</v>
      </c>
    </row>
    <row r="257" spans="12:12">
      <c r="L257" s="44" t="e">
        <f>IF(#REF!="","",IF(#REF!&gt;K$3,1,""))</f>
        <v>#REF!</v>
      </c>
    </row>
    <row r="258" spans="12:12">
      <c r="L258" s="44" t="e">
        <f>IF(#REF!="","",IF(#REF!&gt;K$3,1,""))</f>
        <v>#REF!</v>
      </c>
    </row>
    <row r="259" spans="12:12">
      <c r="L259" s="44" t="e">
        <f>IF(#REF!="","",IF(#REF!&gt;K$3,1,""))</f>
        <v>#REF!</v>
      </c>
    </row>
    <row r="260" spans="12:12">
      <c r="L260" s="44" t="e">
        <f>IF(#REF!="","",IF(#REF!&gt;K$3,1,""))</f>
        <v>#REF!</v>
      </c>
    </row>
    <row r="261" spans="12:12">
      <c r="L261" s="44" t="e">
        <f>IF(#REF!="","",IF(#REF!&gt;K$3,1,""))</f>
        <v>#REF!</v>
      </c>
    </row>
    <row r="262" spans="12:12">
      <c r="L262" s="44" t="e">
        <f>IF(#REF!="","",IF(#REF!&gt;K$3,1,""))</f>
        <v>#REF!</v>
      </c>
    </row>
    <row r="263" spans="12:12">
      <c r="L263" s="44" t="e">
        <f>IF(#REF!="","",IF(#REF!&gt;K$3,1,""))</f>
        <v>#REF!</v>
      </c>
    </row>
    <row r="264" spans="12:12">
      <c r="L264" s="44" t="e">
        <f>IF(#REF!="","",IF(#REF!&gt;K$3,1,""))</f>
        <v>#REF!</v>
      </c>
    </row>
    <row r="265" spans="12:12">
      <c r="L265" s="44" t="e">
        <f>IF(#REF!="","",IF(#REF!&gt;K$3,1,""))</f>
        <v>#REF!</v>
      </c>
    </row>
    <row r="266" spans="12:12">
      <c r="L266" s="44" t="e">
        <f>IF(#REF!="","",IF(#REF!&gt;K$3,1,""))</f>
        <v>#REF!</v>
      </c>
    </row>
    <row r="267" spans="12:12">
      <c r="L267" s="44" t="e">
        <f>IF(#REF!="","",IF(#REF!&gt;K$3,1,""))</f>
        <v>#REF!</v>
      </c>
    </row>
    <row r="268" spans="12:12">
      <c r="L268" s="44" t="e">
        <f>IF(#REF!="","",IF(#REF!&gt;K$3,1,""))</f>
        <v>#REF!</v>
      </c>
    </row>
    <row r="269" spans="12:12">
      <c r="L269" s="44" t="e">
        <f>IF(#REF!="","",IF(#REF!&gt;K$3,1,""))</f>
        <v>#REF!</v>
      </c>
    </row>
    <row r="270" spans="12:12">
      <c r="L270" s="44" t="e">
        <f>IF(#REF!="","",IF(#REF!&gt;K$3,1,""))</f>
        <v>#REF!</v>
      </c>
    </row>
    <row r="271" spans="12:12">
      <c r="L271" s="44" t="e">
        <f>IF(#REF!="","",IF(#REF!&gt;K$3,1,""))</f>
        <v>#REF!</v>
      </c>
    </row>
    <row r="272" spans="12:12">
      <c r="L272" s="44" t="e">
        <f>IF(#REF!="","",IF(#REF!&gt;K$3,1,""))</f>
        <v>#REF!</v>
      </c>
    </row>
    <row r="273" spans="12:12">
      <c r="L273" s="44" t="e">
        <f>IF(#REF!="","",IF(#REF!&gt;K$3,1,""))</f>
        <v>#REF!</v>
      </c>
    </row>
    <row r="274" spans="12:12">
      <c r="L274" s="44" t="e">
        <f>IF(#REF!="","",IF(#REF!&gt;K$3,1,""))</f>
        <v>#REF!</v>
      </c>
    </row>
    <row r="275" spans="12:12">
      <c r="L275" s="44" t="e">
        <f>IF(#REF!="","",IF(#REF!&gt;K$3,1,""))</f>
        <v>#REF!</v>
      </c>
    </row>
    <row r="276" spans="12:12">
      <c r="L276" s="44" t="e">
        <f>IF(#REF!="","",IF(#REF!&gt;K$3,1,""))</f>
        <v>#REF!</v>
      </c>
    </row>
    <row r="277" spans="12:12">
      <c r="L277" s="44" t="e">
        <f>IF(#REF!="","",IF(#REF!&gt;K$3,1,""))</f>
        <v>#REF!</v>
      </c>
    </row>
    <row r="278" spans="12:12">
      <c r="L278" s="44" t="e">
        <f>IF(#REF!="","",IF(#REF!&gt;K$3,1,""))</f>
        <v>#REF!</v>
      </c>
    </row>
    <row r="279" spans="12:12">
      <c r="L279" s="44" t="e">
        <f>IF(#REF!="","",IF(#REF!&gt;K$3,1,""))</f>
        <v>#REF!</v>
      </c>
    </row>
    <row r="280" spans="12:12">
      <c r="L280" s="44" t="e">
        <f>IF(#REF!="","",IF(#REF!&gt;K$3,1,""))</f>
        <v>#REF!</v>
      </c>
    </row>
    <row r="281" spans="12:12">
      <c r="L281" s="44" t="e">
        <f>IF(#REF!="","",IF(#REF!&gt;K$3,1,""))</f>
        <v>#REF!</v>
      </c>
    </row>
    <row r="282" spans="12:12">
      <c r="L282" s="44" t="e">
        <f>IF(#REF!="","",IF(#REF!&gt;K$3,1,""))</f>
        <v>#REF!</v>
      </c>
    </row>
    <row r="283" spans="12:12">
      <c r="L283" s="44" t="e">
        <f>IF(#REF!="","",IF(#REF!&gt;K$3,1,""))</f>
        <v>#REF!</v>
      </c>
    </row>
    <row r="284" spans="12:12">
      <c r="L284" s="44" t="e">
        <f>IF(#REF!="","",IF(#REF!&gt;K$3,1,""))</f>
        <v>#REF!</v>
      </c>
    </row>
    <row r="285" spans="12:12">
      <c r="L285" s="44" t="e">
        <f>IF(#REF!="","",IF(#REF!&gt;K$3,1,""))</f>
        <v>#REF!</v>
      </c>
    </row>
    <row r="286" spans="12:12">
      <c r="L286" s="44" t="e">
        <f>IF(#REF!="","",IF(#REF!&gt;K$3,1,""))</f>
        <v>#REF!</v>
      </c>
    </row>
    <row r="287" spans="12:12">
      <c r="L287" s="44" t="e">
        <f>IF(#REF!="","",IF(#REF!&gt;K$3,1,""))</f>
        <v>#REF!</v>
      </c>
    </row>
    <row r="288" spans="12:12">
      <c r="L288" s="44" t="e">
        <f>IF(#REF!="","",IF(#REF!&gt;K$3,1,""))</f>
        <v>#REF!</v>
      </c>
    </row>
    <row r="289" spans="12:12">
      <c r="L289" s="44" t="e">
        <f>IF(#REF!="","",IF(#REF!&gt;K$3,1,""))</f>
        <v>#REF!</v>
      </c>
    </row>
    <row r="290" spans="12:12">
      <c r="L290" s="44" t="e">
        <f>IF(#REF!="","",IF(#REF!&gt;K$3,1,""))</f>
        <v>#REF!</v>
      </c>
    </row>
    <row r="291" spans="12:12">
      <c r="L291" s="44" t="e">
        <f>IF(#REF!="","",IF(#REF!&gt;K$3,1,""))</f>
        <v>#REF!</v>
      </c>
    </row>
    <row r="292" spans="12:12">
      <c r="L292" s="44" t="e">
        <f>IF(#REF!="","",IF(#REF!&gt;K$3,1,""))</f>
        <v>#REF!</v>
      </c>
    </row>
    <row r="293" spans="12:12">
      <c r="L293" s="44" t="e">
        <f>IF(#REF!="","",IF(#REF!&gt;K$3,1,""))</f>
        <v>#REF!</v>
      </c>
    </row>
    <row r="294" spans="12:12">
      <c r="L294" s="44" t="e">
        <f>IF(#REF!="","",IF(#REF!&gt;K$3,1,""))</f>
        <v>#REF!</v>
      </c>
    </row>
    <row r="295" spans="12:12">
      <c r="L295" s="44" t="e">
        <f>IF(#REF!="","",IF(#REF!&gt;K$3,1,""))</f>
        <v>#REF!</v>
      </c>
    </row>
    <row r="296" spans="12:12">
      <c r="L296" s="44" t="e">
        <f>IF(#REF!="","",IF(#REF!&gt;K$3,1,""))</f>
        <v>#REF!</v>
      </c>
    </row>
    <row r="297" spans="12:12">
      <c r="L297" s="44" t="e">
        <f>IF(#REF!="","",IF(#REF!&gt;K$3,1,""))</f>
        <v>#REF!</v>
      </c>
    </row>
    <row r="298" spans="12:12">
      <c r="L298" s="44" t="e">
        <f>IF(#REF!="","",IF(#REF!&gt;K$3,1,""))</f>
        <v>#REF!</v>
      </c>
    </row>
    <row r="299" spans="12:12">
      <c r="L299" s="44" t="e">
        <f>IF(#REF!="","",IF(#REF!&gt;K$3,1,""))</f>
        <v>#REF!</v>
      </c>
    </row>
    <row r="300" spans="12:12">
      <c r="L300" s="44" t="e">
        <f>IF(#REF!="","",IF(#REF!&gt;K$3,1,""))</f>
        <v>#REF!</v>
      </c>
    </row>
    <row r="301" spans="12:12">
      <c r="L301" s="44" t="e">
        <f>IF(#REF!="","",IF(#REF!&gt;K$3,1,""))</f>
        <v>#REF!</v>
      </c>
    </row>
    <row r="302" spans="12:12">
      <c r="L302" s="44" t="e">
        <f>IF(#REF!="","",IF(#REF!&gt;K$3,1,""))</f>
        <v>#REF!</v>
      </c>
    </row>
    <row r="303" spans="12:12">
      <c r="L303" s="44" t="e">
        <f>IF(#REF!="","",IF(#REF!&gt;K$3,1,""))</f>
        <v>#REF!</v>
      </c>
    </row>
    <row r="304" spans="12:12">
      <c r="L304" s="44" t="e">
        <f>IF(#REF!="","",IF(#REF!&gt;K$3,1,""))</f>
        <v>#REF!</v>
      </c>
    </row>
    <row r="305" spans="12:12">
      <c r="L305" s="44" t="e">
        <f>IF(#REF!="","",IF(#REF!&gt;K$3,1,""))</f>
        <v>#REF!</v>
      </c>
    </row>
    <row r="306" spans="12:12">
      <c r="L306" s="44" t="e">
        <f>IF(#REF!="","",IF(#REF!&gt;K$3,1,""))</f>
        <v>#REF!</v>
      </c>
    </row>
    <row r="307" spans="12:12">
      <c r="L307" s="44" t="e">
        <f>IF(#REF!="","",IF(#REF!&gt;K$3,1,""))</f>
        <v>#REF!</v>
      </c>
    </row>
    <row r="308" spans="12:12">
      <c r="L308" s="44" t="e">
        <f>IF(#REF!="","",IF(#REF!&gt;K$3,1,""))</f>
        <v>#REF!</v>
      </c>
    </row>
    <row r="309" spans="12:12">
      <c r="L309" s="44" t="e">
        <f>IF(#REF!="","",IF(#REF!&gt;K$3,1,""))</f>
        <v>#REF!</v>
      </c>
    </row>
    <row r="310" spans="12:12">
      <c r="L310" s="44" t="e">
        <f>IF(#REF!="","",IF(#REF!&gt;K$3,1,""))</f>
        <v>#REF!</v>
      </c>
    </row>
    <row r="311" spans="12:12">
      <c r="L311" s="44" t="e">
        <f>IF(#REF!="","",IF(#REF!&gt;K$3,1,""))</f>
        <v>#REF!</v>
      </c>
    </row>
    <row r="312" spans="12:12">
      <c r="L312" s="44" t="e">
        <f>IF(#REF!="","",IF(#REF!&gt;K$3,1,""))</f>
        <v>#REF!</v>
      </c>
    </row>
    <row r="313" spans="12:12">
      <c r="L313" s="44" t="e">
        <f>IF(#REF!="","",IF(#REF!&gt;K$3,1,""))</f>
        <v>#REF!</v>
      </c>
    </row>
    <row r="314" spans="12:12">
      <c r="L314" s="44" t="e">
        <f>IF(#REF!="","",IF(#REF!&gt;K$3,1,""))</f>
        <v>#REF!</v>
      </c>
    </row>
    <row r="315" spans="12:12">
      <c r="L315" s="44" t="e">
        <f>IF(#REF!="","",IF(#REF!&gt;K$3,1,""))</f>
        <v>#REF!</v>
      </c>
    </row>
    <row r="316" spans="12:12">
      <c r="L316" s="44" t="e">
        <f>IF(#REF!="","",IF(#REF!&gt;K$3,1,""))</f>
        <v>#REF!</v>
      </c>
    </row>
    <row r="317" spans="12:12">
      <c r="L317" s="44" t="e">
        <f>IF(#REF!="","",IF(#REF!&gt;K$3,1,""))</f>
        <v>#REF!</v>
      </c>
    </row>
    <row r="318" spans="12:12">
      <c r="L318" s="44" t="e">
        <f>IF(#REF!="","",IF(#REF!&gt;K$3,1,""))</f>
        <v>#REF!</v>
      </c>
    </row>
    <row r="319" spans="12:12">
      <c r="L319" s="44" t="e">
        <f>IF(#REF!="","",IF(#REF!&gt;K$3,1,""))</f>
        <v>#REF!</v>
      </c>
    </row>
    <row r="320" spans="12:12">
      <c r="L320" s="44" t="e">
        <f>IF(#REF!="","",IF(#REF!&gt;K$3,1,""))</f>
        <v>#REF!</v>
      </c>
    </row>
    <row r="321" spans="12:12">
      <c r="L321" s="44" t="e">
        <f>IF(#REF!="","",IF(#REF!&gt;K$3,1,""))</f>
        <v>#REF!</v>
      </c>
    </row>
    <row r="322" spans="12:12">
      <c r="L322" s="44" t="e">
        <f>IF(#REF!="","",IF(#REF!&gt;K$3,1,""))</f>
        <v>#REF!</v>
      </c>
    </row>
    <row r="323" spans="12:12">
      <c r="L323" s="44" t="e">
        <f>IF(#REF!="","",IF(#REF!&gt;K$3,1,""))</f>
        <v>#REF!</v>
      </c>
    </row>
    <row r="324" spans="12:12">
      <c r="L324" s="44" t="e">
        <f>IF(#REF!="","",IF(#REF!&gt;K$3,1,""))</f>
        <v>#REF!</v>
      </c>
    </row>
    <row r="325" spans="12:12">
      <c r="L325" s="44" t="e">
        <f>IF(#REF!="","",IF(#REF!&gt;K$3,1,""))</f>
        <v>#REF!</v>
      </c>
    </row>
    <row r="326" spans="12:12">
      <c r="L326" s="44" t="e">
        <f>IF(#REF!="","",IF(#REF!&gt;K$3,1,""))</f>
        <v>#REF!</v>
      </c>
    </row>
    <row r="327" spans="12:12">
      <c r="L327" s="44" t="e">
        <f>IF(#REF!="","",IF(#REF!&gt;K$3,1,""))</f>
        <v>#REF!</v>
      </c>
    </row>
    <row r="328" spans="12:12">
      <c r="L328" s="44" t="e">
        <f>IF(#REF!="","",IF(#REF!&gt;K$3,1,""))</f>
        <v>#REF!</v>
      </c>
    </row>
    <row r="329" spans="12:12">
      <c r="L329" s="44" t="e">
        <f>IF(#REF!="","",IF(#REF!&gt;K$3,1,""))</f>
        <v>#REF!</v>
      </c>
    </row>
    <row r="330" spans="12:12">
      <c r="L330" s="44" t="e">
        <f>IF(#REF!="","",IF(#REF!&gt;K$3,1,""))</f>
        <v>#REF!</v>
      </c>
    </row>
    <row r="331" spans="12:12">
      <c r="L331" s="44" t="e">
        <f>IF(#REF!="","",IF(#REF!&gt;K$3,1,""))</f>
        <v>#REF!</v>
      </c>
    </row>
    <row r="332" spans="12:12">
      <c r="L332" s="44" t="e">
        <f>IF(#REF!="","",IF(#REF!&gt;K$3,1,""))</f>
        <v>#REF!</v>
      </c>
    </row>
    <row r="333" spans="12:12">
      <c r="L333" s="44" t="e">
        <f>IF(#REF!="","",IF(#REF!&gt;K$3,1,""))</f>
        <v>#REF!</v>
      </c>
    </row>
    <row r="334" spans="12:12">
      <c r="L334" s="44" t="e">
        <f>IF(#REF!="","",IF(#REF!&gt;K$3,1,""))</f>
        <v>#REF!</v>
      </c>
    </row>
    <row r="335" spans="12:12">
      <c r="L335" s="44" t="e">
        <f>IF(#REF!="","",IF(#REF!&gt;K$3,1,""))</f>
        <v>#REF!</v>
      </c>
    </row>
    <row r="336" spans="12:12">
      <c r="L336" s="44" t="e">
        <f>IF(#REF!="","",IF(#REF!&gt;K$3,1,""))</f>
        <v>#REF!</v>
      </c>
    </row>
    <row r="337" spans="12:12">
      <c r="L337" s="44" t="e">
        <f>IF(#REF!="","",IF(#REF!&gt;K$3,1,""))</f>
        <v>#REF!</v>
      </c>
    </row>
    <row r="338" spans="12:12">
      <c r="L338" s="44" t="e">
        <f>IF(#REF!="","",IF(#REF!&gt;K$3,1,""))</f>
        <v>#REF!</v>
      </c>
    </row>
    <row r="339" spans="12:12">
      <c r="L339" s="44" t="e">
        <f>IF(#REF!="","",IF(#REF!&gt;K$3,1,""))</f>
        <v>#REF!</v>
      </c>
    </row>
    <row r="340" spans="12:12">
      <c r="L340" s="44" t="e">
        <f>IF(#REF!="","",IF(#REF!&gt;K$3,1,""))</f>
        <v>#REF!</v>
      </c>
    </row>
    <row r="341" spans="12:12">
      <c r="L341" s="44" t="e">
        <f>IF(#REF!="","",IF(#REF!&gt;K$3,1,""))</f>
        <v>#REF!</v>
      </c>
    </row>
    <row r="342" spans="12:12">
      <c r="L342" s="44" t="e">
        <f>IF(#REF!="","",IF(#REF!&gt;K$3,1,""))</f>
        <v>#REF!</v>
      </c>
    </row>
    <row r="343" spans="12:12">
      <c r="L343" s="44" t="e">
        <f>IF(#REF!="","",IF(#REF!&gt;K$3,1,""))</f>
        <v>#REF!</v>
      </c>
    </row>
    <row r="344" spans="12:12">
      <c r="L344" s="44" t="e">
        <f>IF(#REF!="","",IF(#REF!&gt;K$3,1,""))</f>
        <v>#REF!</v>
      </c>
    </row>
    <row r="345" spans="12:12">
      <c r="L345" s="44" t="e">
        <f>IF(#REF!="","",IF(#REF!&gt;K$3,1,""))</f>
        <v>#REF!</v>
      </c>
    </row>
    <row r="346" spans="12:12">
      <c r="L346" s="44" t="e">
        <f>IF(#REF!="","",IF(#REF!&gt;K$3,1,""))</f>
        <v>#REF!</v>
      </c>
    </row>
    <row r="347" spans="12:12">
      <c r="L347" s="44" t="e">
        <f>IF(#REF!="","",IF(#REF!&gt;K$3,1,""))</f>
        <v>#REF!</v>
      </c>
    </row>
    <row r="348" spans="12:12">
      <c r="L348" s="44" t="e">
        <f>IF(#REF!="","",IF(#REF!&gt;K$3,1,""))</f>
        <v>#REF!</v>
      </c>
    </row>
    <row r="349" spans="12:12">
      <c r="L349" s="44" t="e">
        <f>IF(#REF!="","",IF(#REF!&gt;K$3,1,""))</f>
        <v>#REF!</v>
      </c>
    </row>
    <row r="350" spans="12:12">
      <c r="L350" s="44" t="e">
        <f>IF(#REF!="","",IF(#REF!&gt;K$3,1,""))</f>
        <v>#REF!</v>
      </c>
    </row>
    <row r="351" spans="12:12">
      <c r="L351" s="44" t="e">
        <f>IF(#REF!="","",IF(#REF!&gt;K$3,1,""))</f>
        <v>#REF!</v>
      </c>
    </row>
    <row r="352" spans="12:12">
      <c r="L352" s="44" t="e">
        <f>IF(#REF!="","",IF(#REF!&gt;K$3,1,""))</f>
        <v>#REF!</v>
      </c>
    </row>
    <row r="353" spans="12:12">
      <c r="L353" s="44" t="e">
        <f>IF(#REF!="","",IF(#REF!&gt;K$3,1,""))</f>
        <v>#REF!</v>
      </c>
    </row>
    <row r="354" spans="12:12">
      <c r="L354" s="44" t="e">
        <f>IF(#REF!="","",IF(#REF!&gt;K$3,1,""))</f>
        <v>#REF!</v>
      </c>
    </row>
    <row r="355" spans="12:12">
      <c r="L355" s="44" t="e">
        <f>IF(#REF!="","",IF(#REF!&gt;K$3,1,""))</f>
        <v>#REF!</v>
      </c>
    </row>
    <row r="356" spans="12:12">
      <c r="L356" s="44" t="e">
        <f>IF(#REF!="","",IF(#REF!&gt;K$3,1,""))</f>
        <v>#REF!</v>
      </c>
    </row>
    <row r="357" spans="12:12">
      <c r="L357" s="44" t="e">
        <f>IF(#REF!="","",IF(#REF!&gt;K$3,1,""))</f>
        <v>#REF!</v>
      </c>
    </row>
    <row r="358" spans="12:12">
      <c r="L358" s="44" t="e">
        <f>IF(#REF!="","",IF(#REF!&gt;K$3,1,""))</f>
        <v>#REF!</v>
      </c>
    </row>
    <row r="359" spans="12:12">
      <c r="L359" s="44" t="e">
        <f>IF(#REF!="","",IF(#REF!&gt;K$3,1,""))</f>
        <v>#REF!</v>
      </c>
    </row>
    <row r="360" spans="12:12">
      <c r="L360" s="44" t="e">
        <f>IF(#REF!="","",IF(#REF!&gt;K$3,1,""))</f>
        <v>#REF!</v>
      </c>
    </row>
    <row r="361" spans="12:12">
      <c r="L361" s="44" t="e">
        <f>IF(#REF!="","",IF(#REF!&gt;K$3,1,""))</f>
        <v>#REF!</v>
      </c>
    </row>
    <row r="362" spans="12:12">
      <c r="L362" s="44" t="e">
        <f>IF(#REF!="","",IF(#REF!&gt;K$3,1,""))</f>
        <v>#REF!</v>
      </c>
    </row>
    <row r="363" spans="12:12">
      <c r="L363" s="44" t="e">
        <f>IF(#REF!="","",IF(#REF!&gt;K$3,1,""))</f>
        <v>#REF!</v>
      </c>
    </row>
    <row r="364" spans="12:12">
      <c r="L364" s="44" t="e">
        <f>IF(#REF!="","",IF(#REF!&gt;K$3,1,""))</f>
        <v>#REF!</v>
      </c>
    </row>
    <row r="365" spans="12:12">
      <c r="L365" s="44" t="e">
        <f>IF(#REF!="","",IF(#REF!&gt;K$3,1,""))</f>
        <v>#REF!</v>
      </c>
    </row>
    <row r="366" spans="12:12">
      <c r="L366" s="44" t="e">
        <f>IF(#REF!="","",IF(#REF!&gt;K$3,1,""))</f>
        <v>#REF!</v>
      </c>
    </row>
    <row r="367" spans="12:12">
      <c r="L367" s="44" t="e">
        <f>IF(#REF!="","",IF(#REF!&gt;K$3,1,""))</f>
        <v>#REF!</v>
      </c>
    </row>
    <row r="368" spans="12:12">
      <c r="L368" s="44" t="e">
        <f>IF(#REF!="","",IF(#REF!&gt;K$3,1,""))</f>
        <v>#REF!</v>
      </c>
    </row>
    <row r="369" spans="12:12">
      <c r="L369" s="44" t="e">
        <f>IF(#REF!="","",IF(#REF!&gt;K$3,1,""))</f>
        <v>#REF!</v>
      </c>
    </row>
    <row r="370" spans="12:12">
      <c r="L370" s="44" t="e">
        <f>IF(#REF!="","",IF(#REF!&gt;K$3,1,""))</f>
        <v>#REF!</v>
      </c>
    </row>
    <row r="371" spans="12:12">
      <c r="L371" s="44" t="e">
        <f>IF(#REF!="","",IF(#REF!&gt;K$3,1,""))</f>
        <v>#REF!</v>
      </c>
    </row>
    <row r="372" spans="12:12">
      <c r="L372" s="44" t="e">
        <f>IF(#REF!="","",IF(#REF!&gt;K$3,1,""))</f>
        <v>#REF!</v>
      </c>
    </row>
    <row r="373" spans="12:12">
      <c r="L373" s="44" t="e">
        <f>IF(#REF!="","",IF(#REF!&gt;K$3,1,""))</f>
        <v>#REF!</v>
      </c>
    </row>
    <row r="374" spans="12:12">
      <c r="L374" s="44" t="e">
        <f>IF(#REF!="","",IF(#REF!&gt;K$3,1,""))</f>
        <v>#REF!</v>
      </c>
    </row>
    <row r="375" spans="12:12">
      <c r="L375" s="44" t="e">
        <f>IF(#REF!="","",IF(#REF!&gt;K$3,1,""))</f>
        <v>#REF!</v>
      </c>
    </row>
    <row r="376" spans="12:12">
      <c r="L376" s="44" t="e">
        <f>IF(#REF!="","",IF(#REF!&gt;K$3,1,""))</f>
        <v>#REF!</v>
      </c>
    </row>
    <row r="377" spans="12:12">
      <c r="L377" s="44" t="e">
        <f>IF(#REF!="","",IF(#REF!&gt;K$3,1,""))</f>
        <v>#REF!</v>
      </c>
    </row>
    <row r="378" spans="12:12">
      <c r="L378" s="44" t="e">
        <f>IF(#REF!="","",IF(#REF!&gt;K$3,1,""))</f>
        <v>#REF!</v>
      </c>
    </row>
    <row r="379" spans="12:12">
      <c r="L379" s="44" t="e">
        <f>IF(#REF!="","",IF(#REF!&gt;K$3,1,""))</f>
        <v>#REF!</v>
      </c>
    </row>
    <row r="380" spans="12:12">
      <c r="L380" s="44" t="e">
        <f>IF(#REF!="","",IF(#REF!&gt;K$3,1,""))</f>
        <v>#REF!</v>
      </c>
    </row>
    <row r="381" spans="12:12">
      <c r="L381" s="44" t="e">
        <f>IF(#REF!="","",IF(#REF!&gt;K$3,1,""))</f>
        <v>#REF!</v>
      </c>
    </row>
    <row r="382" spans="12:12">
      <c r="L382" s="44" t="e">
        <f>IF(#REF!="","",IF(#REF!&gt;K$3,1,""))</f>
        <v>#REF!</v>
      </c>
    </row>
    <row r="383" spans="12:12">
      <c r="L383" s="44" t="e">
        <f>IF(#REF!="","",IF(#REF!&gt;K$3,1,""))</f>
        <v>#REF!</v>
      </c>
    </row>
    <row r="384" spans="12:12">
      <c r="L384" s="44" t="e">
        <f>IF(#REF!="","",IF(#REF!&gt;K$3,1,""))</f>
        <v>#REF!</v>
      </c>
    </row>
    <row r="385" spans="12:12">
      <c r="L385" s="44" t="e">
        <f>IF(#REF!="","",IF(#REF!&gt;K$3,1,""))</f>
        <v>#REF!</v>
      </c>
    </row>
    <row r="386" spans="12:12">
      <c r="L386" s="44" t="e">
        <f>IF(#REF!="","",IF(#REF!&gt;K$3,1,""))</f>
        <v>#REF!</v>
      </c>
    </row>
    <row r="387" spans="12:12">
      <c r="L387" s="44" t="e">
        <f>IF(#REF!="","",IF(#REF!&gt;K$3,1,""))</f>
        <v>#REF!</v>
      </c>
    </row>
    <row r="388" spans="12:12">
      <c r="L388" s="44" t="e">
        <f>IF(#REF!="","",IF(#REF!&gt;K$3,1,""))</f>
        <v>#REF!</v>
      </c>
    </row>
    <row r="389" spans="12:12">
      <c r="L389" s="44" t="e">
        <f>IF(#REF!="","",IF(#REF!&gt;K$3,1,""))</f>
        <v>#REF!</v>
      </c>
    </row>
    <row r="390" spans="12:12">
      <c r="L390" s="44" t="e">
        <f>IF(#REF!="","",IF(#REF!&gt;K$3,1,""))</f>
        <v>#REF!</v>
      </c>
    </row>
    <row r="391" spans="12:12">
      <c r="L391" s="44" t="e">
        <f>IF(#REF!="","",IF(#REF!&gt;K$3,1,""))</f>
        <v>#REF!</v>
      </c>
    </row>
    <row r="392" spans="12:12">
      <c r="L392" s="44" t="e">
        <f>IF(#REF!="","",IF(#REF!&gt;K$3,1,""))</f>
        <v>#REF!</v>
      </c>
    </row>
    <row r="393" spans="12:12">
      <c r="L393" s="44" t="e">
        <f>IF(#REF!="","",IF(#REF!&gt;K$3,1,""))</f>
        <v>#REF!</v>
      </c>
    </row>
    <row r="394" spans="12:12">
      <c r="L394" s="44" t="e">
        <f>IF(#REF!="","",IF(#REF!&gt;K$3,1,""))</f>
        <v>#REF!</v>
      </c>
    </row>
    <row r="395" spans="12:12">
      <c r="L395" s="44" t="e">
        <f>IF(#REF!="","",IF(#REF!&gt;K$3,1,""))</f>
        <v>#REF!</v>
      </c>
    </row>
    <row r="396" spans="12:12">
      <c r="L396" s="44" t="e">
        <f>IF(#REF!="","",IF(#REF!&gt;K$3,1,""))</f>
        <v>#REF!</v>
      </c>
    </row>
    <row r="397" spans="12:12">
      <c r="L397" s="44" t="e">
        <f>IF(#REF!="","",IF(#REF!&gt;K$3,1,""))</f>
        <v>#REF!</v>
      </c>
    </row>
    <row r="398" spans="12:12">
      <c r="L398" s="44" t="e">
        <f>IF(#REF!="","",IF(#REF!&gt;K$3,1,""))</f>
        <v>#REF!</v>
      </c>
    </row>
    <row r="399" spans="12:12">
      <c r="L399" s="44" t="e">
        <f>IF(#REF!="","",IF(#REF!&gt;K$3,1,""))</f>
        <v>#REF!</v>
      </c>
    </row>
    <row r="400" spans="12:12">
      <c r="L400" s="44" t="e">
        <f>IF(#REF!="","",IF(#REF!&gt;K$3,1,""))</f>
        <v>#REF!</v>
      </c>
    </row>
    <row r="401" spans="12:12">
      <c r="L401" s="44" t="e">
        <f>IF(#REF!="","",IF(#REF!&gt;K$3,1,""))</f>
        <v>#REF!</v>
      </c>
    </row>
    <row r="402" spans="12:12">
      <c r="L402" s="44" t="e">
        <f>IF(#REF!="","",IF(#REF!&gt;K$3,1,""))</f>
        <v>#REF!</v>
      </c>
    </row>
    <row r="403" spans="12:12">
      <c r="L403" s="44" t="e">
        <f>IF(#REF!="","",IF(#REF!&gt;K$3,1,""))</f>
        <v>#REF!</v>
      </c>
    </row>
    <row r="404" spans="12:12">
      <c r="L404" s="44" t="e">
        <f>IF(#REF!="","",IF(#REF!&gt;K$3,1,""))</f>
        <v>#REF!</v>
      </c>
    </row>
    <row r="405" spans="12:12">
      <c r="L405" s="44" t="e">
        <f>IF(#REF!="","",IF(#REF!&gt;K$3,1,""))</f>
        <v>#REF!</v>
      </c>
    </row>
    <row r="406" spans="12:12">
      <c r="L406" s="44" t="e">
        <f>IF(#REF!="","",IF(#REF!&gt;K$3,1,""))</f>
        <v>#REF!</v>
      </c>
    </row>
    <row r="407" spans="12:12">
      <c r="L407" s="44" t="e">
        <f>IF(#REF!="","",IF(#REF!&gt;K$3,1,""))</f>
        <v>#REF!</v>
      </c>
    </row>
    <row r="408" spans="12:12">
      <c r="L408" s="44" t="e">
        <f>IF(#REF!="","",IF(#REF!&gt;K$3,1,""))</f>
        <v>#REF!</v>
      </c>
    </row>
    <row r="409" spans="12:12">
      <c r="L409" s="44" t="e">
        <f>IF(#REF!="","",IF(#REF!&gt;K$3,1,""))</f>
        <v>#REF!</v>
      </c>
    </row>
    <row r="410" spans="12:12">
      <c r="L410" s="44" t="e">
        <f>IF(#REF!="","",IF(#REF!&gt;K$3,1,""))</f>
        <v>#REF!</v>
      </c>
    </row>
    <row r="411" spans="12:12">
      <c r="L411" s="44" t="e">
        <f>IF(#REF!="","",IF(#REF!&gt;K$3,1,""))</f>
        <v>#REF!</v>
      </c>
    </row>
    <row r="412" spans="12:12">
      <c r="L412" s="44" t="e">
        <f>IF(#REF!="","",IF(#REF!&gt;K$3,1,""))</f>
        <v>#REF!</v>
      </c>
    </row>
    <row r="413" spans="12:12">
      <c r="L413" s="44" t="e">
        <f>IF(#REF!="","",IF(#REF!&gt;K$3,1,""))</f>
        <v>#REF!</v>
      </c>
    </row>
    <row r="414" spans="12:12">
      <c r="L414" s="44" t="e">
        <f>IF(#REF!="","",IF(#REF!&gt;K$3,1,""))</f>
        <v>#REF!</v>
      </c>
    </row>
    <row r="415" spans="12:12">
      <c r="L415" s="44" t="e">
        <f>IF(#REF!="","",IF(#REF!&gt;K$3,1,""))</f>
        <v>#REF!</v>
      </c>
    </row>
    <row r="416" spans="12:12">
      <c r="L416" s="44" t="e">
        <f>IF(#REF!="","",IF(#REF!&gt;K$3,1,""))</f>
        <v>#REF!</v>
      </c>
    </row>
    <row r="417" spans="12:12">
      <c r="L417" s="44" t="e">
        <f>IF(#REF!="","",IF(#REF!&gt;K$3,1,""))</f>
        <v>#REF!</v>
      </c>
    </row>
    <row r="418" spans="12:12">
      <c r="L418" s="44" t="e">
        <f>IF(#REF!="","",IF(#REF!&gt;K$3,1,""))</f>
        <v>#REF!</v>
      </c>
    </row>
    <row r="419" spans="12:12">
      <c r="L419" s="44" t="e">
        <f>IF(#REF!="","",IF(#REF!&gt;K$3,1,""))</f>
        <v>#REF!</v>
      </c>
    </row>
    <row r="420" spans="12:12">
      <c r="L420" s="44" t="e">
        <f>IF(#REF!="","",IF(#REF!&gt;K$3,1,""))</f>
        <v>#REF!</v>
      </c>
    </row>
    <row r="421" spans="12:12">
      <c r="L421" s="44" t="e">
        <f>IF(#REF!="","",IF(#REF!&gt;K$3,1,""))</f>
        <v>#REF!</v>
      </c>
    </row>
    <row r="422" spans="12:12">
      <c r="L422" s="44" t="e">
        <f>IF(#REF!="","",IF(#REF!&gt;K$3,1,""))</f>
        <v>#REF!</v>
      </c>
    </row>
    <row r="423" spans="12:12">
      <c r="L423" s="44" t="e">
        <f>IF(#REF!="","",IF(#REF!&gt;K$3,1,""))</f>
        <v>#REF!</v>
      </c>
    </row>
    <row r="424" spans="12:12">
      <c r="L424" s="44" t="e">
        <f>IF(#REF!="","",IF(#REF!&gt;K$3,1,""))</f>
        <v>#REF!</v>
      </c>
    </row>
    <row r="425" spans="12:12">
      <c r="L425" s="44" t="e">
        <f>IF(#REF!="","",IF(#REF!&gt;K$3,1,""))</f>
        <v>#REF!</v>
      </c>
    </row>
    <row r="426" spans="12:12">
      <c r="L426" s="44" t="e">
        <f>IF(#REF!="","",IF(#REF!&gt;K$3,1,""))</f>
        <v>#REF!</v>
      </c>
    </row>
    <row r="427" spans="12:12">
      <c r="L427" s="44" t="e">
        <f>IF(#REF!="","",IF(#REF!&gt;K$3,1,""))</f>
        <v>#REF!</v>
      </c>
    </row>
    <row r="428" spans="12:12">
      <c r="L428" s="44" t="e">
        <f>IF(#REF!="","",IF(#REF!&gt;K$3,1,""))</f>
        <v>#REF!</v>
      </c>
    </row>
    <row r="429" spans="12:12">
      <c r="L429" s="44" t="e">
        <f>IF(#REF!="","",IF(#REF!&gt;K$3,1,""))</f>
        <v>#REF!</v>
      </c>
    </row>
    <row r="430" spans="12:12">
      <c r="L430" s="44" t="e">
        <f>IF(#REF!="","",IF(#REF!&gt;K$3,1,""))</f>
        <v>#REF!</v>
      </c>
    </row>
    <row r="431" spans="12:12">
      <c r="L431" s="44" t="e">
        <f>IF(#REF!="","",IF(#REF!&gt;K$3,1,""))</f>
        <v>#REF!</v>
      </c>
    </row>
    <row r="432" spans="12:12">
      <c r="L432" s="44" t="e">
        <f>IF(#REF!="","",IF(#REF!&gt;K$3,1,""))</f>
        <v>#REF!</v>
      </c>
    </row>
    <row r="433" spans="12:12">
      <c r="L433" s="44" t="e">
        <f>IF(#REF!="","",IF(#REF!&gt;K$3,1,""))</f>
        <v>#REF!</v>
      </c>
    </row>
    <row r="434" spans="12:12">
      <c r="L434" s="44" t="e">
        <f>IF(#REF!="","",IF(#REF!&gt;K$3,1,""))</f>
        <v>#REF!</v>
      </c>
    </row>
    <row r="435" spans="12:12">
      <c r="L435" s="44" t="e">
        <f>IF(#REF!="","",IF(#REF!&gt;K$3,1,""))</f>
        <v>#REF!</v>
      </c>
    </row>
    <row r="436" spans="12:12">
      <c r="L436" s="44" t="e">
        <f>IF(#REF!="","",IF(#REF!&gt;K$3,1,""))</f>
        <v>#REF!</v>
      </c>
    </row>
    <row r="437" spans="12:12">
      <c r="L437" s="44" t="e">
        <f>IF(#REF!="","",IF(#REF!&gt;K$3,1,""))</f>
        <v>#REF!</v>
      </c>
    </row>
    <row r="438" spans="12:12">
      <c r="L438" s="44" t="e">
        <f>IF(#REF!="","",IF(#REF!&gt;K$3,1,""))</f>
        <v>#REF!</v>
      </c>
    </row>
    <row r="439" spans="12:12">
      <c r="L439" s="44" t="e">
        <f>IF(#REF!="","",IF(#REF!&gt;K$3,1,""))</f>
        <v>#REF!</v>
      </c>
    </row>
    <row r="440" spans="12:12">
      <c r="L440" s="44" t="e">
        <f>IF(#REF!="","",IF(#REF!&gt;K$3,1,""))</f>
        <v>#REF!</v>
      </c>
    </row>
    <row r="441" spans="12:12">
      <c r="L441" s="44" t="e">
        <f>IF(#REF!="","",IF(#REF!&gt;K$3,1,""))</f>
        <v>#REF!</v>
      </c>
    </row>
    <row r="442" spans="12:12">
      <c r="L442" s="44" t="e">
        <f>IF(#REF!="","",IF(#REF!&gt;K$3,1,""))</f>
        <v>#REF!</v>
      </c>
    </row>
    <row r="443" spans="12:12">
      <c r="L443" s="44" t="e">
        <f>IF(#REF!="","",IF(#REF!&gt;K$3,1,""))</f>
        <v>#REF!</v>
      </c>
    </row>
    <row r="444" spans="12:12">
      <c r="L444" s="44" t="e">
        <f>IF(#REF!="","",IF(#REF!&gt;K$3,1,""))</f>
        <v>#REF!</v>
      </c>
    </row>
    <row r="445" spans="12:12">
      <c r="L445" s="44" t="e">
        <f>IF(#REF!="","",IF(#REF!&gt;K$3,1,""))</f>
        <v>#REF!</v>
      </c>
    </row>
    <row r="446" spans="12:12">
      <c r="L446" s="44" t="e">
        <f>IF(#REF!="","",IF(#REF!&gt;K$3,1,""))</f>
        <v>#REF!</v>
      </c>
    </row>
    <row r="447" spans="12:12">
      <c r="L447" s="44" t="e">
        <f>IF(#REF!="","",IF(#REF!&gt;K$3,1,""))</f>
        <v>#REF!</v>
      </c>
    </row>
    <row r="448" spans="12:12">
      <c r="L448" s="44" t="e">
        <f>IF(#REF!="","",IF(#REF!&gt;K$3,1,""))</f>
        <v>#REF!</v>
      </c>
    </row>
    <row r="449" spans="12:12">
      <c r="L449" s="44" t="e">
        <f>IF(#REF!="","",IF(#REF!&gt;K$3,1,""))</f>
        <v>#REF!</v>
      </c>
    </row>
    <row r="450" spans="12:12">
      <c r="L450" s="44" t="e">
        <f>IF(#REF!="","",IF(#REF!&gt;K$3,1,""))</f>
        <v>#REF!</v>
      </c>
    </row>
    <row r="451" spans="12:12">
      <c r="L451" s="44" t="e">
        <f>IF(#REF!="","",IF(#REF!&gt;K$3,1,""))</f>
        <v>#REF!</v>
      </c>
    </row>
    <row r="452" spans="12:12">
      <c r="L452" s="44" t="e">
        <f>IF(#REF!="","",IF(#REF!&gt;K$3,1,""))</f>
        <v>#REF!</v>
      </c>
    </row>
    <row r="453" spans="12:12">
      <c r="L453" s="44" t="e">
        <f>IF(#REF!="","",IF(#REF!&gt;K$3,1,""))</f>
        <v>#REF!</v>
      </c>
    </row>
    <row r="454" spans="12:12">
      <c r="L454" s="44" t="e">
        <f>IF(#REF!="","",IF(#REF!&gt;K$3,1,""))</f>
        <v>#REF!</v>
      </c>
    </row>
    <row r="455" spans="12:12">
      <c r="L455" s="44" t="e">
        <f>IF(#REF!="","",IF(#REF!&gt;K$3,1,""))</f>
        <v>#REF!</v>
      </c>
    </row>
    <row r="456" spans="12:12">
      <c r="L456" s="44" t="e">
        <f>IF(#REF!="","",IF(#REF!&gt;K$3,1,""))</f>
        <v>#REF!</v>
      </c>
    </row>
    <row r="457" spans="12:12">
      <c r="L457" s="44" t="e">
        <f>IF(#REF!="","",IF(#REF!&gt;K$3,1,""))</f>
        <v>#REF!</v>
      </c>
    </row>
    <row r="458" spans="12:12">
      <c r="L458" s="44" t="e">
        <f>IF(#REF!="","",IF(#REF!&gt;K$3,1,""))</f>
        <v>#REF!</v>
      </c>
    </row>
    <row r="459" spans="12:12">
      <c r="L459" s="44" t="e">
        <f>IF(#REF!="","",IF(#REF!&gt;K$3,1,""))</f>
        <v>#REF!</v>
      </c>
    </row>
    <row r="460" spans="12:12">
      <c r="L460" s="44" t="e">
        <f>IF(#REF!="","",IF(#REF!&gt;K$3,1,""))</f>
        <v>#REF!</v>
      </c>
    </row>
    <row r="461" spans="12:12">
      <c r="L461" s="44" t="e">
        <f>IF(#REF!="","",IF(#REF!&gt;K$3,1,""))</f>
        <v>#REF!</v>
      </c>
    </row>
    <row r="462" spans="12:12">
      <c r="L462" s="44" t="e">
        <f>IF(#REF!="","",IF(#REF!&gt;K$3,1,""))</f>
        <v>#REF!</v>
      </c>
    </row>
    <row r="463" spans="12:12">
      <c r="L463" s="44" t="e">
        <f>IF(#REF!="","",IF(#REF!&gt;K$3,1,""))</f>
        <v>#REF!</v>
      </c>
    </row>
    <row r="464" spans="12:12">
      <c r="L464" s="44" t="e">
        <f>IF(#REF!="","",IF(#REF!&gt;K$3,1,""))</f>
        <v>#REF!</v>
      </c>
    </row>
    <row r="465" spans="12:12">
      <c r="L465" s="44" t="e">
        <f>IF(#REF!="","",IF(#REF!&gt;K$3,1,""))</f>
        <v>#REF!</v>
      </c>
    </row>
    <row r="466" spans="12:12">
      <c r="L466" s="44" t="e">
        <f>IF(#REF!="","",IF(#REF!&gt;K$3,1,""))</f>
        <v>#REF!</v>
      </c>
    </row>
    <row r="467" spans="12:12">
      <c r="L467" s="44" t="e">
        <f>IF(#REF!="","",IF(#REF!&gt;K$3,1,""))</f>
        <v>#REF!</v>
      </c>
    </row>
    <row r="468" spans="12:12">
      <c r="L468" s="44" t="e">
        <f>IF(#REF!="","",IF(#REF!&gt;K$3,1,""))</f>
        <v>#REF!</v>
      </c>
    </row>
    <row r="469" spans="12:12">
      <c r="L469" s="44" t="e">
        <f>IF(#REF!="","",IF(#REF!&gt;K$3,1,""))</f>
        <v>#REF!</v>
      </c>
    </row>
    <row r="470" spans="12:12">
      <c r="L470" s="44" t="e">
        <f>IF(#REF!="","",IF(#REF!&gt;K$3,1,""))</f>
        <v>#REF!</v>
      </c>
    </row>
    <row r="471" spans="12:12">
      <c r="L471" s="44" t="e">
        <f>IF(#REF!="","",IF(#REF!&gt;K$3,1,""))</f>
        <v>#REF!</v>
      </c>
    </row>
    <row r="472" spans="12:12">
      <c r="L472" s="44" t="e">
        <f>IF(#REF!="","",IF(#REF!&gt;K$3,1,""))</f>
        <v>#REF!</v>
      </c>
    </row>
    <row r="473" spans="12:12">
      <c r="L473" s="44" t="e">
        <f>IF(#REF!="","",IF(#REF!&gt;K$3,1,""))</f>
        <v>#REF!</v>
      </c>
    </row>
    <row r="474" spans="12:12">
      <c r="L474" s="44" t="e">
        <f>IF(#REF!="","",IF(#REF!&gt;K$3,1,""))</f>
        <v>#REF!</v>
      </c>
    </row>
    <row r="475" spans="12:12">
      <c r="L475" s="44" t="e">
        <f>IF(#REF!="","",IF(#REF!&gt;K$3,1,""))</f>
        <v>#REF!</v>
      </c>
    </row>
    <row r="476" spans="12:12">
      <c r="L476" s="44" t="e">
        <f>IF(#REF!="","",IF(#REF!&gt;K$3,1,""))</f>
        <v>#REF!</v>
      </c>
    </row>
    <row r="477" spans="12:12">
      <c r="L477" s="44" t="e">
        <f>IF(#REF!="","",IF(#REF!&gt;K$3,1,""))</f>
        <v>#REF!</v>
      </c>
    </row>
    <row r="478" spans="12:12">
      <c r="L478" s="44" t="e">
        <f>IF(#REF!="","",IF(#REF!&gt;K$3,1,""))</f>
        <v>#REF!</v>
      </c>
    </row>
    <row r="479" spans="12:12">
      <c r="L479" s="44" t="e">
        <f>IF(#REF!="","",IF(#REF!&gt;K$3,1,""))</f>
        <v>#REF!</v>
      </c>
    </row>
    <row r="480" spans="12:12">
      <c r="L480" s="44" t="e">
        <f>IF(#REF!="","",IF(#REF!&gt;K$3,1,""))</f>
        <v>#REF!</v>
      </c>
    </row>
    <row r="481" spans="12:12">
      <c r="L481" s="44" t="e">
        <f>IF(#REF!="","",IF(#REF!&gt;K$3,1,""))</f>
        <v>#REF!</v>
      </c>
    </row>
    <row r="482" spans="12:12">
      <c r="L482" s="44" t="e">
        <f>IF(#REF!="","",IF(#REF!&gt;K$3,1,""))</f>
        <v>#REF!</v>
      </c>
    </row>
    <row r="483" spans="12:12">
      <c r="L483" s="44" t="e">
        <f>IF(#REF!="","",IF(#REF!&gt;K$3,1,""))</f>
        <v>#REF!</v>
      </c>
    </row>
    <row r="484" spans="12:12">
      <c r="L484" s="44" t="e">
        <f>IF(#REF!="","",IF(#REF!&gt;K$3,1,""))</f>
        <v>#REF!</v>
      </c>
    </row>
    <row r="485" spans="12:12">
      <c r="L485" s="44" t="e">
        <f>IF(#REF!="","",IF(#REF!&gt;K$3,1,""))</f>
        <v>#REF!</v>
      </c>
    </row>
    <row r="486" spans="12:12">
      <c r="L486" s="44" t="e">
        <f>IF(#REF!="","",IF(#REF!&gt;K$3,1,""))</f>
        <v>#REF!</v>
      </c>
    </row>
    <row r="487" spans="12:12">
      <c r="L487" s="44" t="e">
        <f>IF(#REF!="","",IF(#REF!&gt;K$3,1,""))</f>
        <v>#REF!</v>
      </c>
    </row>
    <row r="488" spans="12:12">
      <c r="L488" s="44" t="e">
        <f>IF(#REF!="","",IF(#REF!&gt;K$3,1,""))</f>
        <v>#REF!</v>
      </c>
    </row>
    <row r="489" spans="12:12">
      <c r="L489" s="44" t="e">
        <f>IF(#REF!="","",IF(#REF!&gt;K$3,1,""))</f>
        <v>#REF!</v>
      </c>
    </row>
    <row r="490" spans="12:12">
      <c r="L490" s="44" t="e">
        <f>IF(#REF!="","",IF(#REF!&gt;K$3,1,""))</f>
        <v>#REF!</v>
      </c>
    </row>
    <row r="491" spans="12:12">
      <c r="L491" s="44" t="e">
        <f>IF(#REF!="","",IF(#REF!&gt;K$3,1,""))</f>
        <v>#REF!</v>
      </c>
    </row>
    <row r="492" spans="12:12">
      <c r="L492" s="44" t="e">
        <f>IF(#REF!="","",IF(#REF!&gt;K$3,1,""))</f>
        <v>#REF!</v>
      </c>
    </row>
    <row r="493" spans="12:12">
      <c r="L493" s="44" t="e">
        <f>IF(#REF!="","",IF(#REF!&gt;K$3,1,""))</f>
        <v>#REF!</v>
      </c>
    </row>
    <row r="494" spans="12:12">
      <c r="L494" s="44" t="e">
        <f>IF(#REF!="","",IF(#REF!&gt;K$3,1,""))</f>
        <v>#REF!</v>
      </c>
    </row>
    <row r="495" spans="12:12">
      <c r="L495" s="44" t="e">
        <f>IF(#REF!="","",IF(#REF!&gt;K$3,1,""))</f>
        <v>#REF!</v>
      </c>
    </row>
    <row r="496" spans="12:12">
      <c r="L496" s="44" t="e">
        <f>IF(#REF!="","",IF(#REF!&gt;K$3,1,""))</f>
        <v>#REF!</v>
      </c>
    </row>
    <row r="497" spans="12:12">
      <c r="L497" s="44" t="e">
        <f>IF(#REF!="","",IF(#REF!&gt;K$3,1,""))</f>
        <v>#REF!</v>
      </c>
    </row>
    <row r="498" spans="12:12">
      <c r="L498" s="44" t="e">
        <f>IF(#REF!="","",IF(#REF!&gt;K$3,1,""))</f>
        <v>#REF!</v>
      </c>
    </row>
    <row r="499" spans="12:12">
      <c r="L499" s="44" t="e">
        <f>IF(#REF!="","",IF(#REF!&gt;K$3,1,""))</f>
        <v>#REF!</v>
      </c>
    </row>
    <row r="500" spans="12:12">
      <c r="L500" s="44" t="e">
        <f>IF(#REF!="","",IF(#REF!&gt;K$3,1,""))</f>
        <v>#REF!</v>
      </c>
    </row>
    <row r="501" spans="12:12">
      <c r="L501" s="44" t="e">
        <f>IF(#REF!="","",IF(#REF!&gt;K$3,1,""))</f>
        <v>#REF!</v>
      </c>
    </row>
    <row r="502" spans="12:12">
      <c r="L502" s="44" t="e">
        <f>IF(#REF!="","",IF(#REF!&gt;K$3,1,""))</f>
        <v>#REF!</v>
      </c>
    </row>
    <row r="503" spans="12:12">
      <c r="L503" s="44" t="e">
        <f>IF(#REF!="","",IF(#REF!&gt;K$3,1,""))</f>
        <v>#REF!</v>
      </c>
    </row>
    <row r="504" spans="12:12">
      <c r="L504" s="44" t="e">
        <f>IF(#REF!="","",IF(#REF!&gt;K$3,1,""))</f>
        <v>#REF!</v>
      </c>
    </row>
    <row r="505" spans="12:12">
      <c r="L505" s="44" t="e">
        <f>IF(#REF!="","",IF(#REF!&gt;K$3,1,""))</f>
        <v>#REF!</v>
      </c>
    </row>
    <row r="506" spans="12:12">
      <c r="L506" s="44" t="e">
        <f>IF(#REF!="","",IF(#REF!&gt;K$3,1,""))</f>
        <v>#REF!</v>
      </c>
    </row>
    <row r="507" spans="12:12">
      <c r="L507" s="44" t="e">
        <f>IF(#REF!="","",IF(#REF!&gt;K$3,1,""))</f>
        <v>#REF!</v>
      </c>
    </row>
    <row r="508" spans="12:12">
      <c r="L508" s="44" t="e">
        <f>IF(#REF!="","",IF(#REF!&gt;K$3,1,""))</f>
        <v>#REF!</v>
      </c>
    </row>
    <row r="509" spans="12:12">
      <c r="L509" s="44" t="e">
        <f>IF(#REF!="","",IF(#REF!&gt;K$3,1,""))</f>
        <v>#REF!</v>
      </c>
    </row>
    <row r="510" spans="12:12">
      <c r="L510" s="44" t="e">
        <f>IF(#REF!="","",IF(#REF!&gt;K$3,1,""))</f>
        <v>#REF!</v>
      </c>
    </row>
    <row r="511" spans="12:12">
      <c r="L511" s="44" t="e">
        <f>IF(#REF!="","",IF(#REF!&gt;K$3,1,""))</f>
        <v>#REF!</v>
      </c>
    </row>
    <row r="512" spans="12:12">
      <c r="L512" s="44" t="e">
        <f>IF(#REF!="","",IF(#REF!&gt;K$3,1,""))</f>
        <v>#REF!</v>
      </c>
    </row>
    <row r="513" spans="12:12">
      <c r="L513" s="44" t="e">
        <f>IF(#REF!="","",IF(#REF!&gt;K$3,1,""))</f>
        <v>#REF!</v>
      </c>
    </row>
    <row r="514" spans="12:12">
      <c r="L514" s="44" t="e">
        <f>IF(#REF!="","",IF(#REF!&gt;K$3,1,""))</f>
        <v>#REF!</v>
      </c>
    </row>
    <row r="515" spans="12:12">
      <c r="L515" s="44" t="e">
        <f>IF(#REF!="","",IF(#REF!&gt;K$3,1,""))</f>
        <v>#REF!</v>
      </c>
    </row>
    <row r="516" spans="12:12">
      <c r="L516" s="44" t="e">
        <f>IF(#REF!="","",IF(#REF!&gt;K$3,1,""))</f>
        <v>#REF!</v>
      </c>
    </row>
    <row r="517" spans="12:12">
      <c r="L517" s="44" t="e">
        <f>IF(#REF!="","",IF(#REF!&gt;K$3,1,""))</f>
        <v>#REF!</v>
      </c>
    </row>
    <row r="518" spans="12:12">
      <c r="L518" s="44" t="e">
        <f>IF(#REF!="","",IF(#REF!&gt;K$3,1,""))</f>
        <v>#REF!</v>
      </c>
    </row>
    <row r="519" spans="12:12">
      <c r="L519" s="44" t="e">
        <f>IF(#REF!="","",IF(#REF!&gt;K$3,1,""))</f>
        <v>#REF!</v>
      </c>
    </row>
    <row r="520" spans="12:12">
      <c r="L520" s="44" t="e">
        <f>IF(#REF!="","",IF(#REF!&gt;K$3,1,""))</f>
        <v>#REF!</v>
      </c>
    </row>
    <row r="521" spans="12:12">
      <c r="L521" s="44" t="e">
        <f>IF(#REF!="","",IF(#REF!&gt;K$3,1,""))</f>
        <v>#REF!</v>
      </c>
    </row>
    <row r="522" spans="12:12">
      <c r="L522" s="44" t="e">
        <f>IF(#REF!="","",IF(#REF!&gt;K$3,1,""))</f>
        <v>#REF!</v>
      </c>
    </row>
    <row r="523" spans="12:12">
      <c r="L523" s="44" t="e">
        <f>IF(#REF!="","",IF(#REF!&gt;K$3,1,""))</f>
        <v>#REF!</v>
      </c>
    </row>
    <row r="524" spans="12:12">
      <c r="L524" s="44" t="e">
        <f>IF(#REF!="","",IF(#REF!&gt;K$3,1,""))</f>
        <v>#REF!</v>
      </c>
    </row>
    <row r="525" spans="12:12">
      <c r="L525" s="44" t="e">
        <f>IF(#REF!="","",IF(#REF!&gt;K$3,1,""))</f>
        <v>#REF!</v>
      </c>
    </row>
    <row r="526" spans="12:12">
      <c r="L526" s="44" t="e">
        <f>IF(#REF!="","",IF(#REF!&gt;K$3,1,""))</f>
        <v>#REF!</v>
      </c>
    </row>
    <row r="527" spans="12:12">
      <c r="L527" s="44" t="e">
        <f>IF(#REF!="","",IF(#REF!&gt;K$3,1,""))</f>
        <v>#REF!</v>
      </c>
    </row>
    <row r="528" spans="12:12">
      <c r="L528" s="44" t="e">
        <f>IF(#REF!="","",IF(#REF!&gt;K$3,1,""))</f>
        <v>#REF!</v>
      </c>
    </row>
    <row r="529" spans="12:12">
      <c r="L529" s="44" t="e">
        <f>IF(#REF!="","",IF(#REF!&gt;K$3,1,""))</f>
        <v>#REF!</v>
      </c>
    </row>
    <row r="530" spans="12:12">
      <c r="L530" s="44" t="e">
        <f>IF(#REF!="","",IF(#REF!&gt;K$3,1,""))</f>
        <v>#REF!</v>
      </c>
    </row>
    <row r="531" spans="12:12">
      <c r="L531" s="44" t="e">
        <f>IF(#REF!="","",IF(#REF!&gt;K$3,1,""))</f>
        <v>#REF!</v>
      </c>
    </row>
    <row r="532" spans="12:12">
      <c r="L532" s="44" t="e">
        <f>IF(#REF!="","",IF(#REF!&gt;K$3,1,""))</f>
        <v>#REF!</v>
      </c>
    </row>
    <row r="533" spans="12:12">
      <c r="L533" s="44" t="e">
        <f>IF(#REF!="","",IF(#REF!&gt;K$3,1,""))</f>
        <v>#REF!</v>
      </c>
    </row>
    <row r="534" spans="12:12">
      <c r="L534" s="44" t="e">
        <f>IF(#REF!="","",IF(#REF!&gt;K$3,1,""))</f>
        <v>#REF!</v>
      </c>
    </row>
    <row r="535" spans="12:12">
      <c r="L535" s="44" t="e">
        <f>IF(#REF!="","",IF(#REF!&gt;K$3,1,""))</f>
        <v>#REF!</v>
      </c>
    </row>
    <row r="536" spans="12:12">
      <c r="L536" s="44" t="e">
        <f>IF(#REF!="","",IF(#REF!&gt;K$3,1,""))</f>
        <v>#REF!</v>
      </c>
    </row>
    <row r="537" spans="12:12">
      <c r="L537" s="44" t="e">
        <f>IF(#REF!="","",IF(#REF!&gt;K$3,1,""))</f>
        <v>#REF!</v>
      </c>
    </row>
    <row r="538" spans="12:12">
      <c r="L538" s="44" t="e">
        <f>IF(#REF!="","",IF(#REF!&gt;K$3,1,""))</f>
        <v>#REF!</v>
      </c>
    </row>
    <row r="539" spans="12:12">
      <c r="L539" s="44" t="e">
        <f>IF(#REF!="","",IF(#REF!&gt;K$3,1,""))</f>
        <v>#REF!</v>
      </c>
    </row>
    <row r="540" spans="12:12">
      <c r="L540" s="44" t="e">
        <f>IF(#REF!="","",IF(#REF!&gt;K$3,1,""))</f>
        <v>#REF!</v>
      </c>
    </row>
    <row r="541" spans="12:12">
      <c r="L541" s="44" t="e">
        <f>IF(#REF!="","",IF(#REF!&gt;K$3,1,""))</f>
        <v>#REF!</v>
      </c>
    </row>
    <row r="542" spans="12:12">
      <c r="L542" s="44" t="e">
        <f>IF(#REF!="","",IF(#REF!&gt;K$3,1,""))</f>
        <v>#REF!</v>
      </c>
    </row>
    <row r="543" spans="12:12">
      <c r="L543" s="44" t="e">
        <f>IF(#REF!="","",IF(#REF!&gt;K$3,1,""))</f>
        <v>#REF!</v>
      </c>
    </row>
    <row r="544" spans="12:12">
      <c r="L544" s="44" t="e">
        <f>IF(#REF!="","",IF(#REF!&gt;K$3,1,""))</f>
        <v>#REF!</v>
      </c>
    </row>
    <row r="545" spans="12:12">
      <c r="L545" s="44" t="e">
        <f>IF(#REF!="","",IF(#REF!&gt;K$3,1,""))</f>
        <v>#REF!</v>
      </c>
    </row>
    <row r="546" spans="12:12">
      <c r="L546" s="44" t="e">
        <f>IF(#REF!="","",IF(#REF!&gt;K$3,1,""))</f>
        <v>#REF!</v>
      </c>
    </row>
    <row r="547" spans="12:12">
      <c r="L547" s="44" t="e">
        <f>IF(#REF!="","",IF(#REF!&gt;K$3,1,""))</f>
        <v>#REF!</v>
      </c>
    </row>
    <row r="548" spans="12:12">
      <c r="L548" s="44" t="e">
        <f>IF(#REF!="","",IF(#REF!&gt;K$3,1,""))</f>
        <v>#REF!</v>
      </c>
    </row>
    <row r="549" spans="12:12">
      <c r="L549" s="44" t="e">
        <f>IF(#REF!="","",IF(#REF!&gt;K$3,1,""))</f>
        <v>#REF!</v>
      </c>
    </row>
    <row r="550" spans="12:12">
      <c r="L550" s="44" t="e">
        <f>IF(#REF!="","",IF(#REF!&gt;K$3,1,""))</f>
        <v>#REF!</v>
      </c>
    </row>
    <row r="551" spans="12:12">
      <c r="L551" s="44" t="e">
        <f>IF(#REF!="","",IF(#REF!&gt;K$3,1,""))</f>
        <v>#REF!</v>
      </c>
    </row>
    <row r="552" spans="12:12">
      <c r="L552" s="44" t="e">
        <f>IF(#REF!="","",IF(#REF!&gt;K$3,1,""))</f>
        <v>#REF!</v>
      </c>
    </row>
    <row r="553" spans="12:12">
      <c r="L553" s="44" t="e">
        <f>IF(#REF!="","",IF(#REF!&gt;K$3,1,""))</f>
        <v>#REF!</v>
      </c>
    </row>
    <row r="554" spans="12:12">
      <c r="L554" s="44" t="e">
        <f>IF(#REF!="","",IF(#REF!&gt;K$3,1,""))</f>
        <v>#REF!</v>
      </c>
    </row>
    <row r="555" spans="12:12">
      <c r="L555" s="44" t="e">
        <f>IF(#REF!="","",IF(#REF!&gt;K$3,1,""))</f>
        <v>#REF!</v>
      </c>
    </row>
    <row r="556" spans="12:12">
      <c r="L556" s="44" t="e">
        <f>IF(#REF!="","",IF(#REF!&gt;K$3,1,""))</f>
        <v>#REF!</v>
      </c>
    </row>
    <row r="557" spans="12:12">
      <c r="L557" s="44" t="e">
        <f>IF(#REF!="","",IF(#REF!&gt;K$3,1,""))</f>
        <v>#REF!</v>
      </c>
    </row>
    <row r="558" spans="12:12">
      <c r="L558" s="44" t="e">
        <f>IF(#REF!="","",IF(#REF!&gt;K$3,1,""))</f>
        <v>#REF!</v>
      </c>
    </row>
    <row r="559" spans="12:12">
      <c r="L559" s="44" t="e">
        <f>IF(#REF!="","",IF(#REF!&gt;K$3,1,""))</f>
        <v>#REF!</v>
      </c>
    </row>
    <row r="560" spans="12:12">
      <c r="L560" s="44" t="e">
        <f>IF(#REF!="","",IF(#REF!&gt;K$3,1,""))</f>
        <v>#REF!</v>
      </c>
    </row>
    <row r="561" spans="12:12">
      <c r="L561" s="44" t="e">
        <f>IF(#REF!="","",IF(#REF!&gt;K$3,1,""))</f>
        <v>#REF!</v>
      </c>
    </row>
    <row r="562" spans="12:12">
      <c r="L562" s="44" t="e">
        <f>IF(#REF!="","",IF(#REF!&gt;K$3,1,""))</f>
        <v>#REF!</v>
      </c>
    </row>
    <row r="563" spans="12:12">
      <c r="L563" s="44" t="e">
        <f>IF(#REF!="","",IF(#REF!&gt;K$3,1,""))</f>
        <v>#REF!</v>
      </c>
    </row>
    <row r="564" spans="12:12">
      <c r="L564" s="44" t="e">
        <f>IF(#REF!="","",IF(#REF!&gt;K$3,1,""))</f>
        <v>#REF!</v>
      </c>
    </row>
    <row r="565" spans="12:12">
      <c r="L565" s="44" t="e">
        <f>IF(#REF!="","",IF(#REF!&gt;K$3,1,""))</f>
        <v>#REF!</v>
      </c>
    </row>
    <row r="566" spans="12:12">
      <c r="L566" s="44" t="e">
        <f>IF(#REF!="","",IF(#REF!&gt;K$3,1,""))</f>
        <v>#REF!</v>
      </c>
    </row>
    <row r="567" spans="12:12">
      <c r="L567" s="44" t="e">
        <f>IF(#REF!="","",IF(#REF!&gt;K$3,1,""))</f>
        <v>#REF!</v>
      </c>
    </row>
    <row r="568" spans="12:12">
      <c r="L568" s="44" t="e">
        <f>IF(#REF!="","",IF(#REF!&gt;K$3,1,""))</f>
        <v>#REF!</v>
      </c>
    </row>
  </sheetData>
  <sheetProtection password="CC08" sheet="1" scenarios="1"/>
  <mergeCells count="52">
    <mergeCell ref="AC29:AD29"/>
    <mergeCell ref="AC30:AD30"/>
    <mergeCell ref="AC31:AD31"/>
    <mergeCell ref="AC32:AD32"/>
    <mergeCell ref="AA34:AD34"/>
    <mergeCell ref="AA29:AB29"/>
    <mergeCell ref="AA30:AB30"/>
    <mergeCell ref="AA31:AB31"/>
    <mergeCell ref="AA33:AD33"/>
    <mergeCell ref="AA32:AB32"/>
    <mergeCell ref="AA24:AB24"/>
    <mergeCell ref="AA25:AB25"/>
    <mergeCell ref="AA26:AB26"/>
    <mergeCell ref="AA27:AB27"/>
    <mergeCell ref="AA28:AB28"/>
    <mergeCell ref="AC24:AD24"/>
    <mergeCell ref="AC25:AD25"/>
    <mergeCell ref="AC26:AD26"/>
    <mergeCell ref="AC27:AD27"/>
    <mergeCell ref="AC28:AD28"/>
    <mergeCell ref="L89:P89"/>
    <mergeCell ref="O85:P85"/>
    <mergeCell ref="O87:P87"/>
    <mergeCell ref="O78:P78"/>
    <mergeCell ref="O76:P76"/>
    <mergeCell ref="L80:P80"/>
    <mergeCell ref="J14:K14"/>
    <mergeCell ref="J15:K15"/>
    <mergeCell ref="J16:K16"/>
    <mergeCell ref="J17:K17"/>
    <mergeCell ref="J18:K18"/>
    <mergeCell ref="L71:P71"/>
    <mergeCell ref="J25:K25"/>
    <mergeCell ref="J19:K19"/>
    <mergeCell ref="J20:K20"/>
    <mergeCell ref="J21:K21"/>
    <mergeCell ref="J22:K22"/>
    <mergeCell ref="J26:K26"/>
    <mergeCell ref="J27:K27"/>
    <mergeCell ref="J23:K23"/>
    <mergeCell ref="J24:K24"/>
    <mergeCell ref="K29:L29"/>
    <mergeCell ref="R5:Y5"/>
    <mergeCell ref="R6:Y6"/>
    <mergeCell ref="F1:H1"/>
    <mergeCell ref="B7:G7"/>
    <mergeCell ref="F4:H4"/>
    <mergeCell ref="R1:Y1"/>
    <mergeCell ref="R2:Y2"/>
    <mergeCell ref="R3:Y3"/>
    <mergeCell ref="R4:Y4"/>
    <mergeCell ref="F2:H2"/>
  </mergeCells>
  <phoneticPr fontId="0" type="noConversion"/>
  <conditionalFormatting sqref="B9:G108">
    <cfRule type="cellIs" dxfId="16" priority="1" stopIfTrue="1" operator="lessThan">
      <formula>$K$1</formula>
    </cfRule>
    <cfRule type="cellIs" dxfId="15" priority="2" stopIfTrue="1" operator="greaterThan">
      <formula>$K$3</formula>
    </cfRule>
  </conditionalFormatting>
  <printOptions horizontalCentered="1"/>
  <pageMargins left="0.75" right="0.75" top="1" bottom="1" header="0.5" footer="0.5"/>
  <pageSetup orientation="landscape" horizontalDpi="200" verticalDpi="200" r:id="rId1"/>
  <headerFooter alignWithMargins="0">
    <oddHeader>&amp;C&amp;A</oddHeader>
    <oddFooter>&amp;CPage &amp;P&amp;R&amp;"Arial,Italic"*Pp and Ppk values are two-tailed values</oddFooter>
  </headerFooter>
  <colBreaks count="1" manualBreakCount="1">
    <brk id="17" max="1048575" man="1"/>
  </colBreaks>
  <drawing r:id="rId2"/>
  <legacyDrawing r:id="rId3"/>
  <controls>
    <control shapeId="53257" r:id="rId4" name="MainMenu"/>
    <control shapeId="53258" r:id="rId5" name="AddRows"/>
  </controls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/>
  <dimension ref="A1:N49"/>
  <sheetViews>
    <sheetView showGridLines="0" workbookViewId="0">
      <selection activeCell="L6" sqref="L6"/>
    </sheetView>
  </sheetViews>
  <sheetFormatPr defaultRowHeight="12.75"/>
  <cols>
    <col min="1" max="1" width="13.7109375" customWidth="1"/>
  </cols>
  <sheetData>
    <row r="1" spans="1:14">
      <c r="A1" s="826" t="s">
        <v>444</v>
      </c>
      <c r="B1" s="1587"/>
      <c r="C1" s="1587"/>
      <c r="D1" s="1587"/>
    </row>
    <row r="2" spans="1:14" ht="15.75">
      <c r="A2" s="826" t="s">
        <v>445</v>
      </c>
      <c r="B2" s="1587"/>
      <c r="C2" s="1587"/>
      <c r="D2" s="1587"/>
      <c r="N2" s="97" t="str">
        <f>"Analysis of Means for "&amp;B1</f>
        <v xml:space="preserve">Analysis of Means for </v>
      </c>
    </row>
    <row r="3" spans="1:14">
      <c r="A3" s="826" t="s">
        <v>446</v>
      </c>
      <c r="B3" s="1587"/>
      <c r="C3" s="1587"/>
      <c r="D3" s="1587"/>
      <c r="N3" s="827" t="str">
        <f>"The Y: "&amp;B2&amp;" "&amp;B3</f>
        <v xml:space="preserve">The Y:  </v>
      </c>
    </row>
    <row r="4" spans="1:14">
      <c r="A4" s="100" t="s">
        <v>447</v>
      </c>
      <c r="B4" s="278">
        <v>0.05</v>
      </c>
      <c r="N4" s="828" t="str">
        <f>"a = "&amp;B4</f>
        <v>a = 0.05</v>
      </c>
    </row>
    <row r="5" spans="1:14">
      <c r="A5" s="100"/>
      <c r="B5" s="94"/>
      <c r="N5" s="828"/>
    </row>
    <row r="6" spans="1:14">
      <c r="A6" s="100"/>
      <c r="B6" s="829" t="s">
        <v>448</v>
      </c>
      <c r="N6" s="828"/>
    </row>
    <row r="7" spans="1:14">
      <c r="A7" s="100"/>
      <c r="B7" s="829"/>
      <c r="N7" s="828"/>
    </row>
    <row r="8" spans="1:14">
      <c r="A8" s="282" t="s">
        <v>1008</v>
      </c>
      <c r="N8" s="827"/>
    </row>
    <row r="9" spans="1:14" ht="13.5" thickBot="1">
      <c r="A9" s="99" t="s">
        <v>1010</v>
      </c>
      <c r="B9" s="754"/>
      <c r="C9" s="754"/>
      <c r="D9" s="754"/>
      <c r="E9" s="754"/>
      <c r="F9" s="754"/>
      <c r="G9" s="754"/>
      <c r="N9" s="827"/>
    </row>
    <row r="10" spans="1:14" ht="13.5" thickTop="1">
      <c r="A10">
        <v>1</v>
      </c>
      <c r="B10" s="273"/>
      <c r="C10" s="273"/>
      <c r="D10" s="273"/>
      <c r="E10" s="273"/>
      <c r="F10" s="273"/>
      <c r="G10" s="273"/>
    </row>
    <row r="11" spans="1:14">
      <c r="A11">
        <v>2</v>
      </c>
      <c r="B11" s="278"/>
      <c r="C11" s="278"/>
      <c r="D11" s="278"/>
      <c r="E11" s="278"/>
      <c r="F11" s="278"/>
      <c r="G11" s="278"/>
    </row>
    <row r="12" spans="1:14">
      <c r="A12">
        <v>3</v>
      </c>
      <c r="B12" s="278"/>
      <c r="C12" s="278"/>
      <c r="D12" s="278"/>
      <c r="E12" s="278"/>
      <c r="F12" s="278"/>
      <c r="G12" s="278"/>
    </row>
    <row r="13" spans="1:14">
      <c r="A13">
        <v>4</v>
      </c>
      <c r="B13" s="278"/>
      <c r="C13" s="278"/>
      <c r="D13" s="278"/>
      <c r="E13" s="278"/>
      <c r="F13" s="278"/>
      <c r="G13" s="278"/>
    </row>
    <row r="14" spans="1:14">
      <c r="A14">
        <v>5</v>
      </c>
      <c r="B14" s="278"/>
      <c r="C14" s="278"/>
      <c r="D14" s="278"/>
      <c r="E14" s="278"/>
      <c r="F14" s="278"/>
      <c r="G14" s="278"/>
    </row>
    <row r="15" spans="1:14">
      <c r="A15">
        <v>6</v>
      </c>
      <c r="B15" s="278"/>
      <c r="C15" s="278"/>
      <c r="D15" s="278"/>
      <c r="E15" s="278"/>
      <c r="F15" s="278"/>
      <c r="G15" s="278"/>
    </row>
    <row r="16" spans="1:14">
      <c r="A16">
        <v>7</v>
      </c>
      <c r="B16" s="278"/>
      <c r="C16" s="278"/>
      <c r="D16" s="278"/>
      <c r="E16" s="278"/>
      <c r="F16" s="278"/>
      <c r="G16" s="278"/>
    </row>
    <row r="17" spans="1:14">
      <c r="A17">
        <v>8</v>
      </c>
      <c r="B17" s="278"/>
      <c r="C17" s="278"/>
      <c r="D17" s="278"/>
      <c r="E17" s="278"/>
      <c r="F17" s="278"/>
      <c r="G17" s="278"/>
    </row>
    <row r="18" spans="1:14">
      <c r="A18">
        <v>9</v>
      </c>
      <c r="B18" s="278"/>
      <c r="C18" s="278"/>
      <c r="D18" s="278"/>
      <c r="E18" s="278"/>
      <c r="F18" s="278"/>
      <c r="G18" s="278"/>
    </row>
    <row r="19" spans="1:14">
      <c r="A19">
        <v>10</v>
      </c>
      <c r="B19" s="278"/>
      <c r="C19" s="278"/>
      <c r="D19" s="278"/>
      <c r="E19" s="278"/>
      <c r="F19" s="278"/>
      <c r="G19" s="278"/>
    </row>
    <row r="20" spans="1:14">
      <c r="A20">
        <v>11</v>
      </c>
      <c r="B20" s="278"/>
      <c r="C20" s="278"/>
      <c r="D20" s="278"/>
      <c r="E20" s="278"/>
      <c r="F20" s="278"/>
      <c r="G20" s="278"/>
    </row>
    <row r="21" spans="1:14">
      <c r="A21">
        <v>12</v>
      </c>
      <c r="B21" s="278"/>
      <c r="C21" s="278"/>
      <c r="D21" s="278"/>
      <c r="E21" s="278"/>
      <c r="F21" s="278"/>
      <c r="G21" s="278"/>
    </row>
    <row r="22" spans="1:14">
      <c r="A22">
        <v>13</v>
      </c>
      <c r="B22" s="278"/>
      <c r="C22" s="278"/>
      <c r="D22" s="278"/>
      <c r="E22" s="278"/>
      <c r="F22" s="278"/>
      <c r="G22" s="278"/>
    </row>
    <row r="23" spans="1:14">
      <c r="A23">
        <v>14</v>
      </c>
      <c r="B23" s="278"/>
      <c r="C23" s="278"/>
      <c r="D23" s="278"/>
      <c r="E23" s="278"/>
      <c r="F23" s="278"/>
      <c r="G23" s="278"/>
    </row>
    <row r="24" spans="1:14">
      <c r="A24">
        <v>15</v>
      </c>
      <c r="B24" s="278"/>
      <c r="C24" s="278"/>
      <c r="D24" s="278"/>
      <c r="E24" s="278"/>
      <c r="F24" s="278"/>
      <c r="G24" s="278"/>
    </row>
    <row r="25" spans="1:14">
      <c r="A25">
        <v>16</v>
      </c>
      <c r="B25" s="278"/>
      <c r="C25" s="278"/>
      <c r="D25" s="278"/>
      <c r="E25" s="278"/>
      <c r="F25" s="278"/>
      <c r="G25" s="278"/>
    </row>
    <row r="26" spans="1:14">
      <c r="A26">
        <v>17</v>
      </c>
      <c r="B26" s="278"/>
      <c r="C26" s="278"/>
      <c r="D26" s="278"/>
      <c r="E26" s="278"/>
      <c r="F26" s="278"/>
      <c r="G26" s="278"/>
    </row>
    <row r="27" spans="1:14">
      <c r="A27">
        <v>18</v>
      </c>
      <c r="B27" s="278"/>
      <c r="C27" s="278"/>
      <c r="D27" s="278"/>
      <c r="E27" s="278"/>
      <c r="F27" s="278"/>
      <c r="G27" s="278"/>
      <c r="N27" s="80" t="e">
        <f>IF(OR(MIN(B37:G37)&lt;B36,MAX(B37:G37)&gt;B39),"There is a statistically significant difference between the Means","There is no statistically significant difference between the Means")</f>
        <v>#DIV/0!</v>
      </c>
    </row>
    <row r="28" spans="1:14">
      <c r="A28">
        <v>19</v>
      </c>
      <c r="B28" s="278"/>
      <c r="C28" s="278"/>
      <c r="D28" s="278"/>
      <c r="E28" s="278"/>
      <c r="F28" s="278"/>
      <c r="G28" s="278"/>
      <c r="M28" s="282"/>
    </row>
    <row r="29" spans="1:14">
      <c r="A29">
        <v>20</v>
      </c>
      <c r="B29" s="278"/>
      <c r="C29" s="278"/>
      <c r="D29" s="278"/>
      <c r="E29" s="278"/>
      <c r="F29" s="278"/>
      <c r="G29" s="278"/>
      <c r="M29" s="282"/>
    </row>
    <row r="30" spans="1:14">
      <c r="A30">
        <v>21</v>
      </c>
      <c r="B30" s="278"/>
      <c r="C30" s="278"/>
      <c r="D30" s="278"/>
      <c r="E30" s="278"/>
      <c r="F30" s="278"/>
      <c r="G30" s="278"/>
    </row>
    <row r="31" spans="1:14">
      <c r="A31">
        <v>22</v>
      </c>
      <c r="B31" s="278"/>
      <c r="C31" s="278"/>
      <c r="D31" s="278"/>
      <c r="E31" s="278"/>
      <c r="F31" s="278"/>
      <c r="G31" s="278"/>
    </row>
    <row r="32" spans="1:14">
      <c r="A32">
        <v>23</v>
      </c>
      <c r="B32" s="278"/>
      <c r="C32" s="278"/>
      <c r="D32" s="278"/>
      <c r="E32" s="278"/>
      <c r="F32" s="278"/>
      <c r="G32" s="278"/>
    </row>
    <row r="33" spans="1:7">
      <c r="A33">
        <v>24</v>
      </c>
      <c r="B33" s="278"/>
      <c r="C33" s="278"/>
      <c r="D33" s="278"/>
      <c r="E33" s="278"/>
      <c r="F33" s="278"/>
      <c r="G33" s="278"/>
    </row>
    <row r="34" spans="1:7">
      <c r="A34">
        <v>25</v>
      </c>
      <c r="B34" s="278"/>
      <c r="C34" s="278"/>
      <c r="D34" s="278"/>
      <c r="E34" s="278"/>
      <c r="F34" s="278"/>
      <c r="G34" s="278"/>
    </row>
    <row r="36" spans="1:7">
      <c r="A36" s="830" t="s">
        <v>450</v>
      </c>
      <c r="B36" s="831" t="e">
        <f>B49-(B46*B48)</f>
        <v>#DIV/0!</v>
      </c>
      <c r="C36" s="831" t="e">
        <f>B36</f>
        <v>#DIV/0!</v>
      </c>
      <c r="D36" s="831" t="e">
        <f>C36</f>
        <v>#DIV/0!</v>
      </c>
      <c r="E36" s="831" t="e">
        <f>D36</f>
        <v>#DIV/0!</v>
      </c>
      <c r="F36" s="831" t="e">
        <f>E36</f>
        <v>#DIV/0!</v>
      </c>
      <c r="G36" s="831" t="e">
        <f>F36</f>
        <v>#DIV/0!</v>
      </c>
    </row>
    <row r="37" spans="1:7">
      <c r="A37" s="830" t="s">
        <v>195</v>
      </c>
      <c r="B37" s="831" t="str">
        <f t="shared" ref="B37:G37" si="0">IF(B10="","",AVERAGE(B10:B34))</f>
        <v/>
      </c>
      <c r="C37" s="831" t="str">
        <f t="shared" si="0"/>
        <v/>
      </c>
      <c r="D37" s="831" t="str">
        <f t="shared" si="0"/>
        <v/>
      </c>
      <c r="E37" s="831" t="str">
        <f t="shared" si="0"/>
        <v/>
      </c>
      <c r="F37" s="831" t="str">
        <f t="shared" si="0"/>
        <v/>
      </c>
      <c r="G37" s="831" t="str">
        <f t="shared" si="0"/>
        <v/>
      </c>
    </row>
    <row r="38" spans="1:7">
      <c r="A38" s="832" t="s">
        <v>1058</v>
      </c>
      <c r="B38" s="832" t="e">
        <f>AVERAGE(B10:G34)</f>
        <v>#DIV/0!</v>
      </c>
      <c r="C38" s="832" t="e">
        <f t="shared" ref="C38:E39" si="1">B38</f>
        <v>#DIV/0!</v>
      </c>
      <c r="D38" s="832" t="e">
        <f t="shared" si="1"/>
        <v>#DIV/0!</v>
      </c>
      <c r="E38" s="832" t="e">
        <f t="shared" si="1"/>
        <v>#DIV/0!</v>
      </c>
      <c r="F38" s="832" t="e">
        <f>E38</f>
        <v>#DIV/0!</v>
      </c>
      <c r="G38" s="832" t="e">
        <f>F38</f>
        <v>#DIV/0!</v>
      </c>
    </row>
    <row r="39" spans="1:7">
      <c r="A39" s="830" t="s">
        <v>452</v>
      </c>
      <c r="B39" s="831" t="e">
        <f>B49+(B46*B48)</f>
        <v>#DIV/0!</v>
      </c>
      <c r="C39" s="831" t="e">
        <f t="shared" si="1"/>
        <v>#DIV/0!</v>
      </c>
      <c r="D39" s="831" t="e">
        <f t="shared" si="1"/>
        <v>#DIV/0!</v>
      </c>
      <c r="E39" s="831" t="e">
        <f t="shared" si="1"/>
        <v>#DIV/0!</v>
      </c>
      <c r="F39" s="831" t="e">
        <f>E39</f>
        <v>#DIV/0!</v>
      </c>
      <c r="G39" s="831" t="e">
        <f>F39</f>
        <v>#DIV/0!</v>
      </c>
    </row>
    <row r="41" spans="1:7">
      <c r="A41" s="833" t="s">
        <v>453</v>
      </c>
      <c r="B41" s="776">
        <f>COUNT(B10:B34)</f>
        <v>0</v>
      </c>
      <c r="C41" s="776">
        <f>COUNT(C10:C34)</f>
        <v>0</v>
      </c>
      <c r="D41" s="776" t="str">
        <f>IF(COUNT(D10:D34)=0,"",COUNT(D10:D34))</f>
        <v/>
      </c>
      <c r="E41" s="776" t="str">
        <f>IF(COUNT(E10:E34)=0,"",COUNT(E10:E34))</f>
        <v/>
      </c>
      <c r="F41" s="776" t="str">
        <f>IF(COUNT(F10:F34)=0,"",COUNT(F10:F34))</f>
        <v/>
      </c>
      <c r="G41" s="776" t="str">
        <f>IF(COUNT(G10:G34)=0,"",COUNT(G10:G34))</f>
        <v/>
      </c>
    </row>
    <row r="42" spans="1:7">
      <c r="A42" s="833" t="s">
        <v>457</v>
      </c>
      <c r="B42" s="776">
        <f>COUNT(B10:G10)</f>
        <v>0</v>
      </c>
      <c r="C42" s="834"/>
      <c r="D42" s="834"/>
      <c r="E42" s="834"/>
      <c r="F42" s="834"/>
      <c r="G42" s="834"/>
    </row>
    <row r="43" spans="1:7">
      <c r="A43" s="833" t="s">
        <v>117</v>
      </c>
      <c r="B43" s="776">
        <f>MAX(B10:B34)-MIN(B10:B34)</f>
        <v>0</v>
      </c>
      <c r="C43" s="776" t="str">
        <f>IF(MAX(C10:C34)-MIN(C10:C34)=0,"",MAX(C10:C34)-MIN(C10:C34))</f>
        <v/>
      </c>
      <c r="D43" s="776" t="str">
        <f>IF(MAX(D10:D34)-MIN(D10:D34)=0,"",MAX(D10:D34)-MIN(D10:D34))</f>
        <v/>
      </c>
      <c r="E43" s="776" t="str">
        <f>IF(MAX(E10:E34)-MIN(E10:E34)=0,"",MAX(E10:E34)-MIN(E10:E34))</f>
        <v/>
      </c>
      <c r="F43" s="776" t="str">
        <f>IF(MAX(F10:F34)-MIN(F10:F34)=0,"",MAX(F10:F34)-MIN(F10:F34))</f>
        <v/>
      </c>
      <c r="G43" s="776" t="str">
        <f>IF(MAX(G10:G34)-MIN(G10:G34)=0,"",MAX(G10:G34)-MIN(G10:G34))</f>
        <v/>
      </c>
    </row>
    <row r="44" spans="1:7" ht="14.25">
      <c r="A44" s="833" t="s">
        <v>1059</v>
      </c>
      <c r="B44" s="776" t="b">
        <v>0</v>
      </c>
      <c r="C44" s="835"/>
      <c r="D44" s="835"/>
      <c r="E44" s="835"/>
      <c r="F44" s="835"/>
      <c r="G44" s="835"/>
    </row>
    <row r="45" spans="1:7">
      <c r="A45" s="833" t="s">
        <v>458</v>
      </c>
      <c r="B45" s="776">
        <f>0.9*(B42)*(B41-1)</f>
        <v>0</v>
      </c>
      <c r="C45" s="835"/>
      <c r="D45" s="835"/>
      <c r="E45" s="835"/>
      <c r="F45" s="835"/>
      <c r="G45" s="835"/>
    </row>
    <row r="46" spans="1:7">
      <c r="A46" s="833" t="s">
        <v>1060</v>
      </c>
      <c r="B46" s="776" t="str">
        <f>IF(B42=6,G46,IF(B42=5,F46,IF(B42=4,E46,IF(B42=3,D46,IF(B42=2,C46,"")))))</f>
        <v/>
      </c>
      <c r="C46" s="818" t="s">
        <v>2</v>
      </c>
      <c r="D46" s="818" t="s">
        <v>2</v>
      </c>
      <c r="E46" s="818" t="s">
        <v>2</v>
      </c>
      <c r="F46" s="818" t="s">
        <v>2</v>
      </c>
      <c r="G46" s="818" t="s">
        <v>2</v>
      </c>
    </row>
    <row r="47" spans="1:7">
      <c r="A47" s="836" t="s">
        <v>555</v>
      </c>
      <c r="B47" s="777" t="e">
        <f>AVERAGE(B43:G43)/B44</f>
        <v>#DIV/0!</v>
      </c>
      <c r="C47" s="835"/>
      <c r="D47" s="835"/>
      <c r="E47" s="835"/>
      <c r="F47" s="835"/>
      <c r="G47" s="835"/>
    </row>
    <row r="48" spans="1:7" ht="14.25">
      <c r="A48" s="836" t="s">
        <v>1061</v>
      </c>
      <c r="B48" s="776" t="e">
        <f>B47/SQRT(B41)</f>
        <v>#DIV/0!</v>
      </c>
      <c r="C48" s="835"/>
      <c r="D48" s="835"/>
      <c r="E48" s="835"/>
      <c r="F48" s="835"/>
      <c r="G48" s="835"/>
    </row>
    <row r="49" spans="1:2">
      <c r="A49" s="833" t="s">
        <v>195</v>
      </c>
      <c r="B49" s="818" t="e">
        <f>AVERAGE(B10:G34)</f>
        <v>#DIV/0!</v>
      </c>
    </row>
  </sheetData>
  <sheetProtection password="CC08" sheet="1" scenarios="1"/>
  <protectedRanges>
    <protectedRange sqref="B1:D4 B9:G34" name="Range1"/>
  </protectedRanges>
  <mergeCells count="3">
    <mergeCell ref="B2:D2"/>
    <mergeCell ref="B1:D1"/>
    <mergeCell ref="B3:D3"/>
  </mergeCells>
  <phoneticPr fontId="0" type="noConversion"/>
  <conditionalFormatting sqref="N27">
    <cfRule type="cellIs" dxfId="14" priority="1" stopIfTrue="1" operator="equal">
      <formula>"There is no statistically significant difference between the Means"</formula>
    </cfRule>
    <cfRule type="cellIs" dxfId="13" priority="2" stopIfTrue="1" operator="equal">
      <formula>"There is a statistically significant difference between the Means"</formula>
    </cfRule>
  </conditionalFormatting>
  <printOptions horizontalCentered="1"/>
  <pageMargins left="0.75" right="0.75" top="1" bottom="1" header="0.5" footer="0.5"/>
  <pageSetup orientation="portrait" r:id="rId1"/>
  <headerFooter alignWithMargins="0"/>
  <drawing r:id="rId2"/>
  <legacyDrawing r:id="rId3"/>
  <oleObjects>
    <oleObject progId="Equation.3" shapeId="58371" r:id="rId4"/>
    <oleObject progId="Equation.3" shapeId="58372" r:id="rId5"/>
    <oleObject progId="Equation.3" shapeId="58373" r:id="rId6"/>
  </oleObjects>
  <controls>
    <control shapeId="58374" r:id="rId7" name="MainMenu"/>
  </controls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/>
  <dimension ref="A1:N28"/>
  <sheetViews>
    <sheetView workbookViewId="0">
      <selection activeCell="J9" sqref="J9"/>
    </sheetView>
  </sheetViews>
  <sheetFormatPr defaultRowHeight="12.75"/>
  <cols>
    <col min="1" max="1" width="14.28515625" customWidth="1"/>
  </cols>
  <sheetData>
    <row r="1" spans="1:14">
      <c r="A1" s="826" t="s">
        <v>444</v>
      </c>
      <c r="B1" s="1587"/>
      <c r="C1" s="1587"/>
      <c r="D1" s="1587"/>
    </row>
    <row r="2" spans="1:14" ht="15.75">
      <c r="A2" s="826" t="s">
        <v>445</v>
      </c>
      <c r="B2" s="1587"/>
      <c r="C2" s="1587"/>
      <c r="D2" s="1587"/>
      <c r="N2" s="97" t="str">
        <f>"Analysis of Means for "&amp;B1</f>
        <v xml:space="preserve">Analysis of Means for </v>
      </c>
    </row>
    <row r="3" spans="1:14">
      <c r="A3" s="826" t="s">
        <v>446</v>
      </c>
      <c r="B3" s="1587"/>
      <c r="C3" s="1587"/>
      <c r="D3" s="1587"/>
      <c r="N3" s="827" t="str">
        <f>"The Y: "&amp;B2&amp;" "&amp;B3</f>
        <v xml:space="preserve">The Y:  </v>
      </c>
    </row>
    <row r="4" spans="1:14">
      <c r="A4" s="100" t="s">
        <v>447</v>
      </c>
      <c r="B4" s="278">
        <v>0.05</v>
      </c>
      <c r="N4" s="828" t="str">
        <f>"a = "&amp;B4</f>
        <v>a = 0.05</v>
      </c>
    </row>
    <row r="5" spans="1:14">
      <c r="A5" s="100"/>
      <c r="B5" s="94"/>
      <c r="N5" s="828"/>
    </row>
    <row r="6" spans="1:14">
      <c r="A6" s="100"/>
      <c r="B6" s="829" t="s">
        <v>448</v>
      </c>
      <c r="N6" s="828"/>
    </row>
    <row r="7" spans="1:14">
      <c r="A7" s="100"/>
      <c r="B7" s="829"/>
      <c r="N7" s="828"/>
    </row>
    <row r="8" spans="1:14">
      <c r="B8" s="93"/>
      <c r="C8" s="93"/>
      <c r="D8" s="816" t="s">
        <v>449</v>
      </c>
      <c r="E8" s="816" t="s">
        <v>450</v>
      </c>
      <c r="F8" s="816" t="s">
        <v>451</v>
      </c>
      <c r="G8" s="816" t="s">
        <v>452</v>
      </c>
      <c r="N8" s="827"/>
    </row>
    <row r="9" spans="1:14">
      <c r="B9" s="93" t="s">
        <v>430</v>
      </c>
      <c r="C9" s="93" t="s">
        <v>453</v>
      </c>
      <c r="D9" s="837"/>
      <c r="E9" s="838" t="e">
        <f>B$21</f>
        <v>#DIV/0!</v>
      </c>
      <c r="F9" s="838" t="e">
        <f>B$20</f>
        <v>#DIV/0!</v>
      </c>
      <c r="G9" s="838" t="e">
        <f>B$22</f>
        <v>#DIV/0!</v>
      </c>
      <c r="N9" s="827"/>
    </row>
    <row r="10" spans="1:14">
      <c r="A10" t="s">
        <v>454</v>
      </c>
      <c r="B10" s="278"/>
      <c r="C10" s="278"/>
      <c r="D10" s="818" t="e">
        <f>B10/C10</f>
        <v>#DIV/0!</v>
      </c>
      <c r="E10" s="838" t="e">
        <f>B$21</f>
        <v>#DIV/0!</v>
      </c>
      <c r="F10" s="838" t="e">
        <f>B$20</f>
        <v>#DIV/0!</v>
      </c>
      <c r="G10" s="838" t="e">
        <f>B$22</f>
        <v>#DIV/0!</v>
      </c>
    </row>
    <row r="11" spans="1:14">
      <c r="A11" t="s">
        <v>455</v>
      </c>
      <c r="B11" s="278"/>
      <c r="C11" s="278"/>
      <c r="D11" s="818" t="e">
        <f t="shared" ref="D11" si="0">B11/C11</f>
        <v>#DIV/0!</v>
      </c>
      <c r="E11" s="838" t="e">
        <f>B$21</f>
        <v>#DIV/0!</v>
      </c>
      <c r="F11" s="838" t="e">
        <f>B$20</f>
        <v>#DIV/0!</v>
      </c>
      <c r="G11" s="838" t="e">
        <f>B$22</f>
        <v>#DIV/0!</v>
      </c>
    </row>
    <row r="12" spans="1:14">
      <c r="A12" t="s">
        <v>456</v>
      </c>
      <c r="B12" s="278"/>
      <c r="C12" s="278"/>
      <c r="D12" s="818" t="e">
        <f>B12/C12</f>
        <v>#DIV/0!</v>
      </c>
      <c r="E12" s="838" t="e">
        <f>B$21</f>
        <v>#DIV/0!</v>
      </c>
      <c r="F12" s="838" t="e">
        <f>B$20</f>
        <v>#DIV/0!</v>
      </c>
      <c r="G12" s="838" t="e">
        <f>B$22</f>
        <v>#DIV/0!</v>
      </c>
    </row>
    <row r="13" spans="1:14">
      <c r="D13" s="839"/>
      <c r="E13" s="838" t="e">
        <f>B$21</f>
        <v>#DIV/0!</v>
      </c>
      <c r="F13" s="838" t="e">
        <f>B$20</f>
        <v>#DIV/0!</v>
      </c>
      <c r="G13" s="838" t="e">
        <f>B$22</f>
        <v>#DIV/0!</v>
      </c>
    </row>
    <row r="15" spans="1:14">
      <c r="A15" s="840" t="s">
        <v>453</v>
      </c>
      <c r="B15" s="841">
        <f>C10</f>
        <v>0</v>
      </c>
    </row>
    <row r="16" spans="1:14">
      <c r="A16" s="840" t="s">
        <v>457</v>
      </c>
      <c r="B16" s="841">
        <f>COUNT(B10:B12)</f>
        <v>0</v>
      </c>
    </row>
    <row r="17" spans="1:14">
      <c r="A17" s="840" t="s">
        <v>458</v>
      </c>
      <c r="B17" s="841"/>
    </row>
    <row r="18" spans="1:14">
      <c r="A18" s="840" t="s">
        <v>1072</v>
      </c>
      <c r="B18" s="841" t="s">
        <v>1113</v>
      </c>
    </row>
    <row r="19" spans="1:14" ht="14.25">
      <c r="A19" s="842" t="s">
        <v>1073</v>
      </c>
      <c r="B19" s="843" t="e">
        <f>SQRT((B20*(1-B20))/B15)</f>
        <v>#DIV/0!</v>
      </c>
    </row>
    <row r="20" spans="1:14">
      <c r="A20" s="840" t="s">
        <v>459</v>
      </c>
      <c r="B20" s="841" t="e">
        <f>SUM(B10:B12)/SUM(C10:C12)</f>
        <v>#DIV/0!</v>
      </c>
    </row>
    <row r="21" spans="1:14">
      <c r="A21" s="840" t="s">
        <v>450</v>
      </c>
      <c r="B21" s="844" t="e">
        <f>IF(B20-(B18*B19)&lt;0,0,B20-(B18*B19))</f>
        <v>#DIV/0!</v>
      </c>
    </row>
    <row r="22" spans="1:14">
      <c r="A22" s="840" t="s">
        <v>452</v>
      </c>
      <c r="B22" s="844" t="e">
        <f>B20+(B18*B19)</f>
        <v>#DIV/0!</v>
      </c>
    </row>
    <row r="26" spans="1:14">
      <c r="N26" s="80" t="e">
        <f>IF(OR(MIN(D10:D12)&lt;E10,MAX(D10:D12)&gt;G10),"There is a statistically significant difference between the Means","There is no statistically significant difference between the Means")</f>
        <v>#DIV/0!</v>
      </c>
    </row>
    <row r="27" spans="1:14">
      <c r="M27" s="282"/>
    </row>
    <row r="28" spans="1:14">
      <c r="M28" s="282"/>
      <c r="N28" s="80" t="e">
        <f>IF(OR(B20&lt;0.05,(1-B20)&lt;0.05),"Defect Rate is too small, Binomial Approximation doesn't apply.  Use the Chi-Square Test","")</f>
        <v>#DIV/0!</v>
      </c>
    </row>
  </sheetData>
  <sheetProtection password="CC08" sheet="1" scenarios="1"/>
  <mergeCells count="3">
    <mergeCell ref="B2:D2"/>
    <mergeCell ref="B1:D1"/>
    <mergeCell ref="B3:D3"/>
  </mergeCells>
  <phoneticPr fontId="0" type="noConversion"/>
  <conditionalFormatting sqref="N26">
    <cfRule type="cellIs" dxfId="12" priority="1" stopIfTrue="1" operator="equal">
      <formula>"There is no statistically significant difference between the Means"</formula>
    </cfRule>
    <cfRule type="cellIs" dxfId="11" priority="2" stopIfTrue="1" operator="equal">
      <formula>"There is a statistically significant difference between the Means"</formula>
    </cfRule>
  </conditionalFormatting>
  <printOptions horizontalCentered="1"/>
  <pageMargins left="0.75" right="0.75" top="1" bottom="1" header="0.5" footer="0.5"/>
  <pageSetup orientation="portrait" r:id="rId1"/>
  <headerFooter alignWithMargins="0"/>
  <drawing r:id="rId2"/>
  <legacyDrawing r:id="rId3"/>
  <oleObjects>
    <oleObject progId="Equation.3" shapeId="59395" r:id="rId4"/>
    <oleObject progId="Equation.3" shapeId="59396" r:id="rId5"/>
    <oleObject progId="Equation.3" shapeId="59398" r:id="rId6"/>
  </oleObjects>
  <controls>
    <control shapeId="59400" r:id="rId7" name="FactorTable"/>
    <control shapeId="59399" r:id="rId8" name="MainMenu"/>
  </controls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/>
  <dimension ref="A1:AO46"/>
  <sheetViews>
    <sheetView showGridLines="0" zoomScale="75" workbookViewId="0">
      <selection activeCell="J37" sqref="J37"/>
    </sheetView>
  </sheetViews>
  <sheetFormatPr defaultColWidth="8" defaultRowHeight="12.75"/>
  <cols>
    <col min="1" max="18" width="8" style="845" customWidth="1"/>
    <col min="19" max="19" width="7.7109375" style="845" customWidth="1"/>
    <col min="20" max="20" width="8" style="845" customWidth="1"/>
    <col min="21" max="21" width="2.5703125" style="845" customWidth="1"/>
    <col min="22" max="22" width="9.5703125" style="845" customWidth="1"/>
    <col min="23" max="23" width="8" style="845" customWidth="1"/>
    <col min="24" max="24" width="7.5703125" style="845" customWidth="1"/>
    <col min="25" max="25" width="7.7109375" style="845" customWidth="1"/>
    <col min="26" max="26" width="7.5703125" style="845" customWidth="1"/>
    <col min="27" max="31" width="8" style="845" customWidth="1"/>
    <col min="32" max="41" width="8" style="849" customWidth="1"/>
    <col min="42" max="16384" width="8" style="845"/>
  </cols>
  <sheetData>
    <row r="1" spans="1:41" ht="15.75">
      <c r="B1" s="846" t="s">
        <v>762</v>
      </c>
      <c r="C1" s="1588"/>
      <c r="D1" s="1589"/>
      <c r="E1" s="1589"/>
      <c r="F1" s="1590"/>
      <c r="N1" s="847" t="str">
        <f>"Regression Analysis for "&amp;C1</f>
        <v xml:space="preserve">Regression Analysis for </v>
      </c>
      <c r="W1" s="848" t="s">
        <v>1067</v>
      </c>
    </row>
    <row r="2" spans="1:41">
      <c r="B2" s="846" t="s">
        <v>1066</v>
      </c>
      <c r="C2" s="1588"/>
      <c r="D2" s="1589"/>
      <c r="E2" s="1589"/>
      <c r="F2" s="1590"/>
    </row>
    <row r="3" spans="1:41">
      <c r="B3" s="846" t="s">
        <v>428</v>
      </c>
      <c r="C3" s="1588"/>
      <c r="D3" s="1589"/>
      <c r="E3" s="1589"/>
      <c r="F3" s="1590"/>
    </row>
    <row r="4" spans="1:41" ht="26.25" thickBot="1">
      <c r="A4" s="850" t="s">
        <v>113</v>
      </c>
      <c r="B4" s="850" t="s">
        <v>1052</v>
      </c>
      <c r="C4" s="850" t="s">
        <v>880</v>
      </c>
      <c r="D4" s="851" t="s">
        <v>1062</v>
      </c>
      <c r="E4" s="851" t="s">
        <v>1063</v>
      </c>
      <c r="AC4" s="849"/>
      <c r="AD4" s="849"/>
      <c r="AE4" s="849"/>
      <c r="AM4" s="845"/>
      <c r="AN4" s="845"/>
      <c r="AO4" s="845"/>
    </row>
    <row r="5" spans="1:41" ht="14.25" thickTop="1" thickBot="1">
      <c r="A5" s="845" t="s">
        <v>1064</v>
      </c>
      <c r="B5" s="852"/>
      <c r="C5" s="1353"/>
      <c r="D5" s="854"/>
      <c r="E5" s="854"/>
      <c r="AC5" s="849"/>
      <c r="AD5" s="849"/>
      <c r="AE5" s="849"/>
      <c r="AM5" s="845"/>
      <c r="AN5" s="845"/>
      <c r="AO5" s="845"/>
    </row>
    <row r="6" spans="1:41">
      <c r="A6" s="845">
        <v>1</v>
      </c>
      <c r="B6" s="854"/>
      <c r="C6" s="854"/>
      <c r="D6" s="855" t="str">
        <f t="shared" ref="D6:D21" si="0">IF(C6="","",D$5)</f>
        <v/>
      </c>
      <c r="E6" s="855" t="str">
        <f t="shared" ref="E6:E21" si="1">IF(C6="","",E$5)</f>
        <v/>
      </c>
      <c r="AC6" s="849"/>
      <c r="AD6" s="849"/>
      <c r="AE6" s="849"/>
      <c r="AM6" s="845"/>
      <c r="AN6" s="845"/>
      <c r="AO6" s="845"/>
    </row>
    <row r="7" spans="1:41">
      <c r="A7" s="845">
        <f t="shared" ref="A7:A45" si="2">A6+1</f>
        <v>2</v>
      </c>
      <c r="B7" s="854"/>
      <c r="C7" s="854"/>
      <c r="D7" s="855" t="str">
        <f t="shared" si="0"/>
        <v/>
      </c>
      <c r="E7" s="855" t="str">
        <f t="shared" si="1"/>
        <v/>
      </c>
      <c r="AC7" s="849"/>
      <c r="AD7" s="849"/>
      <c r="AE7" s="849"/>
      <c r="AM7" s="845"/>
      <c r="AN7" s="845"/>
      <c r="AO7" s="845"/>
    </row>
    <row r="8" spans="1:41">
      <c r="A8" s="845">
        <f t="shared" si="2"/>
        <v>3</v>
      </c>
      <c r="B8" s="854"/>
      <c r="C8" s="854"/>
      <c r="D8" s="855" t="str">
        <f t="shared" si="0"/>
        <v/>
      </c>
      <c r="E8" s="855" t="str">
        <f t="shared" si="1"/>
        <v/>
      </c>
      <c r="AC8" s="849"/>
      <c r="AD8" s="849"/>
      <c r="AE8" s="849"/>
      <c r="AM8" s="845"/>
      <c r="AN8" s="845"/>
      <c r="AO8" s="845"/>
    </row>
    <row r="9" spans="1:41">
      <c r="A9" s="845">
        <f t="shared" si="2"/>
        <v>4</v>
      </c>
      <c r="B9" s="854"/>
      <c r="C9" s="854"/>
      <c r="D9" s="855" t="str">
        <f t="shared" si="0"/>
        <v/>
      </c>
      <c r="E9" s="855" t="str">
        <f t="shared" si="1"/>
        <v/>
      </c>
      <c r="AC9" s="849"/>
      <c r="AD9" s="849"/>
      <c r="AE9" s="849"/>
      <c r="AM9" s="845"/>
      <c r="AN9" s="845"/>
      <c r="AO9" s="845"/>
    </row>
    <row r="10" spans="1:41">
      <c r="A10" s="845">
        <f t="shared" si="2"/>
        <v>5</v>
      </c>
      <c r="B10" s="854"/>
      <c r="C10" s="854"/>
      <c r="D10" s="855" t="str">
        <f t="shared" si="0"/>
        <v/>
      </c>
      <c r="E10" s="855" t="str">
        <f t="shared" si="1"/>
        <v/>
      </c>
      <c r="AC10" s="849"/>
      <c r="AD10" s="849"/>
      <c r="AE10" s="849"/>
      <c r="AM10" s="845"/>
      <c r="AN10" s="845"/>
      <c r="AO10" s="845"/>
    </row>
    <row r="11" spans="1:41">
      <c r="A11" s="845">
        <f t="shared" si="2"/>
        <v>6</v>
      </c>
      <c r="B11" s="854"/>
      <c r="C11" s="854"/>
      <c r="D11" s="855" t="str">
        <f t="shared" si="0"/>
        <v/>
      </c>
      <c r="E11" s="855" t="str">
        <f t="shared" si="1"/>
        <v/>
      </c>
      <c r="AC11" s="849"/>
      <c r="AD11" s="849"/>
      <c r="AE11" s="849"/>
      <c r="AM11" s="845"/>
      <c r="AN11" s="845"/>
      <c r="AO11" s="845"/>
    </row>
    <row r="12" spans="1:41">
      <c r="A12" s="845">
        <f t="shared" si="2"/>
        <v>7</v>
      </c>
      <c r="B12" s="854"/>
      <c r="C12" s="854"/>
      <c r="D12" s="855" t="str">
        <f t="shared" si="0"/>
        <v/>
      </c>
      <c r="E12" s="855" t="str">
        <f t="shared" si="1"/>
        <v/>
      </c>
      <c r="AC12" s="849"/>
      <c r="AD12" s="849"/>
      <c r="AE12" s="849"/>
      <c r="AM12" s="845"/>
      <c r="AN12" s="845"/>
      <c r="AO12" s="845"/>
    </row>
    <row r="13" spans="1:41">
      <c r="A13" s="845">
        <f t="shared" si="2"/>
        <v>8</v>
      </c>
      <c r="B13" s="854"/>
      <c r="C13" s="854"/>
      <c r="D13" s="855" t="str">
        <f t="shared" si="0"/>
        <v/>
      </c>
      <c r="E13" s="855" t="str">
        <f t="shared" si="1"/>
        <v/>
      </c>
      <c r="AC13" s="849"/>
      <c r="AD13" s="849"/>
      <c r="AE13" s="849"/>
      <c r="AM13" s="845"/>
      <c r="AN13" s="845"/>
      <c r="AO13" s="845"/>
    </row>
    <row r="14" spans="1:41">
      <c r="A14" s="845">
        <f t="shared" si="2"/>
        <v>9</v>
      </c>
      <c r="B14" s="854"/>
      <c r="C14" s="854"/>
      <c r="D14" s="855" t="str">
        <f t="shared" si="0"/>
        <v/>
      </c>
      <c r="E14" s="855" t="str">
        <f t="shared" si="1"/>
        <v/>
      </c>
      <c r="AC14" s="849"/>
      <c r="AD14" s="849"/>
      <c r="AE14" s="849"/>
      <c r="AM14" s="845"/>
      <c r="AN14" s="845"/>
      <c r="AO14" s="845"/>
    </row>
    <row r="15" spans="1:41">
      <c r="A15" s="845">
        <f t="shared" si="2"/>
        <v>10</v>
      </c>
      <c r="B15" s="854"/>
      <c r="C15" s="854"/>
      <c r="D15" s="855" t="str">
        <f t="shared" si="0"/>
        <v/>
      </c>
      <c r="E15" s="855" t="str">
        <f t="shared" si="1"/>
        <v/>
      </c>
      <c r="AC15" s="849"/>
      <c r="AD15" s="849"/>
      <c r="AE15" s="849"/>
      <c r="AM15" s="845"/>
      <c r="AN15" s="845"/>
      <c r="AO15" s="845"/>
    </row>
    <row r="16" spans="1:41">
      <c r="A16" s="845">
        <f t="shared" si="2"/>
        <v>11</v>
      </c>
      <c r="B16" s="854"/>
      <c r="C16" s="854"/>
      <c r="D16" s="855" t="str">
        <f t="shared" si="0"/>
        <v/>
      </c>
      <c r="E16" s="855" t="str">
        <f t="shared" si="1"/>
        <v/>
      </c>
      <c r="AC16" s="849"/>
      <c r="AD16" s="849"/>
      <c r="AE16" s="849"/>
      <c r="AM16" s="845"/>
      <c r="AN16" s="845"/>
      <c r="AO16" s="845"/>
    </row>
    <row r="17" spans="1:41">
      <c r="A17" s="845">
        <f t="shared" si="2"/>
        <v>12</v>
      </c>
      <c r="B17" s="854"/>
      <c r="C17" s="854"/>
      <c r="D17" s="855" t="str">
        <f t="shared" si="0"/>
        <v/>
      </c>
      <c r="E17" s="855" t="str">
        <f t="shared" si="1"/>
        <v/>
      </c>
      <c r="AC17" s="849"/>
      <c r="AD17" s="849"/>
      <c r="AE17" s="849"/>
      <c r="AM17" s="845"/>
      <c r="AN17" s="845"/>
      <c r="AO17" s="845"/>
    </row>
    <row r="18" spans="1:41">
      <c r="A18" s="845">
        <f t="shared" si="2"/>
        <v>13</v>
      </c>
      <c r="B18" s="854"/>
      <c r="C18" s="854"/>
      <c r="D18" s="855" t="str">
        <f t="shared" si="0"/>
        <v/>
      </c>
      <c r="E18" s="855" t="str">
        <f t="shared" si="1"/>
        <v/>
      </c>
      <c r="AC18" s="849"/>
      <c r="AD18" s="849"/>
      <c r="AE18" s="849"/>
      <c r="AM18" s="845"/>
      <c r="AN18" s="845"/>
      <c r="AO18" s="845"/>
    </row>
    <row r="19" spans="1:41">
      <c r="A19" s="845">
        <f t="shared" si="2"/>
        <v>14</v>
      </c>
      <c r="B19" s="854"/>
      <c r="C19" s="854"/>
      <c r="D19" s="855" t="str">
        <f t="shared" si="0"/>
        <v/>
      </c>
      <c r="E19" s="855" t="str">
        <f t="shared" si="1"/>
        <v/>
      </c>
      <c r="AC19" s="849"/>
      <c r="AD19" s="849"/>
      <c r="AE19" s="849"/>
      <c r="AM19" s="845"/>
      <c r="AN19" s="845"/>
      <c r="AO19" s="845"/>
    </row>
    <row r="20" spans="1:41">
      <c r="A20" s="845">
        <f t="shared" si="2"/>
        <v>15</v>
      </c>
      <c r="B20" s="854"/>
      <c r="C20" s="854"/>
      <c r="D20" s="855" t="str">
        <f t="shared" si="0"/>
        <v/>
      </c>
      <c r="E20" s="855" t="str">
        <f t="shared" si="1"/>
        <v/>
      </c>
      <c r="AC20" s="849"/>
      <c r="AD20" s="849"/>
      <c r="AE20" s="849"/>
      <c r="AM20" s="845"/>
      <c r="AN20" s="845"/>
      <c r="AO20" s="845"/>
    </row>
    <row r="21" spans="1:41">
      <c r="A21" s="845">
        <f t="shared" si="2"/>
        <v>16</v>
      </c>
      <c r="B21" s="854"/>
      <c r="C21" s="854"/>
      <c r="D21" s="855" t="str">
        <f t="shared" si="0"/>
        <v/>
      </c>
      <c r="E21" s="855" t="str">
        <f t="shared" si="1"/>
        <v/>
      </c>
      <c r="AC21" s="849"/>
      <c r="AD21" s="849"/>
      <c r="AE21" s="849"/>
      <c r="AM21" s="845"/>
      <c r="AN21" s="845"/>
      <c r="AO21" s="845"/>
    </row>
    <row r="22" spans="1:41">
      <c r="A22" s="845">
        <f t="shared" si="2"/>
        <v>17</v>
      </c>
      <c r="B22" s="854"/>
      <c r="C22" s="854"/>
      <c r="D22" s="855" t="str">
        <f t="shared" ref="D22:D31" si="3">IF(C22="","",D$5)</f>
        <v/>
      </c>
      <c r="E22" s="855" t="str">
        <f t="shared" ref="E22:E31" si="4">IF(C22="","",E$5)</f>
        <v/>
      </c>
      <c r="AC22" s="849"/>
      <c r="AD22" s="849"/>
      <c r="AE22" s="849"/>
      <c r="AM22" s="845"/>
      <c r="AN22" s="845"/>
      <c r="AO22" s="845"/>
    </row>
    <row r="23" spans="1:41">
      <c r="A23" s="845">
        <f t="shared" si="2"/>
        <v>18</v>
      </c>
      <c r="B23" s="854"/>
      <c r="C23" s="854"/>
      <c r="D23" s="855" t="str">
        <f t="shared" si="3"/>
        <v/>
      </c>
      <c r="E23" s="855" t="str">
        <f t="shared" si="4"/>
        <v/>
      </c>
      <c r="K23" s="856"/>
      <c r="L23" s="857"/>
      <c r="AC23" s="849"/>
      <c r="AD23" s="849"/>
      <c r="AE23" s="849"/>
      <c r="AM23" s="845"/>
      <c r="AN23" s="845"/>
      <c r="AO23" s="845"/>
    </row>
    <row r="24" spans="1:41">
      <c r="A24" s="845">
        <f t="shared" si="2"/>
        <v>19</v>
      </c>
      <c r="B24" s="854"/>
      <c r="C24" s="854"/>
      <c r="D24" s="855" t="str">
        <f t="shared" si="3"/>
        <v/>
      </c>
      <c r="E24" s="855" t="str">
        <f t="shared" si="4"/>
        <v/>
      </c>
      <c r="K24" s="856"/>
      <c r="W24" s="848" t="s">
        <v>1070</v>
      </c>
      <c r="AC24" s="849"/>
      <c r="AD24" s="858" t="s">
        <v>1068</v>
      </c>
      <c r="AE24" s="849"/>
      <c r="AM24" s="845"/>
      <c r="AN24" s="845"/>
      <c r="AO24" s="845"/>
    </row>
    <row r="25" spans="1:41">
      <c r="A25" s="845">
        <f t="shared" si="2"/>
        <v>20</v>
      </c>
      <c r="B25" s="854"/>
      <c r="C25" s="854"/>
      <c r="D25" s="855" t="str">
        <f t="shared" si="3"/>
        <v/>
      </c>
      <c r="E25" s="855" t="str">
        <f t="shared" si="4"/>
        <v/>
      </c>
      <c r="K25" s="856"/>
      <c r="M25" s="859"/>
      <c r="W25" s="848" t="s">
        <v>1071</v>
      </c>
      <c r="AC25" s="849"/>
      <c r="AD25" s="858" t="s">
        <v>1069</v>
      </c>
      <c r="AE25" s="849"/>
      <c r="AM25" s="845"/>
      <c r="AN25" s="845"/>
      <c r="AO25" s="845"/>
    </row>
    <row r="26" spans="1:41">
      <c r="A26" s="845">
        <f t="shared" si="2"/>
        <v>21</v>
      </c>
      <c r="B26" s="854"/>
      <c r="C26" s="854"/>
      <c r="D26" s="855" t="str">
        <f t="shared" si="3"/>
        <v/>
      </c>
      <c r="E26" s="855" t="str">
        <f t="shared" si="4"/>
        <v/>
      </c>
      <c r="J26" s="860"/>
      <c r="K26" s="856"/>
      <c r="M26" s="861"/>
      <c r="N26" s="861"/>
      <c r="O26" s="862"/>
      <c r="P26" s="863"/>
      <c r="AC26" s="849"/>
      <c r="AD26" s="849"/>
      <c r="AE26" s="849"/>
      <c r="AM26" s="845"/>
      <c r="AN26" s="845"/>
      <c r="AO26" s="845"/>
    </row>
    <row r="27" spans="1:41">
      <c r="A27" s="845">
        <f t="shared" si="2"/>
        <v>22</v>
      </c>
      <c r="B27" s="854"/>
      <c r="C27" s="854"/>
      <c r="D27" s="855" t="str">
        <f t="shared" si="3"/>
        <v/>
      </c>
      <c r="E27" s="855" t="str">
        <f t="shared" si="4"/>
        <v/>
      </c>
      <c r="J27" s="860"/>
      <c r="M27" s="861"/>
      <c r="N27" s="861"/>
      <c r="O27" s="862"/>
      <c r="P27" s="863"/>
      <c r="AE27" s="849"/>
      <c r="AM27" s="845"/>
      <c r="AN27" s="845"/>
      <c r="AO27" s="845"/>
    </row>
    <row r="28" spans="1:41">
      <c r="A28" s="845">
        <f t="shared" si="2"/>
        <v>23</v>
      </c>
      <c r="B28" s="854"/>
      <c r="C28" s="854"/>
      <c r="D28" s="855" t="str">
        <f t="shared" si="3"/>
        <v/>
      </c>
      <c r="E28" s="855" t="str">
        <f t="shared" si="4"/>
        <v/>
      </c>
      <c r="K28" s="864"/>
      <c r="AC28" s="849"/>
      <c r="AD28" s="849"/>
      <c r="AE28" s="849"/>
      <c r="AM28" s="845"/>
      <c r="AN28" s="845"/>
      <c r="AO28" s="845"/>
    </row>
    <row r="29" spans="1:41">
      <c r="A29" s="845">
        <f t="shared" si="2"/>
        <v>24</v>
      </c>
      <c r="B29" s="854"/>
      <c r="C29" s="854"/>
      <c r="D29" s="855" t="str">
        <f t="shared" si="3"/>
        <v/>
      </c>
      <c r="E29" s="855" t="str">
        <f t="shared" si="4"/>
        <v/>
      </c>
      <c r="AC29" s="849"/>
      <c r="AD29" s="849"/>
      <c r="AE29" s="849"/>
      <c r="AM29" s="845"/>
      <c r="AN29" s="845"/>
      <c r="AO29" s="845"/>
    </row>
    <row r="30" spans="1:41">
      <c r="A30" s="845">
        <f t="shared" si="2"/>
        <v>25</v>
      </c>
      <c r="B30" s="854"/>
      <c r="C30" s="854"/>
      <c r="D30" s="855" t="str">
        <f t="shared" si="3"/>
        <v/>
      </c>
      <c r="E30" s="855" t="str">
        <f t="shared" si="4"/>
        <v/>
      </c>
      <c r="K30" s="865"/>
      <c r="AC30" s="849"/>
      <c r="AD30" s="849"/>
      <c r="AE30" s="849"/>
      <c r="AM30" s="845"/>
      <c r="AN30" s="845"/>
      <c r="AO30" s="845"/>
    </row>
    <row r="31" spans="1:41">
      <c r="A31" s="845">
        <f t="shared" si="2"/>
        <v>26</v>
      </c>
      <c r="B31" s="854"/>
      <c r="C31" s="854"/>
      <c r="D31" s="855" t="str">
        <f t="shared" si="3"/>
        <v/>
      </c>
      <c r="E31" s="855" t="str">
        <f t="shared" si="4"/>
        <v/>
      </c>
      <c r="K31" s="865"/>
      <c r="AC31" s="849"/>
      <c r="AD31" s="849"/>
      <c r="AE31" s="849"/>
      <c r="AM31" s="845"/>
      <c r="AN31" s="845"/>
      <c r="AO31" s="845"/>
    </row>
    <row r="32" spans="1:41">
      <c r="A32" s="845">
        <f t="shared" si="2"/>
        <v>27</v>
      </c>
      <c r="B32" s="854"/>
      <c r="C32" s="854"/>
      <c r="D32" s="855" t="str">
        <f t="shared" ref="D32:D41" si="5">IF(C32="","",D$5)</f>
        <v/>
      </c>
      <c r="E32" s="855" t="str">
        <f t="shared" ref="E32:E41" si="6">IF(C32="","",E$5)</f>
        <v/>
      </c>
      <c r="AC32" s="849"/>
      <c r="AD32" s="849"/>
      <c r="AE32" s="849"/>
      <c r="AM32" s="845"/>
      <c r="AN32" s="845"/>
      <c r="AO32" s="845"/>
    </row>
    <row r="33" spans="1:41">
      <c r="A33" s="845">
        <f t="shared" si="2"/>
        <v>28</v>
      </c>
      <c r="B33" s="854"/>
      <c r="C33" s="854"/>
      <c r="D33" s="855" t="str">
        <f t="shared" si="5"/>
        <v/>
      </c>
      <c r="E33" s="855" t="str">
        <f t="shared" si="6"/>
        <v/>
      </c>
      <c r="AC33" s="849"/>
      <c r="AD33" s="849"/>
      <c r="AE33" s="849"/>
      <c r="AM33" s="845"/>
      <c r="AN33" s="845"/>
      <c r="AO33" s="845"/>
    </row>
    <row r="34" spans="1:41">
      <c r="A34" s="845">
        <f t="shared" si="2"/>
        <v>29</v>
      </c>
      <c r="B34" s="854"/>
      <c r="C34" s="854"/>
      <c r="D34" s="855" t="str">
        <f t="shared" si="5"/>
        <v/>
      </c>
      <c r="E34" s="855" t="str">
        <f t="shared" si="6"/>
        <v/>
      </c>
      <c r="AC34" s="849"/>
      <c r="AD34" s="849"/>
      <c r="AE34" s="849"/>
      <c r="AM34" s="845"/>
      <c r="AN34" s="845"/>
      <c r="AO34" s="845"/>
    </row>
    <row r="35" spans="1:41">
      <c r="A35" s="845">
        <f t="shared" si="2"/>
        <v>30</v>
      </c>
      <c r="B35" s="854"/>
      <c r="C35" s="854"/>
      <c r="D35" s="855" t="str">
        <f t="shared" si="5"/>
        <v/>
      </c>
      <c r="E35" s="855" t="str">
        <f t="shared" si="6"/>
        <v/>
      </c>
      <c r="AC35" s="849"/>
      <c r="AD35" s="849"/>
      <c r="AE35" s="849"/>
      <c r="AM35" s="845"/>
      <c r="AN35" s="845"/>
      <c r="AO35" s="845"/>
    </row>
    <row r="36" spans="1:41">
      <c r="A36" s="845">
        <f t="shared" si="2"/>
        <v>31</v>
      </c>
      <c r="B36" s="854"/>
      <c r="C36" s="854"/>
      <c r="D36" s="855" t="str">
        <f t="shared" si="5"/>
        <v/>
      </c>
      <c r="E36" s="855" t="str">
        <f t="shared" si="6"/>
        <v/>
      </c>
    </row>
    <row r="37" spans="1:41">
      <c r="A37" s="845">
        <f t="shared" si="2"/>
        <v>32</v>
      </c>
      <c r="B37" s="854"/>
      <c r="C37" s="854"/>
      <c r="D37" s="855" t="str">
        <f t="shared" si="5"/>
        <v/>
      </c>
      <c r="E37" s="855" t="str">
        <f t="shared" si="6"/>
        <v/>
      </c>
    </row>
    <row r="38" spans="1:41">
      <c r="A38" s="845">
        <f t="shared" si="2"/>
        <v>33</v>
      </c>
      <c r="B38" s="854"/>
      <c r="C38" s="854"/>
      <c r="D38" s="855" t="str">
        <f t="shared" si="5"/>
        <v/>
      </c>
      <c r="E38" s="855" t="str">
        <f t="shared" si="6"/>
        <v/>
      </c>
    </row>
    <row r="39" spans="1:41">
      <c r="A39" s="845">
        <f t="shared" si="2"/>
        <v>34</v>
      </c>
      <c r="B39" s="854"/>
      <c r="C39" s="854"/>
      <c r="D39" s="855" t="str">
        <f t="shared" si="5"/>
        <v/>
      </c>
      <c r="E39" s="855" t="str">
        <f t="shared" si="6"/>
        <v/>
      </c>
    </row>
    <row r="40" spans="1:41">
      <c r="A40" s="845">
        <f t="shared" si="2"/>
        <v>35</v>
      </c>
      <c r="B40" s="854"/>
      <c r="C40" s="854"/>
      <c r="D40" s="855" t="str">
        <f t="shared" si="5"/>
        <v/>
      </c>
      <c r="E40" s="855" t="str">
        <f t="shared" si="6"/>
        <v/>
      </c>
    </row>
    <row r="41" spans="1:41">
      <c r="A41" s="845">
        <f t="shared" si="2"/>
        <v>36</v>
      </c>
      <c r="B41" s="854"/>
      <c r="C41" s="854"/>
      <c r="D41" s="855" t="str">
        <f t="shared" si="5"/>
        <v/>
      </c>
      <c r="E41" s="855" t="str">
        <f t="shared" si="6"/>
        <v/>
      </c>
    </row>
    <row r="42" spans="1:41">
      <c r="A42" s="845">
        <f t="shared" si="2"/>
        <v>37</v>
      </c>
      <c r="B42" s="854"/>
      <c r="C42" s="854"/>
      <c r="D42" s="855" t="str">
        <f t="shared" ref="D42:D45" si="7">IF(C42="","",D$5)</f>
        <v/>
      </c>
      <c r="E42" s="855" t="str">
        <f t="shared" ref="E42:E45" si="8">IF(C42="","",E$5)</f>
        <v/>
      </c>
    </row>
    <row r="43" spans="1:41">
      <c r="A43" s="845">
        <f t="shared" si="2"/>
        <v>38</v>
      </c>
      <c r="B43" s="854"/>
      <c r="C43" s="854"/>
      <c r="D43" s="855" t="str">
        <f t="shared" si="7"/>
        <v/>
      </c>
      <c r="E43" s="855" t="str">
        <f t="shared" si="8"/>
        <v/>
      </c>
    </row>
    <row r="44" spans="1:41">
      <c r="A44" s="845">
        <f t="shared" si="2"/>
        <v>39</v>
      </c>
      <c r="B44" s="854"/>
      <c r="C44" s="854"/>
      <c r="D44" s="855" t="str">
        <f t="shared" si="7"/>
        <v/>
      </c>
      <c r="E44" s="855" t="str">
        <f t="shared" si="8"/>
        <v/>
      </c>
    </row>
    <row r="45" spans="1:41" ht="13.5" thickBot="1">
      <c r="A45" s="845">
        <f t="shared" si="2"/>
        <v>40</v>
      </c>
      <c r="B45" s="854"/>
      <c r="C45" s="854"/>
      <c r="D45" s="855" t="str">
        <f t="shared" si="7"/>
        <v/>
      </c>
      <c r="E45" s="855" t="str">
        <f t="shared" si="8"/>
        <v/>
      </c>
    </row>
    <row r="46" spans="1:41" ht="13.5" thickBot="1">
      <c r="A46" s="845" t="s">
        <v>1065</v>
      </c>
      <c r="B46" s="852"/>
      <c r="C46" s="1353"/>
      <c r="D46" s="855" t="str">
        <f>IF(B46="","",D$5)</f>
        <v/>
      </c>
      <c r="E46" s="855" t="str">
        <f>IF(B46="","",E$5)</f>
        <v/>
      </c>
    </row>
  </sheetData>
  <sheetProtection password="CC08" sheet="1" scenarios="1"/>
  <protectedRanges>
    <protectedRange sqref="C1:F3 B5:E5 B6:C46" name="Range1"/>
  </protectedRanges>
  <mergeCells count="3">
    <mergeCell ref="C1:F1"/>
    <mergeCell ref="C2:F2"/>
    <mergeCell ref="C3:F3"/>
  </mergeCells>
  <phoneticPr fontId="100" type="noConversion"/>
  <printOptions horizontalCentered="1"/>
  <pageMargins left="0.75" right="0.75" top="1" bottom="1" header="0.5" footer="0.5"/>
  <pageSetup orientation="portrait" r:id="rId1"/>
  <headerFooter alignWithMargins="0"/>
  <colBreaks count="1" manualBreakCount="1">
    <brk id="20" max="1048575" man="1"/>
  </colBreaks>
  <drawing r:id="rId2"/>
  <legacyDrawing r:id="rId3"/>
  <controls>
    <control shapeId="60423" r:id="rId4" name="MainMenu"/>
    <control shapeId="60424" r:id="rId5" name="AddRows"/>
  </controls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59"/>
  <dimension ref="A1:Z32"/>
  <sheetViews>
    <sheetView showGridLines="0" workbookViewId="0">
      <selection activeCell="O14" sqref="O14"/>
    </sheetView>
  </sheetViews>
  <sheetFormatPr defaultRowHeight="12.75"/>
  <cols>
    <col min="1" max="1" width="9.140625" style="1178"/>
    <col min="2" max="2" width="8.85546875" style="1178" customWidth="1"/>
    <col min="3" max="3" width="9" style="1178" customWidth="1"/>
    <col min="4" max="4" width="9.140625" style="1178"/>
    <col min="5" max="5" width="8.7109375" style="1178" customWidth="1"/>
    <col min="6" max="6" width="9.7109375" style="1178" customWidth="1"/>
    <col min="7" max="7" width="9.28515625" style="1178" customWidth="1"/>
    <col min="8" max="9" width="9.140625" style="1178"/>
    <col min="10" max="11" width="9.42578125" style="1178" customWidth="1"/>
    <col min="12" max="257" width="9.140625" style="1178"/>
    <col min="258" max="258" width="8.85546875" style="1178" customWidth="1"/>
    <col min="259" max="259" width="9" style="1178" customWidth="1"/>
    <col min="260" max="260" width="9.140625" style="1178"/>
    <col min="261" max="261" width="8.7109375" style="1178" customWidth="1"/>
    <col min="262" max="262" width="9.7109375" style="1178" customWidth="1"/>
    <col min="263" max="263" width="9.28515625" style="1178" customWidth="1"/>
    <col min="264" max="265" width="9.140625" style="1178"/>
    <col min="266" max="267" width="9.42578125" style="1178" customWidth="1"/>
    <col min="268" max="513" width="9.140625" style="1178"/>
    <col min="514" max="514" width="8.85546875" style="1178" customWidth="1"/>
    <col min="515" max="515" width="9" style="1178" customWidth="1"/>
    <col min="516" max="516" width="9.140625" style="1178"/>
    <col min="517" max="517" width="8.7109375" style="1178" customWidth="1"/>
    <col min="518" max="518" width="9.7109375" style="1178" customWidth="1"/>
    <col min="519" max="519" width="9.28515625" style="1178" customWidth="1"/>
    <col min="520" max="521" width="9.140625" style="1178"/>
    <col min="522" max="523" width="9.42578125" style="1178" customWidth="1"/>
    <col min="524" max="769" width="9.140625" style="1178"/>
    <col min="770" max="770" width="8.85546875" style="1178" customWidth="1"/>
    <col min="771" max="771" width="9" style="1178" customWidth="1"/>
    <col min="772" max="772" width="9.140625" style="1178"/>
    <col min="773" max="773" width="8.7109375" style="1178" customWidth="1"/>
    <col min="774" max="774" width="9.7109375" style="1178" customWidth="1"/>
    <col min="775" max="775" width="9.28515625" style="1178" customWidth="1"/>
    <col min="776" max="777" width="9.140625" style="1178"/>
    <col min="778" max="779" width="9.42578125" style="1178" customWidth="1"/>
    <col min="780" max="1025" width="9.140625" style="1178"/>
    <col min="1026" max="1026" width="8.85546875" style="1178" customWidth="1"/>
    <col min="1027" max="1027" width="9" style="1178" customWidth="1"/>
    <col min="1028" max="1028" width="9.140625" style="1178"/>
    <col min="1029" max="1029" width="8.7109375" style="1178" customWidth="1"/>
    <col min="1030" max="1030" width="9.7109375" style="1178" customWidth="1"/>
    <col min="1031" max="1031" width="9.28515625" style="1178" customWidth="1"/>
    <col min="1032" max="1033" width="9.140625" style="1178"/>
    <col min="1034" max="1035" width="9.42578125" style="1178" customWidth="1"/>
    <col min="1036" max="1281" width="9.140625" style="1178"/>
    <col min="1282" max="1282" width="8.85546875" style="1178" customWidth="1"/>
    <col min="1283" max="1283" width="9" style="1178" customWidth="1"/>
    <col min="1284" max="1284" width="9.140625" style="1178"/>
    <col min="1285" max="1285" width="8.7109375" style="1178" customWidth="1"/>
    <col min="1286" max="1286" width="9.7109375" style="1178" customWidth="1"/>
    <col min="1287" max="1287" width="9.28515625" style="1178" customWidth="1"/>
    <col min="1288" max="1289" width="9.140625" style="1178"/>
    <col min="1290" max="1291" width="9.42578125" style="1178" customWidth="1"/>
    <col min="1292" max="1537" width="9.140625" style="1178"/>
    <col min="1538" max="1538" width="8.85546875" style="1178" customWidth="1"/>
    <col min="1539" max="1539" width="9" style="1178" customWidth="1"/>
    <col min="1540" max="1540" width="9.140625" style="1178"/>
    <col min="1541" max="1541" width="8.7109375" style="1178" customWidth="1"/>
    <col min="1542" max="1542" width="9.7109375" style="1178" customWidth="1"/>
    <col min="1543" max="1543" width="9.28515625" style="1178" customWidth="1"/>
    <col min="1544" max="1545" width="9.140625" style="1178"/>
    <col min="1546" max="1547" width="9.42578125" style="1178" customWidth="1"/>
    <col min="1548" max="1793" width="9.140625" style="1178"/>
    <col min="1794" max="1794" width="8.85546875" style="1178" customWidth="1"/>
    <col min="1795" max="1795" width="9" style="1178" customWidth="1"/>
    <col min="1796" max="1796" width="9.140625" style="1178"/>
    <col min="1797" max="1797" width="8.7109375" style="1178" customWidth="1"/>
    <col min="1798" max="1798" width="9.7109375" style="1178" customWidth="1"/>
    <col min="1799" max="1799" width="9.28515625" style="1178" customWidth="1"/>
    <col min="1800" max="1801" width="9.140625" style="1178"/>
    <col min="1802" max="1803" width="9.42578125" style="1178" customWidth="1"/>
    <col min="1804" max="2049" width="9.140625" style="1178"/>
    <col min="2050" max="2050" width="8.85546875" style="1178" customWidth="1"/>
    <col min="2051" max="2051" width="9" style="1178" customWidth="1"/>
    <col min="2052" max="2052" width="9.140625" style="1178"/>
    <col min="2053" max="2053" width="8.7109375" style="1178" customWidth="1"/>
    <col min="2054" max="2054" width="9.7109375" style="1178" customWidth="1"/>
    <col min="2055" max="2055" width="9.28515625" style="1178" customWidth="1"/>
    <col min="2056" max="2057" width="9.140625" style="1178"/>
    <col min="2058" max="2059" width="9.42578125" style="1178" customWidth="1"/>
    <col min="2060" max="2305" width="9.140625" style="1178"/>
    <col min="2306" max="2306" width="8.85546875" style="1178" customWidth="1"/>
    <col min="2307" max="2307" width="9" style="1178" customWidth="1"/>
    <col min="2308" max="2308" width="9.140625" style="1178"/>
    <col min="2309" max="2309" width="8.7109375" style="1178" customWidth="1"/>
    <col min="2310" max="2310" width="9.7109375" style="1178" customWidth="1"/>
    <col min="2311" max="2311" width="9.28515625" style="1178" customWidth="1"/>
    <col min="2312" max="2313" width="9.140625" style="1178"/>
    <col min="2314" max="2315" width="9.42578125" style="1178" customWidth="1"/>
    <col min="2316" max="2561" width="9.140625" style="1178"/>
    <col min="2562" max="2562" width="8.85546875" style="1178" customWidth="1"/>
    <col min="2563" max="2563" width="9" style="1178" customWidth="1"/>
    <col min="2564" max="2564" width="9.140625" style="1178"/>
    <col min="2565" max="2565" width="8.7109375" style="1178" customWidth="1"/>
    <col min="2566" max="2566" width="9.7109375" style="1178" customWidth="1"/>
    <col min="2567" max="2567" width="9.28515625" style="1178" customWidth="1"/>
    <col min="2568" max="2569" width="9.140625" style="1178"/>
    <col min="2570" max="2571" width="9.42578125" style="1178" customWidth="1"/>
    <col min="2572" max="2817" width="9.140625" style="1178"/>
    <col min="2818" max="2818" width="8.85546875" style="1178" customWidth="1"/>
    <col min="2819" max="2819" width="9" style="1178" customWidth="1"/>
    <col min="2820" max="2820" width="9.140625" style="1178"/>
    <col min="2821" max="2821" width="8.7109375" style="1178" customWidth="1"/>
    <col min="2822" max="2822" width="9.7109375" style="1178" customWidth="1"/>
    <col min="2823" max="2823" width="9.28515625" style="1178" customWidth="1"/>
    <col min="2824" max="2825" width="9.140625" style="1178"/>
    <col min="2826" max="2827" width="9.42578125" style="1178" customWidth="1"/>
    <col min="2828" max="3073" width="9.140625" style="1178"/>
    <col min="3074" max="3074" width="8.85546875" style="1178" customWidth="1"/>
    <col min="3075" max="3075" width="9" style="1178" customWidth="1"/>
    <col min="3076" max="3076" width="9.140625" style="1178"/>
    <col min="3077" max="3077" width="8.7109375" style="1178" customWidth="1"/>
    <col min="3078" max="3078" width="9.7109375" style="1178" customWidth="1"/>
    <col min="3079" max="3079" width="9.28515625" style="1178" customWidth="1"/>
    <col min="3080" max="3081" width="9.140625" style="1178"/>
    <col min="3082" max="3083" width="9.42578125" style="1178" customWidth="1"/>
    <col min="3084" max="3329" width="9.140625" style="1178"/>
    <col min="3330" max="3330" width="8.85546875" style="1178" customWidth="1"/>
    <col min="3331" max="3331" width="9" style="1178" customWidth="1"/>
    <col min="3332" max="3332" width="9.140625" style="1178"/>
    <col min="3333" max="3333" width="8.7109375" style="1178" customWidth="1"/>
    <col min="3334" max="3334" width="9.7109375" style="1178" customWidth="1"/>
    <col min="3335" max="3335" width="9.28515625" style="1178" customWidth="1"/>
    <col min="3336" max="3337" width="9.140625" style="1178"/>
    <col min="3338" max="3339" width="9.42578125" style="1178" customWidth="1"/>
    <col min="3340" max="3585" width="9.140625" style="1178"/>
    <col min="3586" max="3586" width="8.85546875" style="1178" customWidth="1"/>
    <col min="3587" max="3587" width="9" style="1178" customWidth="1"/>
    <col min="3588" max="3588" width="9.140625" style="1178"/>
    <col min="3589" max="3589" width="8.7109375" style="1178" customWidth="1"/>
    <col min="3590" max="3590" width="9.7109375" style="1178" customWidth="1"/>
    <col min="3591" max="3591" width="9.28515625" style="1178" customWidth="1"/>
    <col min="3592" max="3593" width="9.140625" style="1178"/>
    <col min="3594" max="3595" width="9.42578125" style="1178" customWidth="1"/>
    <col min="3596" max="3841" width="9.140625" style="1178"/>
    <col min="3842" max="3842" width="8.85546875" style="1178" customWidth="1"/>
    <col min="3843" max="3843" width="9" style="1178" customWidth="1"/>
    <col min="3844" max="3844" width="9.140625" style="1178"/>
    <col min="3845" max="3845" width="8.7109375" style="1178" customWidth="1"/>
    <col min="3846" max="3846" width="9.7109375" style="1178" customWidth="1"/>
    <col min="3847" max="3847" width="9.28515625" style="1178" customWidth="1"/>
    <col min="3848" max="3849" width="9.140625" style="1178"/>
    <col min="3850" max="3851" width="9.42578125" style="1178" customWidth="1"/>
    <col min="3852" max="4097" width="9.140625" style="1178"/>
    <col min="4098" max="4098" width="8.85546875" style="1178" customWidth="1"/>
    <col min="4099" max="4099" width="9" style="1178" customWidth="1"/>
    <col min="4100" max="4100" width="9.140625" style="1178"/>
    <col min="4101" max="4101" width="8.7109375" style="1178" customWidth="1"/>
    <col min="4102" max="4102" width="9.7109375" style="1178" customWidth="1"/>
    <col min="4103" max="4103" width="9.28515625" style="1178" customWidth="1"/>
    <col min="4104" max="4105" width="9.140625" style="1178"/>
    <col min="4106" max="4107" width="9.42578125" style="1178" customWidth="1"/>
    <col min="4108" max="4353" width="9.140625" style="1178"/>
    <col min="4354" max="4354" width="8.85546875" style="1178" customWidth="1"/>
    <col min="4355" max="4355" width="9" style="1178" customWidth="1"/>
    <col min="4356" max="4356" width="9.140625" style="1178"/>
    <col min="4357" max="4357" width="8.7109375" style="1178" customWidth="1"/>
    <col min="4358" max="4358" width="9.7109375" style="1178" customWidth="1"/>
    <col min="4359" max="4359" width="9.28515625" style="1178" customWidth="1"/>
    <col min="4360" max="4361" width="9.140625" style="1178"/>
    <col min="4362" max="4363" width="9.42578125" style="1178" customWidth="1"/>
    <col min="4364" max="4609" width="9.140625" style="1178"/>
    <col min="4610" max="4610" width="8.85546875" style="1178" customWidth="1"/>
    <col min="4611" max="4611" width="9" style="1178" customWidth="1"/>
    <col min="4612" max="4612" width="9.140625" style="1178"/>
    <col min="4613" max="4613" width="8.7109375" style="1178" customWidth="1"/>
    <col min="4614" max="4614" width="9.7109375" style="1178" customWidth="1"/>
    <col min="4615" max="4615" width="9.28515625" style="1178" customWidth="1"/>
    <col min="4616" max="4617" width="9.140625" style="1178"/>
    <col min="4618" max="4619" width="9.42578125" style="1178" customWidth="1"/>
    <col min="4620" max="4865" width="9.140625" style="1178"/>
    <col min="4866" max="4866" width="8.85546875" style="1178" customWidth="1"/>
    <col min="4867" max="4867" width="9" style="1178" customWidth="1"/>
    <col min="4868" max="4868" width="9.140625" style="1178"/>
    <col min="4869" max="4869" width="8.7109375" style="1178" customWidth="1"/>
    <col min="4870" max="4870" width="9.7109375" style="1178" customWidth="1"/>
    <col min="4871" max="4871" width="9.28515625" style="1178" customWidth="1"/>
    <col min="4872" max="4873" width="9.140625" style="1178"/>
    <col min="4874" max="4875" width="9.42578125" style="1178" customWidth="1"/>
    <col min="4876" max="5121" width="9.140625" style="1178"/>
    <col min="5122" max="5122" width="8.85546875" style="1178" customWidth="1"/>
    <col min="5123" max="5123" width="9" style="1178" customWidth="1"/>
    <col min="5124" max="5124" width="9.140625" style="1178"/>
    <col min="5125" max="5125" width="8.7109375" style="1178" customWidth="1"/>
    <col min="5126" max="5126" width="9.7109375" style="1178" customWidth="1"/>
    <col min="5127" max="5127" width="9.28515625" style="1178" customWidth="1"/>
    <col min="5128" max="5129" width="9.140625" style="1178"/>
    <col min="5130" max="5131" width="9.42578125" style="1178" customWidth="1"/>
    <col min="5132" max="5377" width="9.140625" style="1178"/>
    <col min="5378" max="5378" width="8.85546875" style="1178" customWidth="1"/>
    <col min="5379" max="5379" width="9" style="1178" customWidth="1"/>
    <col min="5380" max="5380" width="9.140625" style="1178"/>
    <col min="5381" max="5381" width="8.7109375" style="1178" customWidth="1"/>
    <col min="5382" max="5382" width="9.7109375" style="1178" customWidth="1"/>
    <col min="5383" max="5383" width="9.28515625" style="1178" customWidth="1"/>
    <col min="5384" max="5385" width="9.140625" style="1178"/>
    <col min="5386" max="5387" width="9.42578125" style="1178" customWidth="1"/>
    <col min="5388" max="5633" width="9.140625" style="1178"/>
    <col min="5634" max="5634" width="8.85546875" style="1178" customWidth="1"/>
    <col min="5635" max="5635" width="9" style="1178" customWidth="1"/>
    <col min="5636" max="5636" width="9.140625" style="1178"/>
    <col min="5637" max="5637" width="8.7109375" style="1178" customWidth="1"/>
    <col min="5638" max="5638" width="9.7109375" style="1178" customWidth="1"/>
    <col min="5639" max="5639" width="9.28515625" style="1178" customWidth="1"/>
    <col min="5640" max="5641" width="9.140625" style="1178"/>
    <col min="5642" max="5643" width="9.42578125" style="1178" customWidth="1"/>
    <col min="5644" max="5889" width="9.140625" style="1178"/>
    <col min="5890" max="5890" width="8.85546875" style="1178" customWidth="1"/>
    <col min="5891" max="5891" width="9" style="1178" customWidth="1"/>
    <col min="5892" max="5892" width="9.140625" style="1178"/>
    <col min="5893" max="5893" width="8.7109375" style="1178" customWidth="1"/>
    <col min="5894" max="5894" width="9.7109375" style="1178" customWidth="1"/>
    <col min="5895" max="5895" width="9.28515625" style="1178" customWidth="1"/>
    <col min="5896" max="5897" width="9.140625" style="1178"/>
    <col min="5898" max="5899" width="9.42578125" style="1178" customWidth="1"/>
    <col min="5900" max="6145" width="9.140625" style="1178"/>
    <col min="6146" max="6146" width="8.85546875" style="1178" customWidth="1"/>
    <col min="6147" max="6147" width="9" style="1178" customWidth="1"/>
    <col min="6148" max="6148" width="9.140625" style="1178"/>
    <col min="6149" max="6149" width="8.7109375" style="1178" customWidth="1"/>
    <col min="6150" max="6150" width="9.7109375" style="1178" customWidth="1"/>
    <col min="6151" max="6151" width="9.28515625" style="1178" customWidth="1"/>
    <col min="6152" max="6153" width="9.140625" style="1178"/>
    <col min="6154" max="6155" width="9.42578125" style="1178" customWidth="1"/>
    <col min="6156" max="6401" width="9.140625" style="1178"/>
    <col min="6402" max="6402" width="8.85546875" style="1178" customWidth="1"/>
    <col min="6403" max="6403" width="9" style="1178" customWidth="1"/>
    <col min="6404" max="6404" width="9.140625" style="1178"/>
    <col min="6405" max="6405" width="8.7109375" style="1178" customWidth="1"/>
    <col min="6406" max="6406" width="9.7109375" style="1178" customWidth="1"/>
    <col min="6407" max="6407" width="9.28515625" style="1178" customWidth="1"/>
    <col min="6408" max="6409" width="9.140625" style="1178"/>
    <col min="6410" max="6411" width="9.42578125" style="1178" customWidth="1"/>
    <col min="6412" max="6657" width="9.140625" style="1178"/>
    <col min="6658" max="6658" width="8.85546875" style="1178" customWidth="1"/>
    <col min="6659" max="6659" width="9" style="1178" customWidth="1"/>
    <col min="6660" max="6660" width="9.140625" style="1178"/>
    <col min="6661" max="6661" width="8.7109375" style="1178" customWidth="1"/>
    <col min="6662" max="6662" width="9.7109375" style="1178" customWidth="1"/>
    <col min="6663" max="6663" width="9.28515625" style="1178" customWidth="1"/>
    <col min="6664" max="6665" width="9.140625" style="1178"/>
    <col min="6666" max="6667" width="9.42578125" style="1178" customWidth="1"/>
    <col min="6668" max="6913" width="9.140625" style="1178"/>
    <col min="6914" max="6914" width="8.85546875" style="1178" customWidth="1"/>
    <col min="6915" max="6915" width="9" style="1178" customWidth="1"/>
    <col min="6916" max="6916" width="9.140625" style="1178"/>
    <col min="6917" max="6917" width="8.7109375" style="1178" customWidth="1"/>
    <col min="6918" max="6918" width="9.7109375" style="1178" customWidth="1"/>
    <col min="6919" max="6919" width="9.28515625" style="1178" customWidth="1"/>
    <col min="6920" max="6921" width="9.140625" style="1178"/>
    <col min="6922" max="6923" width="9.42578125" style="1178" customWidth="1"/>
    <col min="6924" max="7169" width="9.140625" style="1178"/>
    <col min="7170" max="7170" width="8.85546875" style="1178" customWidth="1"/>
    <col min="7171" max="7171" width="9" style="1178" customWidth="1"/>
    <col min="7172" max="7172" width="9.140625" style="1178"/>
    <col min="7173" max="7173" width="8.7109375" style="1178" customWidth="1"/>
    <col min="7174" max="7174" width="9.7109375" style="1178" customWidth="1"/>
    <col min="7175" max="7175" width="9.28515625" style="1178" customWidth="1"/>
    <col min="7176" max="7177" width="9.140625" style="1178"/>
    <col min="7178" max="7179" width="9.42578125" style="1178" customWidth="1"/>
    <col min="7180" max="7425" width="9.140625" style="1178"/>
    <col min="7426" max="7426" width="8.85546875" style="1178" customWidth="1"/>
    <col min="7427" max="7427" width="9" style="1178" customWidth="1"/>
    <col min="7428" max="7428" width="9.140625" style="1178"/>
    <col min="7429" max="7429" width="8.7109375" style="1178" customWidth="1"/>
    <col min="7430" max="7430" width="9.7109375" style="1178" customWidth="1"/>
    <col min="7431" max="7431" width="9.28515625" style="1178" customWidth="1"/>
    <col min="7432" max="7433" width="9.140625" style="1178"/>
    <col min="7434" max="7435" width="9.42578125" style="1178" customWidth="1"/>
    <col min="7436" max="7681" width="9.140625" style="1178"/>
    <col min="7682" max="7682" width="8.85546875" style="1178" customWidth="1"/>
    <col min="7683" max="7683" width="9" style="1178" customWidth="1"/>
    <col min="7684" max="7684" width="9.140625" style="1178"/>
    <col min="7685" max="7685" width="8.7109375" style="1178" customWidth="1"/>
    <col min="7686" max="7686" width="9.7109375" style="1178" customWidth="1"/>
    <col min="7687" max="7687" width="9.28515625" style="1178" customWidth="1"/>
    <col min="7688" max="7689" width="9.140625" style="1178"/>
    <col min="7690" max="7691" width="9.42578125" style="1178" customWidth="1"/>
    <col min="7692" max="7937" width="9.140625" style="1178"/>
    <col min="7938" max="7938" width="8.85546875" style="1178" customWidth="1"/>
    <col min="7939" max="7939" width="9" style="1178" customWidth="1"/>
    <col min="7940" max="7940" width="9.140625" style="1178"/>
    <col min="7941" max="7941" width="8.7109375" style="1178" customWidth="1"/>
    <col min="7942" max="7942" width="9.7109375" style="1178" customWidth="1"/>
    <col min="7943" max="7943" width="9.28515625" style="1178" customWidth="1"/>
    <col min="7944" max="7945" width="9.140625" style="1178"/>
    <col min="7946" max="7947" width="9.42578125" style="1178" customWidth="1"/>
    <col min="7948" max="8193" width="9.140625" style="1178"/>
    <col min="8194" max="8194" width="8.85546875" style="1178" customWidth="1"/>
    <col min="8195" max="8195" width="9" style="1178" customWidth="1"/>
    <col min="8196" max="8196" width="9.140625" style="1178"/>
    <col min="8197" max="8197" width="8.7109375" style="1178" customWidth="1"/>
    <col min="8198" max="8198" width="9.7109375" style="1178" customWidth="1"/>
    <col min="8199" max="8199" width="9.28515625" style="1178" customWidth="1"/>
    <col min="8200" max="8201" width="9.140625" style="1178"/>
    <col min="8202" max="8203" width="9.42578125" style="1178" customWidth="1"/>
    <col min="8204" max="8449" width="9.140625" style="1178"/>
    <col min="8450" max="8450" width="8.85546875" style="1178" customWidth="1"/>
    <col min="8451" max="8451" width="9" style="1178" customWidth="1"/>
    <col min="8452" max="8452" width="9.140625" style="1178"/>
    <col min="8453" max="8453" width="8.7109375" style="1178" customWidth="1"/>
    <col min="8454" max="8454" width="9.7109375" style="1178" customWidth="1"/>
    <col min="8455" max="8455" width="9.28515625" style="1178" customWidth="1"/>
    <col min="8456" max="8457" width="9.140625" style="1178"/>
    <col min="8458" max="8459" width="9.42578125" style="1178" customWidth="1"/>
    <col min="8460" max="8705" width="9.140625" style="1178"/>
    <col min="8706" max="8706" width="8.85546875" style="1178" customWidth="1"/>
    <col min="8707" max="8707" width="9" style="1178" customWidth="1"/>
    <col min="8708" max="8708" width="9.140625" style="1178"/>
    <col min="8709" max="8709" width="8.7109375" style="1178" customWidth="1"/>
    <col min="8710" max="8710" width="9.7109375" style="1178" customWidth="1"/>
    <col min="8711" max="8711" width="9.28515625" style="1178" customWidth="1"/>
    <col min="8712" max="8713" width="9.140625" style="1178"/>
    <col min="8714" max="8715" width="9.42578125" style="1178" customWidth="1"/>
    <col min="8716" max="8961" width="9.140625" style="1178"/>
    <col min="8962" max="8962" width="8.85546875" style="1178" customWidth="1"/>
    <col min="8963" max="8963" width="9" style="1178" customWidth="1"/>
    <col min="8964" max="8964" width="9.140625" style="1178"/>
    <col min="8965" max="8965" width="8.7109375" style="1178" customWidth="1"/>
    <col min="8966" max="8966" width="9.7109375" style="1178" customWidth="1"/>
    <col min="8967" max="8967" width="9.28515625" style="1178" customWidth="1"/>
    <col min="8968" max="8969" width="9.140625" style="1178"/>
    <col min="8970" max="8971" width="9.42578125" style="1178" customWidth="1"/>
    <col min="8972" max="9217" width="9.140625" style="1178"/>
    <col min="9218" max="9218" width="8.85546875" style="1178" customWidth="1"/>
    <col min="9219" max="9219" width="9" style="1178" customWidth="1"/>
    <col min="9220" max="9220" width="9.140625" style="1178"/>
    <col min="9221" max="9221" width="8.7109375" style="1178" customWidth="1"/>
    <col min="9222" max="9222" width="9.7109375" style="1178" customWidth="1"/>
    <col min="9223" max="9223" width="9.28515625" style="1178" customWidth="1"/>
    <col min="9224" max="9225" width="9.140625" style="1178"/>
    <col min="9226" max="9227" width="9.42578125" style="1178" customWidth="1"/>
    <col min="9228" max="9473" width="9.140625" style="1178"/>
    <col min="9474" max="9474" width="8.85546875" style="1178" customWidth="1"/>
    <col min="9475" max="9475" width="9" style="1178" customWidth="1"/>
    <col min="9476" max="9476" width="9.140625" style="1178"/>
    <col min="9477" max="9477" width="8.7109375" style="1178" customWidth="1"/>
    <col min="9478" max="9478" width="9.7109375" style="1178" customWidth="1"/>
    <col min="9479" max="9479" width="9.28515625" style="1178" customWidth="1"/>
    <col min="9480" max="9481" width="9.140625" style="1178"/>
    <col min="9482" max="9483" width="9.42578125" style="1178" customWidth="1"/>
    <col min="9484" max="9729" width="9.140625" style="1178"/>
    <col min="9730" max="9730" width="8.85546875" style="1178" customWidth="1"/>
    <col min="9731" max="9731" width="9" style="1178" customWidth="1"/>
    <col min="9732" max="9732" width="9.140625" style="1178"/>
    <col min="9733" max="9733" width="8.7109375" style="1178" customWidth="1"/>
    <col min="9734" max="9734" width="9.7109375" style="1178" customWidth="1"/>
    <col min="9735" max="9735" width="9.28515625" style="1178" customWidth="1"/>
    <col min="9736" max="9737" width="9.140625" style="1178"/>
    <col min="9738" max="9739" width="9.42578125" style="1178" customWidth="1"/>
    <col min="9740" max="9985" width="9.140625" style="1178"/>
    <col min="9986" max="9986" width="8.85546875" style="1178" customWidth="1"/>
    <col min="9987" max="9987" width="9" style="1178" customWidth="1"/>
    <col min="9988" max="9988" width="9.140625" style="1178"/>
    <col min="9989" max="9989" width="8.7109375" style="1178" customWidth="1"/>
    <col min="9990" max="9990" width="9.7109375" style="1178" customWidth="1"/>
    <col min="9991" max="9991" width="9.28515625" style="1178" customWidth="1"/>
    <col min="9992" max="9993" width="9.140625" style="1178"/>
    <col min="9994" max="9995" width="9.42578125" style="1178" customWidth="1"/>
    <col min="9996" max="10241" width="9.140625" style="1178"/>
    <col min="10242" max="10242" width="8.85546875" style="1178" customWidth="1"/>
    <col min="10243" max="10243" width="9" style="1178" customWidth="1"/>
    <col min="10244" max="10244" width="9.140625" style="1178"/>
    <col min="10245" max="10245" width="8.7109375" style="1178" customWidth="1"/>
    <col min="10246" max="10246" width="9.7109375" style="1178" customWidth="1"/>
    <col min="10247" max="10247" width="9.28515625" style="1178" customWidth="1"/>
    <col min="10248" max="10249" width="9.140625" style="1178"/>
    <col min="10250" max="10251" width="9.42578125" style="1178" customWidth="1"/>
    <col min="10252" max="10497" width="9.140625" style="1178"/>
    <col min="10498" max="10498" width="8.85546875" style="1178" customWidth="1"/>
    <col min="10499" max="10499" width="9" style="1178" customWidth="1"/>
    <col min="10500" max="10500" width="9.140625" style="1178"/>
    <col min="10501" max="10501" width="8.7109375" style="1178" customWidth="1"/>
    <col min="10502" max="10502" width="9.7109375" style="1178" customWidth="1"/>
    <col min="10503" max="10503" width="9.28515625" style="1178" customWidth="1"/>
    <col min="10504" max="10505" width="9.140625" style="1178"/>
    <col min="10506" max="10507" width="9.42578125" style="1178" customWidth="1"/>
    <col min="10508" max="10753" width="9.140625" style="1178"/>
    <col min="10754" max="10754" width="8.85546875" style="1178" customWidth="1"/>
    <col min="10755" max="10755" width="9" style="1178" customWidth="1"/>
    <col min="10756" max="10756" width="9.140625" style="1178"/>
    <col min="10757" max="10757" width="8.7109375" style="1178" customWidth="1"/>
    <col min="10758" max="10758" width="9.7109375" style="1178" customWidth="1"/>
    <col min="10759" max="10759" width="9.28515625" style="1178" customWidth="1"/>
    <col min="10760" max="10761" width="9.140625" style="1178"/>
    <col min="10762" max="10763" width="9.42578125" style="1178" customWidth="1"/>
    <col min="10764" max="11009" width="9.140625" style="1178"/>
    <col min="11010" max="11010" width="8.85546875" style="1178" customWidth="1"/>
    <col min="11011" max="11011" width="9" style="1178" customWidth="1"/>
    <col min="11012" max="11012" width="9.140625" style="1178"/>
    <col min="11013" max="11013" width="8.7109375" style="1178" customWidth="1"/>
    <col min="11014" max="11014" width="9.7109375" style="1178" customWidth="1"/>
    <col min="11015" max="11015" width="9.28515625" style="1178" customWidth="1"/>
    <col min="11016" max="11017" width="9.140625" style="1178"/>
    <col min="11018" max="11019" width="9.42578125" style="1178" customWidth="1"/>
    <col min="11020" max="11265" width="9.140625" style="1178"/>
    <col min="11266" max="11266" width="8.85546875" style="1178" customWidth="1"/>
    <col min="11267" max="11267" width="9" style="1178" customWidth="1"/>
    <col min="11268" max="11268" width="9.140625" style="1178"/>
    <col min="11269" max="11269" width="8.7109375" style="1178" customWidth="1"/>
    <col min="11270" max="11270" width="9.7109375" style="1178" customWidth="1"/>
    <col min="11271" max="11271" width="9.28515625" style="1178" customWidth="1"/>
    <col min="11272" max="11273" width="9.140625" style="1178"/>
    <col min="11274" max="11275" width="9.42578125" style="1178" customWidth="1"/>
    <col min="11276" max="11521" width="9.140625" style="1178"/>
    <col min="11522" max="11522" width="8.85546875" style="1178" customWidth="1"/>
    <col min="11523" max="11523" width="9" style="1178" customWidth="1"/>
    <col min="11524" max="11524" width="9.140625" style="1178"/>
    <col min="11525" max="11525" width="8.7109375" style="1178" customWidth="1"/>
    <col min="11526" max="11526" width="9.7109375" style="1178" customWidth="1"/>
    <col min="11527" max="11527" width="9.28515625" style="1178" customWidth="1"/>
    <col min="11528" max="11529" width="9.140625" style="1178"/>
    <col min="11530" max="11531" width="9.42578125" style="1178" customWidth="1"/>
    <col min="11532" max="11777" width="9.140625" style="1178"/>
    <col min="11778" max="11778" width="8.85546875" style="1178" customWidth="1"/>
    <col min="11779" max="11779" width="9" style="1178" customWidth="1"/>
    <col min="11780" max="11780" width="9.140625" style="1178"/>
    <col min="11781" max="11781" width="8.7109375" style="1178" customWidth="1"/>
    <col min="11782" max="11782" width="9.7109375" style="1178" customWidth="1"/>
    <col min="11783" max="11783" width="9.28515625" style="1178" customWidth="1"/>
    <col min="11784" max="11785" width="9.140625" style="1178"/>
    <col min="11786" max="11787" width="9.42578125" style="1178" customWidth="1"/>
    <col min="11788" max="12033" width="9.140625" style="1178"/>
    <col min="12034" max="12034" width="8.85546875" style="1178" customWidth="1"/>
    <col min="12035" max="12035" width="9" style="1178" customWidth="1"/>
    <col min="12036" max="12036" width="9.140625" style="1178"/>
    <col min="12037" max="12037" width="8.7109375" style="1178" customWidth="1"/>
    <col min="12038" max="12038" width="9.7109375" style="1178" customWidth="1"/>
    <col min="12039" max="12039" width="9.28515625" style="1178" customWidth="1"/>
    <col min="12040" max="12041" width="9.140625" style="1178"/>
    <col min="12042" max="12043" width="9.42578125" style="1178" customWidth="1"/>
    <col min="12044" max="12289" width="9.140625" style="1178"/>
    <col min="12290" max="12290" width="8.85546875" style="1178" customWidth="1"/>
    <col min="12291" max="12291" width="9" style="1178" customWidth="1"/>
    <col min="12292" max="12292" width="9.140625" style="1178"/>
    <col min="12293" max="12293" width="8.7109375" style="1178" customWidth="1"/>
    <col min="12294" max="12294" width="9.7109375" style="1178" customWidth="1"/>
    <col min="12295" max="12295" width="9.28515625" style="1178" customWidth="1"/>
    <col min="12296" max="12297" width="9.140625" style="1178"/>
    <col min="12298" max="12299" width="9.42578125" style="1178" customWidth="1"/>
    <col min="12300" max="12545" width="9.140625" style="1178"/>
    <col min="12546" max="12546" width="8.85546875" style="1178" customWidth="1"/>
    <col min="12547" max="12547" width="9" style="1178" customWidth="1"/>
    <col min="12548" max="12548" width="9.140625" style="1178"/>
    <col min="12549" max="12549" width="8.7109375" style="1178" customWidth="1"/>
    <col min="12550" max="12550" width="9.7109375" style="1178" customWidth="1"/>
    <col min="12551" max="12551" width="9.28515625" style="1178" customWidth="1"/>
    <col min="12552" max="12553" width="9.140625" style="1178"/>
    <col min="12554" max="12555" width="9.42578125" style="1178" customWidth="1"/>
    <col min="12556" max="12801" width="9.140625" style="1178"/>
    <col min="12802" max="12802" width="8.85546875" style="1178" customWidth="1"/>
    <col min="12803" max="12803" width="9" style="1178" customWidth="1"/>
    <col min="12804" max="12804" width="9.140625" style="1178"/>
    <col min="12805" max="12805" width="8.7109375" style="1178" customWidth="1"/>
    <col min="12806" max="12806" width="9.7109375" style="1178" customWidth="1"/>
    <col min="12807" max="12807" width="9.28515625" style="1178" customWidth="1"/>
    <col min="12808" max="12809" width="9.140625" style="1178"/>
    <col min="12810" max="12811" width="9.42578125" style="1178" customWidth="1"/>
    <col min="12812" max="13057" width="9.140625" style="1178"/>
    <col min="13058" max="13058" width="8.85546875" style="1178" customWidth="1"/>
    <col min="13059" max="13059" width="9" style="1178" customWidth="1"/>
    <col min="13060" max="13060" width="9.140625" style="1178"/>
    <col min="13061" max="13061" width="8.7109375" style="1178" customWidth="1"/>
    <col min="13062" max="13062" width="9.7109375" style="1178" customWidth="1"/>
    <col min="13063" max="13063" width="9.28515625" style="1178" customWidth="1"/>
    <col min="13064" max="13065" width="9.140625" style="1178"/>
    <col min="13066" max="13067" width="9.42578125" style="1178" customWidth="1"/>
    <col min="13068" max="13313" width="9.140625" style="1178"/>
    <col min="13314" max="13314" width="8.85546875" style="1178" customWidth="1"/>
    <col min="13315" max="13315" width="9" style="1178" customWidth="1"/>
    <col min="13316" max="13316" width="9.140625" style="1178"/>
    <col min="13317" max="13317" width="8.7109375" style="1178" customWidth="1"/>
    <col min="13318" max="13318" width="9.7109375" style="1178" customWidth="1"/>
    <col min="13319" max="13319" width="9.28515625" style="1178" customWidth="1"/>
    <col min="13320" max="13321" width="9.140625" style="1178"/>
    <col min="13322" max="13323" width="9.42578125" style="1178" customWidth="1"/>
    <col min="13324" max="13569" width="9.140625" style="1178"/>
    <col min="13570" max="13570" width="8.85546875" style="1178" customWidth="1"/>
    <col min="13571" max="13571" width="9" style="1178" customWidth="1"/>
    <col min="13572" max="13572" width="9.140625" style="1178"/>
    <col min="13573" max="13573" width="8.7109375" style="1178" customWidth="1"/>
    <col min="13574" max="13574" width="9.7109375" style="1178" customWidth="1"/>
    <col min="13575" max="13575" width="9.28515625" style="1178" customWidth="1"/>
    <col min="13576" max="13577" width="9.140625" style="1178"/>
    <col min="13578" max="13579" width="9.42578125" style="1178" customWidth="1"/>
    <col min="13580" max="13825" width="9.140625" style="1178"/>
    <col min="13826" max="13826" width="8.85546875" style="1178" customWidth="1"/>
    <col min="13827" max="13827" width="9" style="1178" customWidth="1"/>
    <col min="13828" max="13828" width="9.140625" style="1178"/>
    <col min="13829" max="13829" width="8.7109375" style="1178" customWidth="1"/>
    <col min="13830" max="13830" width="9.7109375" style="1178" customWidth="1"/>
    <col min="13831" max="13831" width="9.28515625" style="1178" customWidth="1"/>
    <col min="13832" max="13833" width="9.140625" style="1178"/>
    <col min="13834" max="13835" width="9.42578125" style="1178" customWidth="1"/>
    <col min="13836" max="14081" width="9.140625" style="1178"/>
    <col min="14082" max="14082" width="8.85546875" style="1178" customWidth="1"/>
    <col min="14083" max="14083" width="9" style="1178" customWidth="1"/>
    <col min="14084" max="14084" width="9.140625" style="1178"/>
    <col min="14085" max="14085" width="8.7109375" style="1178" customWidth="1"/>
    <col min="14086" max="14086" width="9.7109375" style="1178" customWidth="1"/>
    <col min="14087" max="14087" width="9.28515625" style="1178" customWidth="1"/>
    <col min="14088" max="14089" width="9.140625" style="1178"/>
    <col min="14090" max="14091" width="9.42578125" style="1178" customWidth="1"/>
    <col min="14092" max="14337" width="9.140625" style="1178"/>
    <col min="14338" max="14338" width="8.85546875" style="1178" customWidth="1"/>
    <col min="14339" max="14339" width="9" style="1178" customWidth="1"/>
    <col min="14340" max="14340" width="9.140625" style="1178"/>
    <col min="14341" max="14341" width="8.7109375" style="1178" customWidth="1"/>
    <col min="14342" max="14342" width="9.7109375" style="1178" customWidth="1"/>
    <col min="14343" max="14343" width="9.28515625" style="1178" customWidth="1"/>
    <col min="14344" max="14345" width="9.140625" style="1178"/>
    <col min="14346" max="14347" width="9.42578125" style="1178" customWidth="1"/>
    <col min="14348" max="14593" width="9.140625" style="1178"/>
    <col min="14594" max="14594" width="8.85546875" style="1178" customWidth="1"/>
    <col min="14595" max="14595" width="9" style="1178" customWidth="1"/>
    <col min="14596" max="14596" width="9.140625" style="1178"/>
    <col min="14597" max="14597" width="8.7109375" style="1178" customWidth="1"/>
    <col min="14598" max="14598" width="9.7109375" style="1178" customWidth="1"/>
    <col min="14599" max="14599" width="9.28515625" style="1178" customWidth="1"/>
    <col min="14600" max="14601" width="9.140625" style="1178"/>
    <col min="14602" max="14603" width="9.42578125" style="1178" customWidth="1"/>
    <col min="14604" max="14849" width="9.140625" style="1178"/>
    <col min="14850" max="14850" width="8.85546875" style="1178" customWidth="1"/>
    <col min="14851" max="14851" width="9" style="1178" customWidth="1"/>
    <col min="14852" max="14852" width="9.140625" style="1178"/>
    <col min="14853" max="14853" width="8.7109375" style="1178" customWidth="1"/>
    <col min="14854" max="14854" width="9.7109375" style="1178" customWidth="1"/>
    <col min="14855" max="14855" width="9.28515625" style="1178" customWidth="1"/>
    <col min="14856" max="14857" width="9.140625" style="1178"/>
    <col min="14858" max="14859" width="9.42578125" style="1178" customWidth="1"/>
    <col min="14860" max="15105" width="9.140625" style="1178"/>
    <col min="15106" max="15106" width="8.85546875" style="1178" customWidth="1"/>
    <col min="15107" max="15107" width="9" style="1178" customWidth="1"/>
    <col min="15108" max="15108" width="9.140625" style="1178"/>
    <col min="15109" max="15109" width="8.7109375" style="1178" customWidth="1"/>
    <col min="15110" max="15110" width="9.7109375" style="1178" customWidth="1"/>
    <col min="15111" max="15111" width="9.28515625" style="1178" customWidth="1"/>
    <col min="15112" max="15113" width="9.140625" style="1178"/>
    <col min="15114" max="15115" width="9.42578125" style="1178" customWidth="1"/>
    <col min="15116" max="15361" width="9.140625" style="1178"/>
    <col min="15362" max="15362" width="8.85546875" style="1178" customWidth="1"/>
    <col min="15363" max="15363" width="9" style="1178" customWidth="1"/>
    <col min="15364" max="15364" width="9.140625" style="1178"/>
    <col min="15365" max="15365" width="8.7109375" style="1178" customWidth="1"/>
    <col min="15366" max="15366" width="9.7109375" style="1178" customWidth="1"/>
    <col min="15367" max="15367" width="9.28515625" style="1178" customWidth="1"/>
    <col min="15368" max="15369" width="9.140625" style="1178"/>
    <col min="15370" max="15371" width="9.42578125" style="1178" customWidth="1"/>
    <col min="15372" max="15617" width="9.140625" style="1178"/>
    <col min="15618" max="15618" width="8.85546875" style="1178" customWidth="1"/>
    <col min="15619" max="15619" width="9" style="1178" customWidth="1"/>
    <col min="15620" max="15620" width="9.140625" style="1178"/>
    <col min="15621" max="15621" width="8.7109375" style="1178" customWidth="1"/>
    <col min="15622" max="15622" width="9.7109375" style="1178" customWidth="1"/>
    <col min="15623" max="15623" width="9.28515625" style="1178" customWidth="1"/>
    <col min="15624" max="15625" width="9.140625" style="1178"/>
    <col min="15626" max="15627" width="9.42578125" style="1178" customWidth="1"/>
    <col min="15628" max="15873" width="9.140625" style="1178"/>
    <col min="15874" max="15874" width="8.85546875" style="1178" customWidth="1"/>
    <col min="15875" max="15875" width="9" style="1178" customWidth="1"/>
    <col min="15876" max="15876" width="9.140625" style="1178"/>
    <col min="15877" max="15877" width="8.7109375" style="1178" customWidth="1"/>
    <col min="15878" max="15878" width="9.7109375" style="1178" customWidth="1"/>
    <col min="15879" max="15879" width="9.28515625" style="1178" customWidth="1"/>
    <col min="15880" max="15881" width="9.140625" style="1178"/>
    <col min="15882" max="15883" width="9.42578125" style="1178" customWidth="1"/>
    <col min="15884" max="16129" width="9.140625" style="1178"/>
    <col min="16130" max="16130" width="8.85546875" style="1178" customWidth="1"/>
    <col min="16131" max="16131" width="9" style="1178" customWidth="1"/>
    <col min="16132" max="16132" width="9.140625" style="1178"/>
    <col min="16133" max="16133" width="8.7109375" style="1178" customWidth="1"/>
    <col min="16134" max="16134" width="9.7109375" style="1178" customWidth="1"/>
    <col min="16135" max="16135" width="9.28515625" style="1178" customWidth="1"/>
    <col min="16136" max="16137" width="9.140625" style="1178"/>
    <col min="16138" max="16139" width="9.42578125" style="1178" customWidth="1"/>
    <col min="16140" max="16384" width="9.140625" style="1178"/>
  </cols>
  <sheetData>
    <row r="1" spans="1:26" ht="15.75">
      <c r="A1" s="1178" t="s">
        <v>1081</v>
      </c>
      <c r="F1" s="1179"/>
      <c r="G1" s="1180"/>
      <c r="H1" s="1180"/>
      <c r="I1" s="1181"/>
      <c r="Q1" s="1591" t="s">
        <v>1082</v>
      </c>
      <c r="R1" s="1591"/>
      <c r="S1" s="1591"/>
      <c r="T1" s="1591"/>
      <c r="U1" s="1591"/>
      <c r="V1" s="1591"/>
      <c r="W1" s="1591"/>
      <c r="X1" s="1591"/>
      <c r="Y1" s="1591"/>
      <c r="Z1" s="1591"/>
    </row>
    <row r="2" spans="1:26" ht="15.75">
      <c r="A2" s="1178" t="s">
        <v>1083</v>
      </c>
      <c r="F2" s="1179"/>
      <c r="G2" s="1180"/>
      <c r="H2" s="1182"/>
      <c r="I2" s="1181"/>
      <c r="Q2" s="1591" t="str">
        <f>F2&amp;"'s Affect on "&amp;F1</f>
        <v xml:space="preserve">'s Affect on </v>
      </c>
      <c r="R2" s="1591"/>
      <c r="S2" s="1591"/>
      <c r="T2" s="1591"/>
      <c r="U2" s="1591"/>
      <c r="V2" s="1591"/>
      <c r="W2" s="1591"/>
      <c r="X2" s="1591"/>
      <c r="Y2" s="1591"/>
      <c r="Z2" s="1591"/>
    </row>
    <row r="3" spans="1:26">
      <c r="A3" s="1178" t="s">
        <v>1394</v>
      </c>
      <c r="E3" s="1178">
        <v>1</v>
      </c>
      <c r="F3" s="1179"/>
      <c r="G3" s="1180"/>
      <c r="H3" s="1182"/>
      <c r="I3" s="1181"/>
      <c r="Q3" s="1592" t="str">
        <f>"With Low Level of "&amp;F2&amp;" = "&amp;F3&amp;" and High Level = "&amp;F4</f>
        <v xml:space="preserve">With Low Level of  =  and High Level = </v>
      </c>
      <c r="R3" s="1592"/>
      <c r="S3" s="1592"/>
      <c r="T3" s="1592"/>
      <c r="U3" s="1592"/>
      <c r="V3" s="1592"/>
      <c r="W3" s="1592"/>
      <c r="X3" s="1592"/>
      <c r="Y3" s="1592"/>
      <c r="Z3" s="1592"/>
    </row>
    <row r="4" spans="1:26">
      <c r="A4" s="1178" t="s">
        <v>1395</v>
      </c>
      <c r="E4" s="1178" t="s">
        <v>1403</v>
      </c>
      <c r="F4" s="1179"/>
      <c r="G4" s="1180"/>
      <c r="H4" s="1182"/>
      <c r="I4" s="1181"/>
      <c r="R4" s="1592" t="s">
        <v>1396</v>
      </c>
      <c r="S4" s="1592"/>
      <c r="T4" s="1592"/>
      <c r="U4" s="1592"/>
      <c r="V4" s="1592"/>
      <c r="W4" s="1592"/>
      <c r="X4" s="1592"/>
      <c r="Y4" s="1592"/>
      <c r="Z4" s="1592"/>
    </row>
    <row r="5" spans="1:26">
      <c r="R5" s="1593" t="s">
        <v>1084</v>
      </c>
      <c r="S5" s="1592"/>
      <c r="T5" s="1592"/>
      <c r="U5" s="1592"/>
      <c r="V5" s="1592"/>
      <c r="W5" s="1592"/>
      <c r="X5" s="1592"/>
      <c r="Y5" s="1592"/>
      <c r="Z5" s="1592"/>
    </row>
    <row r="6" spans="1:26" ht="13.5" thickBot="1"/>
    <row r="7" spans="1:26">
      <c r="A7" s="1594" t="s">
        <v>1085</v>
      </c>
      <c r="B7" s="1595"/>
      <c r="C7" s="1596"/>
      <c r="E7" s="1594" t="s">
        <v>1086</v>
      </c>
      <c r="F7" s="1595"/>
      <c r="G7" s="1595"/>
      <c r="H7" s="1596"/>
    </row>
    <row r="8" spans="1:26" ht="13.5" thickBot="1">
      <c r="A8" s="1183"/>
      <c r="B8" s="1184"/>
      <c r="C8" s="1185"/>
      <c r="E8" s="1183"/>
      <c r="F8" s="1184"/>
      <c r="G8" s="1184"/>
      <c r="H8" s="1185"/>
    </row>
    <row r="9" spans="1:26" ht="13.5" thickBot="1">
      <c r="A9" s="1183"/>
      <c r="B9" s="1184"/>
      <c r="C9" s="1186"/>
      <c r="E9" s="1183"/>
      <c r="F9" s="1184"/>
      <c r="G9" s="1184"/>
      <c r="H9" s="1185"/>
      <c r="J9" s="1597" t="s">
        <v>1087</v>
      </c>
      <c r="K9" s="1598"/>
      <c r="L9" s="1598"/>
      <c r="M9" s="1599"/>
      <c r="N9" s="1187"/>
      <c r="O9" s="1187"/>
      <c r="P9" s="1187"/>
    </row>
    <row r="10" spans="1:26" ht="13.5" thickBot="1">
      <c r="A10" s="1188" t="s">
        <v>508</v>
      </c>
      <c r="B10" s="1189" t="s">
        <v>1088</v>
      </c>
      <c r="C10" s="1190" t="s">
        <v>1089</v>
      </c>
      <c r="E10" s="1191" t="s">
        <v>508</v>
      </c>
      <c r="F10" s="1192" t="s">
        <v>1088</v>
      </c>
      <c r="G10" s="1192" t="s">
        <v>1089</v>
      </c>
      <c r="H10" s="1193" t="s">
        <v>775</v>
      </c>
      <c r="J10" s="1194" t="s">
        <v>508</v>
      </c>
      <c r="K10" s="1195" t="s">
        <v>1089</v>
      </c>
      <c r="L10" s="1195" t="s">
        <v>1088</v>
      </c>
      <c r="M10" s="1196" t="s">
        <v>775</v>
      </c>
      <c r="N10" s="1187"/>
      <c r="O10" s="1187"/>
      <c r="P10" s="1187"/>
    </row>
    <row r="11" spans="1:26" ht="15" thickTop="1">
      <c r="A11" s="1197" t="s">
        <v>901</v>
      </c>
      <c r="B11" s="1198" t="s">
        <v>1095</v>
      </c>
      <c r="C11" s="1199" t="s">
        <v>2</v>
      </c>
      <c r="D11" s="1200"/>
      <c r="E11" s="1197"/>
      <c r="F11" s="1198"/>
      <c r="G11" s="1202"/>
      <c r="H11" s="1203"/>
      <c r="J11" s="1204"/>
      <c r="K11" s="1205"/>
      <c r="L11" s="1205"/>
      <c r="M11" s="1206"/>
      <c r="N11" s="1207"/>
      <c r="O11" s="1207"/>
      <c r="P11" s="1207"/>
    </row>
    <row r="12" spans="1:26" ht="14.25">
      <c r="A12" s="1197" t="s">
        <v>901</v>
      </c>
      <c r="B12" s="1198" t="s">
        <v>1096</v>
      </c>
      <c r="C12" s="1199" t="s">
        <v>2</v>
      </c>
      <c r="D12" s="1200"/>
      <c r="E12" s="1197"/>
      <c r="F12" s="1198"/>
      <c r="G12" s="1202"/>
      <c r="H12" s="1208"/>
      <c r="J12" s="1204"/>
      <c r="K12" s="1205"/>
      <c r="L12" s="1205"/>
      <c r="M12" s="1206"/>
      <c r="N12" s="1207"/>
      <c r="O12" s="1207"/>
      <c r="P12" s="1207"/>
    </row>
    <row r="13" spans="1:26" ht="14.25">
      <c r="A13" s="1197" t="s">
        <v>901</v>
      </c>
      <c r="B13" s="1198" t="s">
        <v>1097</v>
      </c>
      <c r="C13" s="1199" t="s">
        <v>2</v>
      </c>
      <c r="D13" s="1200"/>
      <c r="E13" s="1197"/>
      <c r="F13" s="1198"/>
      <c r="G13" s="1202"/>
      <c r="H13" s="1208"/>
      <c r="J13" s="1204"/>
      <c r="K13" s="1205"/>
      <c r="L13" s="1205"/>
      <c r="M13" s="1206"/>
      <c r="N13" s="1207"/>
      <c r="O13" s="1207"/>
      <c r="P13" s="1207"/>
    </row>
    <row r="14" spans="1:26" ht="14.25">
      <c r="A14" s="1197" t="s">
        <v>900</v>
      </c>
      <c r="B14" s="1201" t="s">
        <v>1098</v>
      </c>
      <c r="C14" s="1199" t="s">
        <v>2</v>
      </c>
      <c r="D14" s="1200"/>
      <c r="E14" s="1197"/>
      <c r="F14" s="1201"/>
      <c r="G14" s="1202"/>
      <c r="H14" s="1208"/>
      <c r="J14" s="1204"/>
      <c r="K14" s="1205"/>
      <c r="L14" s="1205"/>
      <c r="M14" s="1206"/>
      <c r="N14" s="1207"/>
      <c r="O14" s="1207"/>
      <c r="P14" s="1207"/>
    </row>
    <row r="15" spans="1:26" ht="14.25">
      <c r="A15" s="1197" t="s">
        <v>900</v>
      </c>
      <c r="B15" s="1201" t="s">
        <v>1099</v>
      </c>
      <c r="C15" s="1199" t="s">
        <v>2</v>
      </c>
      <c r="D15" s="1200"/>
      <c r="E15" s="1197"/>
      <c r="F15" s="1201"/>
      <c r="G15" s="1202"/>
      <c r="H15" s="1208"/>
      <c r="J15" s="1204"/>
      <c r="K15" s="1205"/>
      <c r="L15" s="1205"/>
      <c r="M15" s="1206"/>
      <c r="N15" s="1207"/>
      <c r="O15" s="1207"/>
      <c r="P15" s="1207"/>
    </row>
    <row r="16" spans="1:26" ht="15" thickBot="1">
      <c r="A16" s="1209" t="s">
        <v>900</v>
      </c>
      <c r="B16" s="1210" t="s">
        <v>1100</v>
      </c>
      <c r="C16" s="1211" t="s">
        <v>2</v>
      </c>
      <c r="D16" s="1200"/>
      <c r="E16" s="1209"/>
      <c r="F16" s="1210"/>
      <c r="G16" s="1212"/>
      <c r="H16" s="1213"/>
      <c r="J16" s="1214"/>
      <c r="K16" s="1215"/>
      <c r="L16" s="1215"/>
      <c r="M16" s="1216"/>
      <c r="N16" s="1207"/>
      <c r="O16" s="1207"/>
      <c r="P16" s="1207"/>
    </row>
    <row r="17" spans="5:16">
      <c r="E17" s="1217"/>
    </row>
    <row r="20" spans="5:16" ht="13.5" thickBot="1"/>
    <row r="21" spans="5:16">
      <c r="E21" s="1600" t="s">
        <v>1090</v>
      </c>
      <c r="F21" s="1601"/>
      <c r="J21" s="1602" t="s">
        <v>1091</v>
      </c>
      <c r="K21" s="1603"/>
      <c r="L21" s="1603"/>
      <c r="M21" s="1604"/>
      <c r="N21" s="1187"/>
      <c r="O21" s="1187"/>
      <c r="P21" s="1187"/>
    </row>
    <row r="22" spans="5:16" ht="13.5" thickBot="1">
      <c r="E22" s="1218" t="s">
        <v>1092</v>
      </c>
      <c r="F22" s="1218" t="s">
        <v>1093</v>
      </c>
      <c r="J22" s="1194" t="s">
        <v>1088</v>
      </c>
      <c r="K22" s="1219" t="s">
        <v>775</v>
      </c>
      <c r="L22" s="1220"/>
      <c r="M22" s="1221"/>
      <c r="N22" s="1184"/>
      <c r="O22" s="1184"/>
      <c r="P22" s="1184"/>
    </row>
    <row r="23" spans="5:16" ht="13.5" thickTop="1">
      <c r="E23" s="1222" t="str">
        <f>IF(E11=E16,"",IF(E11="-",-1,1))</f>
        <v/>
      </c>
      <c r="F23" s="1222" t="str">
        <f>IF(E11=E$16,F24,"")</f>
        <v/>
      </c>
      <c r="J23" s="1204"/>
      <c r="K23" s="1223"/>
      <c r="L23" s="1220"/>
      <c r="M23" s="1221"/>
      <c r="N23" s="1184"/>
      <c r="O23" s="1184"/>
      <c r="P23" s="1184"/>
    </row>
    <row r="24" spans="5:16">
      <c r="E24" s="1224" t="str">
        <f>IF(E12=$E$11,E23,"")</f>
        <v/>
      </c>
      <c r="F24" s="1224" t="str">
        <f>IF(E12=E$16,F25,"")</f>
        <v/>
      </c>
      <c r="J24" s="1204"/>
      <c r="K24" s="1223"/>
      <c r="L24" s="1220"/>
      <c r="M24" s="1221"/>
      <c r="N24" s="1184"/>
      <c r="O24" s="1184"/>
      <c r="P24" s="1184"/>
    </row>
    <row r="25" spans="5:16">
      <c r="E25" s="1224" t="str">
        <f>IF(E13=$E$11,E24,"")</f>
        <v/>
      </c>
      <c r="F25" s="1224" t="str">
        <f>IF(E13=E$16,F26,"")</f>
        <v/>
      </c>
      <c r="J25" s="1204"/>
      <c r="K25" s="1223"/>
      <c r="L25" s="1220"/>
      <c r="M25" s="1221"/>
      <c r="N25" s="1184"/>
      <c r="O25" s="1184"/>
      <c r="P25" s="1184"/>
    </row>
    <row r="26" spans="5:16">
      <c r="E26" s="1224" t="str">
        <f>IF(E14=$E$11,E25,"")</f>
        <v/>
      </c>
      <c r="F26" s="1224" t="str">
        <f>IF(E14=E$16,F27,"")</f>
        <v/>
      </c>
      <c r="J26" s="1204"/>
      <c r="K26" s="1223"/>
      <c r="L26" s="1220"/>
      <c r="M26" s="1221"/>
      <c r="N26" s="1184"/>
      <c r="O26" s="1184"/>
      <c r="P26" s="1184"/>
    </row>
    <row r="27" spans="5:16">
      <c r="E27" s="1224" t="str">
        <f>IF(E15=$E$11,E26,"")</f>
        <v/>
      </c>
      <c r="F27" s="1224" t="str">
        <f>IF(E15=E$16,F28,"")</f>
        <v/>
      </c>
      <c r="J27" s="1204"/>
      <c r="K27" s="1223"/>
      <c r="L27" s="1220"/>
      <c r="M27" s="1221"/>
      <c r="N27" s="1184"/>
      <c r="O27" s="1184"/>
      <c r="P27" s="1184"/>
    </row>
    <row r="28" spans="5:16">
      <c r="E28" s="1224" t="str">
        <f>IF(E16=$E$11,E27,"")</f>
        <v/>
      </c>
      <c r="F28" s="1224" t="str">
        <f>IF(E16=E11,"",IF(E16="-",-1,1))</f>
        <v/>
      </c>
      <c r="J28" s="1225"/>
      <c r="K28" s="1226"/>
      <c r="L28" s="1220"/>
      <c r="M28" s="1221"/>
      <c r="N28" s="1184"/>
      <c r="O28" s="1184"/>
      <c r="P28" s="1184"/>
    </row>
    <row r="29" spans="5:16">
      <c r="J29" s="1227"/>
      <c r="K29" s="1228"/>
      <c r="L29" s="1220"/>
      <c r="M29" s="1221"/>
      <c r="N29" s="1184"/>
      <c r="O29" s="1184"/>
      <c r="P29" s="1184"/>
    </row>
    <row r="30" spans="5:16" ht="13.5">
      <c r="J30" s="1229"/>
      <c r="K30" s="1230" t="s">
        <v>1101</v>
      </c>
      <c r="L30" s="1230" t="s">
        <v>1102</v>
      </c>
      <c r="M30" s="1231" t="s">
        <v>1103</v>
      </c>
      <c r="N30" s="1184"/>
      <c r="O30" s="1184"/>
      <c r="P30" s="1184"/>
    </row>
    <row r="31" spans="5:16">
      <c r="E31" s="1232" t="str">
        <f>"Endcount = "&amp;COUNT(E23:F28)</f>
        <v>Endcount = 0</v>
      </c>
      <c r="F31" s="1232"/>
      <c r="G31" s="1232"/>
      <c r="J31" s="1233" t="s">
        <v>469</v>
      </c>
      <c r="K31" s="1224">
        <f>K26</f>
        <v>0</v>
      </c>
      <c r="L31" s="1224">
        <f>K27</f>
        <v>0</v>
      </c>
      <c r="M31" s="1234">
        <f>K28</f>
        <v>0</v>
      </c>
      <c r="N31" s="1184"/>
      <c r="O31" s="1184"/>
      <c r="P31" s="1184"/>
    </row>
    <row r="32" spans="5:16" ht="13.5" thickBot="1">
      <c r="E32" s="1232" t="str">
        <f>IF(COUNT(E23:F28)&lt;6,"Endcount is not sufficient","")</f>
        <v>Endcount is not sufficient</v>
      </c>
      <c r="F32" s="1232"/>
      <c r="G32" s="1232"/>
      <c r="J32" s="1235" t="s">
        <v>1094</v>
      </c>
      <c r="K32" s="1236">
        <f>K23</f>
        <v>0</v>
      </c>
      <c r="L32" s="1236">
        <f>K24</f>
        <v>0</v>
      </c>
      <c r="M32" s="1237">
        <f>K25</f>
        <v>0</v>
      </c>
    </row>
  </sheetData>
  <sheetProtection password="CC08" sheet="1" scenarios="1"/>
  <protectedRanges>
    <protectedRange sqref="C9 H11:H16 F1:F4" name="Range1"/>
  </protectedRanges>
  <sortState ref="J23:K28">
    <sortCondition ref="J23"/>
  </sortState>
  <mergeCells count="10">
    <mergeCell ref="A7:C7"/>
    <mergeCell ref="E7:H7"/>
    <mergeCell ref="J9:M9"/>
    <mergeCell ref="E21:F21"/>
    <mergeCell ref="J21:M21"/>
    <mergeCell ref="Q1:Z1"/>
    <mergeCell ref="Q2:Z2"/>
    <mergeCell ref="Q3:Z3"/>
    <mergeCell ref="R4:Z4"/>
    <mergeCell ref="R5:Z5"/>
  </mergeCells>
  <pageMargins left="0.75" right="0.75" top="1" bottom="1" header="0.5" footer="0.5"/>
  <pageSetup orientation="portrait" horizontalDpi="200" verticalDpi="200" r:id="rId1"/>
  <headerFooter alignWithMargins="0">
    <oddHeader>&amp;C&amp;"Times New Roman,Bold"&amp;12&amp;A</oddHeader>
    <oddFooter>&amp;L&amp;8&amp;F&amp;CPage &amp;P of &amp;N&amp;R&amp;8&amp;D</oddFooter>
  </headerFooter>
  <drawing r:id="rId2"/>
  <legacyDrawing r:id="rId3"/>
  <controls>
    <control shapeId="142340" r:id="rId4" name="MainMenu"/>
  </controls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/>
  <dimension ref="A1:AG117"/>
  <sheetViews>
    <sheetView showGridLines="0" workbookViewId="0">
      <selection activeCell="F6" sqref="F6"/>
    </sheetView>
  </sheetViews>
  <sheetFormatPr defaultRowHeight="12.75"/>
  <cols>
    <col min="1" max="1" width="9.140625" style="1178"/>
    <col min="2" max="2" width="9.42578125" style="1178" customWidth="1"/>
    <col min="3" max="3" width="9" style="1217" customWidth="1"/>
    <col min="4" max="4" width="9.140625" style="1178"/>
    <col min="5" max="5" width="9" style="1178" customWidth="1"/>
    <col min="6" max="6" width="9.7109375" style="1178" customWidth="1"/>
    <col min="7" max="7" width="10.7109375" style="1178" customWidth="1"/>
    <col min="8" max="9" width="9.42578125" style="1178" customWidth="1"/>
    <col min="10" max="10" width="10.140625" style="1178" customWidth="1"/>
    <col min="11" max="11" width="9.140625" style="1178"/>
    <col min="12" max="12" width="9.140625" style="1178" customWidth="1"/>
    <col min="13" max="13" width="8.5703125" style="1178" customWidth="1"/>
    <col min="14" max="14" width="8.7109375" style="1178" customWidth="1"/>
    <col min="15" max="257" width="9.140625" style="1178"/>
    <col min="258" max="258" width="9.42578125" style="1178" customWidth="1"/>
    <col min="259" max="259" width="9" style="1178" customWidth="1"/>
    <col min="260" max="260" width="9.140625" style="1178"/>
    <col min="261" max="261" width="9" style="1178" customWidth="1"/>
    <col min="262" max="262" width="9.7109375" style="1178" customWidth="1"/>
    <col min="263" max="263" width="10.7109375" style="1178" customWidth="1"/>
    <col min="264" max="265" width="9.42578125" style="1178" customWidth="1"/>
    <col min="266" max="266" width="10.140625" style="1178" customWidth="1"/>
    <col min="267" max="267" width="9.140625" style="1178"/>
    <col min="268" max="268" width="9.140625" style="1178" customWidth="1"/>
    <col min="269" max="269" width="8.5703125" style="1178" customWidth="1"/>
    <col min="270" max="270" width="8.7109375" style="1178" customWidth="1"/>
    <col min="271" max="513" width="9.140625" style="1178"/>
    <col min="514" max="514" width="9.42578125" style="1178" customWidth="1"/>
    <col min="515" max="515" width="9" style="1178" customWidth="1"/>
    <col min="516" max="516" width="9.140625" style="1178"/>
    <col min="517" max="517" width="9" style="1178" customWidth="1"/>
    <col min="518" max="518" width="9.7109375" style="1178" customWidth="1"/>
    <col min="519" max="519" width="10.7109375" style="1178" customWidth="1"/>
    <col min="520" max="521" width="9.42578125" style="1178" customWidth="1"/>
    <col min="522" max="522" width="10.140625" style="1178" customWidth="1"/>
    <col min="523" max="523" width="9.140625" style="1178"/>
    <col min="524" max="524" width="9.140625" style="1178" customWidth="1"/>
    <col min="525" max="525" width="8.5703125" style="1178" customWidth="1"/>
    <col min="526" max="526" width="8.7109375" style="1178" customWidth="1"/>
    <col min="527" max="769" width="9.140625" style="1178"/>
    <col min="770" max="770" width="9.42578125" style="1178" customWidth="1"/>
    <col min="771" max="771" width="9" style="1178" customWidth="1"/>
    <col min="772" max="772" width="9.140625" style="1178"/>
    <col min="773" max="773" width="9" style="1178" customWidth="1"/>
    <col min="774" max="774" width="9.7109375" style="1178" customWidth="1"/>
    <col min="775" max="775" width="10.7109375" style="1178" customWidth="1"/>
    <col min="776" max="777" width="9.42578125" style="1178" customWidth="1"/>
    <col min="778" max="778" width="10.140625" style="1178" customWidth="1"/>
    <col min="779" max="779" width="9.140625" style="1178"/>
    <col min="780" max="780" width="9.140625" style="1178" customWidth="1"/>
    <col min="781" max="781" width="8.5703125" style="1178" customWidth="1"/>
    <col min="782" max="782" width="8.7109375" style="1178" customWidth="1"/>
    <col min="783" max="1025" width="9.140625" style="1178"/>
    <col min="1026" max="1026" width="9.42578125" style="1178" customWidth="1"/>
    <col min="1027" max="1027" width="9" style="1178" customWidth="1"/>
    <col min="1028" max="1028" width="9.140625" style="1178"/>
    <col min="1029" max="1029" width="9" style="1178" customWidth="1"/>
    <col min="1030" max="1030" width="9.7109375" style="1178" customWidth="1"/>
    <col min="1031" max="1031" width="10.7109375" style="1178" customWidth="1"/>
    <col min="1032" max="1033" width="9.42578125" style="1178" customWidth="1"/>
    <col min="1034" max="1034" width="10.140625" style="1178" customWidth="1"/>
    <col min="1035" max="1035" width="9.140625" style="1178"/>
    <col min="1036" max="1036" width="9.140625" style="1178" customWidth="1"/>
    <col min="1037" max="1037" width="8.5703125" style="1178" customWidth="1"/>
    <col min="1038" max="1038" width="8.7109375" style="1178" customWidth="1"/>
    <col min="1039" max="1281" width="9.140625" style="1178"/>
    <col min="1282" max="1282" width="9.42578125" style="1178" customWidth="1"/>
    <col min="1283" max="1283" width="9" style="1178" customWidth="1"/>
    <col min="1284" max="1284" width="9.140625" style="1178"/>
    <col min="1285" max="1285" width="9" style="1178" customWidth="1"/>
    <col min="1286" max="1286" width="9.7109375" style="1178" customWidth="1"/>
    <col min="1287" max="1287" width="10.7109375" style="1178" customWidth="1"/>
    <col min="1288" max="1289" width="9.42578125" style="1178" customWidth="1"/>
    <col min="1290" max="1290" width="10.140625" style="1178" customWidth="1"/>
    <col min="1291" max="1291" width="9.140625" style="1178"/>
    <col min="1292" max="1292" width="9.140625" style="1178" customWidth="1"/>
    <col min="1293" max="1293" width="8.5703125" style="1178" customWidth="1"/>
    <col min="1294" max="1294" width="8.7109375" style="1178" customWidth="1"/>
    <col min="1295" max="1537" width="9.140625" style="1178"/>
    <col min="1538" max="1538" width="9.42578125" style="1178" customWidth="1"/>
    <col min="1539" max="1539" width="9" style="1178" customWidth="1"/>
    <col min="1540" max="1540" width="9.140625" style="1178"/>
    <col min="1541" max="1541" width="9" style="1178" customWidth="1"/>
    <col min="1542" max="1542" width="9.7109375" style="1178" customWidth="1"/>
    <col min="1543" max="1543" width="10.7109375" style="1178" customWidth="1"/>
    <col min="1544" max="1545" width="9.42578125" style="1178" customWidth="1"/>
    <col min="1546" max="1546" width="10.140625" style="1178" customWidth="1"/>
    <col min="1547" max="1547" width="9.140625" style="1178"/>
    <col min="1548" max="1548" width="9.140625" style="1178" customWidth="1"/>
    <col min="1549" max="1549" width="8.5703125" style="1178" customWidth="1"/>
    <col min="1550" max="1550" width="8.7109375" style="1178" customWidth="1"/>
    <col min="1551" max="1793" width="9.140625" style="1178"/>
    <col min="1794" max="1794" width="9.42578125" style="1178" customWidth="1"/>
    <col min="1795" max="1795" width="9" style="1178" customWidth="1"/>
    <col min="1796" max="1796" width="9.140625" style="1178"/>
    <col min="1797" max="1797" width="9" style="1178" customWidth="1"/>
    <col min="1798" max="1798" width="9.7109375" style="1178" customWidth="1"/>
    <col min="1799" max="1799" width="10.7109375" style="1178" customWidth="1"/>
    <col min="1800" max="1801" width="9.42578125" style="1178" customWidth="1"/>
    <col min="1802" max="1802" width="10.140625" style="1178" customWidth="1"/>
    <col min="1803" max="1803" width="9.140625" style="1178"/>
    <col min="1804" max="1804" width="9.140625" style="1178" customWidth="1"/>
    <col min="1805" max="1805" width="8.5703125" style="1178" customWidth="1"/>
    <col min="1806" max="1806" width="8.7109375" style="1178" customWidth="1"/>
    <col min="1807" max="2049" width="9.140625" style="1178"/>
    <col min="2050" max="2050" width="9.42578125" style="1178" customWidth="1"/>
    <col min="2051" max="2051" width="9" style="1178" customWidth="1"/>
    <col min="2052" max="2052" width="9.140625" style="1178"/>
    <col min="2053" max="2053" width="9" style="1178" customWidth="1"/>
    <col min="2054" max="2054" width="9.7109375" style="1178" customWidth="1"/>
    <col min="2055" max="2055" width="10.7109375" style="1178" customWidth="1"/>
    <col min="2056" max="2057" width="9.42578125" style="1178" customWidth="1"/>
    <col min="2058" max="2058" width="10.140625" style="1178" customWidth="1"/>
    <col min="2059" max="2059" width="9.140625" style="1178"/>
    <col min="2060" max="2060" width="9.140625" style="1178" customWidth="1"/>
    <col min="2061" max="2061" width="8.5703125" style="1178" customWidth="1"/>
    <col min="2062" max="2062" width="8.7109375" style="1178" customWidth="1"/>
    <col min="2063" max="2305" width="9.140625" style="1178"/>
    <col min="2306" max="2306" width="9.42578125" style="1178" customWidth="1"/>
    <col min="2307" max="2307" width="9" style="1178" customWidth="1"/>
    <col min="2308" max="2308" width="9.140625" style="1178"/>
    <col min="2309" max="2309" width="9" style="1178" customWidth="1"/>
    <col min="2310" max="2310" width="9.7109375" style="1178" customWidth="1"/>
    <col min="2311" max="2311" width="10.7109375" style="1178" customWidth="1"/>
    <col min="2312" max="2313" width="9.42578125" style="1178" customWidth="1"/>
    <col min="2314" max="2314" width="10.140625" style="1178" customWidth="1"/>
    <col min="2315" max="2315" width="9.140625" style="1178"/>
    <col min="2316" max="2316" width="9.140625" style="1178" customWidth="1"/>
    <col min="2317" max="2317" width="8.5703125" style="1178" customWidth="1"/>
    <col min="2318" max="2318" width="8.7109375" style="1178" customWidth="1"/>
    <col min="2319" max="2561" width="9.140625" style="1178"/>
    <col min="2562" max="2562" width="9.42578125" style="1178" customWidth="1"/>
    <col min="2563" max="2563" width="9" style="1178" customWidth="1"/>
    <col min="2564" max="2564" width="9.140625" style="1178"/>
    <col min="2565" max="2565" width="9" style="1178" customWidth="1"/>
    <col min="2566" max="2566" width="9.7109375" style="1178" customWidth="1"/>
    <col min="2567" max="2567" width="10.7109375" style="1178" customWidth="1"/>
    <col min="2568" max="2569" width="9.42578125" style="1178" customWidth="1"/>
    <col min="2570" max="2570" width="10.140625" style="1178" customWidth="1"/>
    <col min="2571" max="2571" width="9.140625" style="1178"/>
    <col min="2572" max="2572" width="9.140625" style="1178" customWidth="1"/>
    <col min="2573" max="2573" width="8.5703125" style="1178" customWidth="1"/>
    <col min="2574" max="2574" width="8.7109375" style="1178" customWidth="1"/>
    <col min="2575" max="2817" width="9.140625" style="1178"/>
    <col min="2818" max="2818" width="9.42578125" style="1178" customWidth="1"/>
    <col min="2819" max="2819" width="9" style="1178" customWidth="1"/>
    <col min="2820" max="2820" width="9.140625" style="1178"/>
    <col min="2821" max="2821" width="9" style="1178" customWidth="1"/>
    <col min="2822" max="2822" width="9.7109375" style="1178" customWidth="1"/>
    <col min="2823" max="2823" width="10.7109375" style="1178" customWidth="1"/>
    <col min="2824" max="2825" width="9.42578125" style="1178" customWidth="1"/>
    <col min="2826" max="2826" width="10.140625" style="1178" customWidth="1"/>
    <col min="2827" max="2827" width="9.140625" style="1178"/>
    <col min="2828" max="2828" width="9.140625" style="1178" customWidth="1"/>
    <col min="2829" max="2829" width="8.5703125" style="1178" customWidth="1"/>
    <col min="2830" max="2830" width="8.7109375" style="1178" customWidth="1"/>
    <col min="2831" max="3073" width="9.140625" style="1178"/>
    <col min="3074" max="3074" width="9.42578125" style="1178" customWidth="1"/>
    <col min="3075" max="3075" width="9" style="1178" customWidth="1"/>
    <col min="3076" max="3076" width="9.140625" style="1178"/>
    <col min="3077" max="3077" width="9" style="1178" customWidth="1"/>
    <col min="3078" max="3078" width="9.7109375" style="1178" customWidth="1"/>
    <col min="3079" max="3079" width="10.7109375" style="1178" customWidth="1"/>
    <col min="3080" max="3081" width="9.42578125" style="1178" customWidth="1"/>
    <col min="3082" max="3082" width="10.140625" style="1178" customWidth="1"/>
    <col min="3083" max="3083" width="9.140625" style="1178"/>
    <col min="3084" max="3084" width="9.140625" style="1178" customWidth="1"/>
    <col min="3085" max="3085" width="8.5703125" style="1178" customWidth="1"/>
    <col min="3086" max="3086" width="8.7109375" style="1178" customWidth="1"/>
    <col min="3087" max="3329" width="9.140625" style="1178"/>
    <col min="3330" max="3330" width="9.42578125" style="1178" customWidth="1"/>
    <col min="3331" max="3331" width="9" style="1178" customWidth="1"/>
    <col min="3332" max="3332" width="9.140625" style="1178"/>
    <col min="3333" max="3333" width="9" style="1178" customWidth="1"/>
    <col min="3334" max="3334" width="9.7109375" style="1178" customWidth="1"/>
    <col min="3335" max="3335" width="10.7109375" style="1178" customWidth="1"/>
    <col min="3336" max="3337" width="9.42578125" style="1178" customWidth="1"/>
    <col min="3338" max="3338" width="10.140625" style="1178" customWidth="1"/>
    <col min="3339" max="3339" width="9.140625" style="1178"/>
    <col min="3340" max="3340" width="9.140625" style="1178" customWidth="1"/>
    <col min="3341" max="3341" width="8.5703125" style="1178" customWidth="1"/>
    <col min="3342" max="3342" width="8.7109375" style="1178" customWidth="1"/>
    <col min="3343" max="3585" width="9.140625" style="1178"/>
    <col min="3586" max="3586" width="9.42578125" style="1178" customWidth="1"/>
    <col min="3587" max="3587" width="9" style="1178" customWidth="1"/>
    <col min="3588" max="3588" width="9.140625" style="1178"/>
    <col min="3589" max="3589" width="9" style="1178" customWidth="1"/>
    <col min="3590" max="3590" width="9.7109375" style="1178" customWidth="1"/>
    <col min="3591" max="3591" width="10.7109375" style="1178" customWidth="1"/>
    <col min="3592" max="3593" width="9.42578125" style="1178" customWidth="1"/>
    <col min="3594" max="3594" width="10.140625" style="1178" customWidth="1"/>
    <col min="3595" max="3595" width="9.140625" style="1178"/>
    <col min="3596" max="3596" width="9.140625" style="1178" customWidth="1"/>
    <col min="3597" max="3597" width="8.5703125" style="1178" customWidth="1"/>
    <col min="3598" max="3598" width="8.7109375" style="1178" customWidth="1"/>
    <col min="3599" max="3841" width="9.140625" style="1178"/>
    <col min="3842" max="3842" width="9.42578125" style="1178" customWidth="1"/>
    <col min="3843" max="3843" width="9" style="1178" customWidth="1"/>
    <col min="3844" max="3844" width="9.140625" style="1178"/>
    <col min="3845" max="3845" width="9" style="1178" customWidth="1"/>
    <col min="3846" max="3846" width="9.7109375" style="1178" customWidth="1"/>
    <col min="3847" max="3847" width="10.7109375" style="1178" customWidth="1"/>
    <col min="3848" max="3849" width="9.42578125" style="1178" customWidth="1"/>
    <col min="3850" max="3850" width="10.140625" style="1178" customWidth="1"/>
    <col min="3851" max="3851" width="9.140625" style="1178"/>
    <col min="3852" max="3852" width="9.140625" style="1178" customWidth="1"/>
    <col min="3853" max="3853" width="8.5703125" style="1178" customWidth="1"/>
    <col min="3854" max="3854" width="8.7109375" style="1178" customWidth="1"/>
    <col min="3855" max="4097" width="9.140625" style="1178"/>
    <col min="4098" max="4098" width="9.42578125" style="1178" customWidth="1"/>
    <col min="4099" max="4099" width="9" style="1178" customWidth="1"/>
    <col min="4100" max="4100" width="9.140625" style="1178"/>
    <col min="4101" max="4101" width="9" style="1178" customWidth="1"/>
    <col min="4102" max="4102" width="9.7109375" style="1178" customWidth="1"/>
    <col min="4103" max="4103" width="10.7109375" style="1178" customWidth="1"/>
    <col min="4104" max="4105" width="9.42578125" style="1178" customWidth="1"/>
    <col min="4106" max="4106" width="10.140625" style="1178" customWidth="1"/>
    <col min="4107" max="4107" width="9.140625" style="1178"/>
    <col min="4108" max="4108" width="9.140625" style="1178" customWidth="1"/>
    <col min="4109" max="4109" width="8.5703125" style="1178" customWidth="1"/>
    <col min="4110" max="4110" width="8.7109375" style="1178" customWidth="1"/>
    <col min="4111" max="4353" width="9.140625" style="1178"/>
    <col min="4354" max="4354" width="9.42578125" style="1178" customWidth="1"/>
    <col min="4355" max="4355" width="9" style="1178" customWidth="1"/>
    <col min="4356" max="4356" width="9.140625" style="1178"/>
    <col min="4357" max="4357" width="9" style="1178" customWidth="1"/>
    <col min="4358" max="4358" width="9.7109375" style="1178" customWidth="1"/>
    <col min="4359" max="4359" width="10.7109375" style="1178" customWidth="1"/>
    <col min="4360" max="4361" width="9.42578125" style="1178" customWidth="1"/>
    <col min="4362" max="4362" width="10.140625" style="1178" customWidth="1"/>
    <col min="4363" max="4363" width="9.140625" style="1178"/>
    <col min="4364" max="4364" width="9.140625" style="1178" customWidth="1"/>
    <col min="4365" max="4365" width="8.5703125" style="1178" customWidth="1"/>
    <col min="4366" max="4366" width="8.7109375" style="1178" customWidth="1"/>
    <col min="4367" max="4609" width="9.140625" style="1178"/>
    <col min="4610" max="4610" width="9.42578125" style="1178" customWidth="1"/>
    <col min="4611" max="4611" width="9" style="1178" customWidth="1"/>
    <col min="4612" max="4612" width="9.140625" style="1178"/>
    <col min="4613" max="4613" width="9" style="1178" customWidth="1"/>
    <col min="4614" max="4614" width="9.7109375" style="1178" customWidth="1"/>
    <col min="4615" max="4615" width="10.7109375" style="1178" customWidth="1"/>
    <col min="4616" max="4617" width="9.42578125" style="1178" customWidth="1"/>
    <col min="4618" max="4618" width="10.140625" style="1178" customWidth="1"/>
    <col min="4619" max="4619" width="9.140625" style="1178"/>
    <col min="4620" max="4620" width="9.140625" style="1178" customWidth="1"/>
    <col min="4621" max="4621" width="8.5703125" style="1178" customWidth="1"/>
    <col min="4622" max="4622" width="8.7109375" style="1178" customWidth="1"/>
    <col min="4623" max="4865" width="9.140625" style="1178"/>
    <col min="4866" max="4866" width="9.42578125" style="1178" customWidth="1"/>
    <col min="4867" max="4867" width="9" style="1178" customWidth="1"/>
    <col min="4868" max="4868" width="9.140625" style="1178"/>
    <col min="4869" max="4869" width="9" style="1178" customWidth="1"/>
    <col min="4870" max="4870" width="9.7109375" style="1178" customWidth="1"/>
    <col min="4871" max="4871" width="10.7109375" style="1178" customWidth="1"/>
    <col min="4872" max="4873" width="9.42578125" style="1178" customWidth="1"/>
    <col min="4874" max="4874" width="10.140625" style="1178" customWidth="1"/>
    <col min="4875" max="4875" width="9.140625" style="1178"/>
    <col min="4876" max="4876" width="9.140625" style="1178" customWidth="1"/>
    <col min="4877" max="4877" width="8.5703125" style="1178" customWidth="1"/>
    <col min="4878" max="4878" width="8.7109375" style="1178" customWidth="1"/>
    <col min="4879" max="5121" width="9.140625" style="1178"/>
    <col min="5122" max="5122" width="9.42578125" style="1178" customWidth="1"/>
    <col min="5123" max="5123" width="9" style="1178" customWidth="1"/>
    <col min="5124" max="5124" width="9.140625" style="1178"/>
    <col min="5125" max="5125" width="9" style="1178" customWidth="1"/>
    <col min="5126" max="5126" width="9.7109375" style="1178" customWidth="1"/>
    <col min="5127" max="5127" width="10.7109375" style="1178" customWidth="1"/>
    <col min="5128" max="5129" width="9.42578125" style="1178" customWidth="1"/>
    <col min="5130" max="5130" width="10.140625" style="1178" customWidth="1"/>
    <col min="5131" max="5131" width="9.140625" style="1178"/>
    <col min="5132" max="5132" width="9.140625" style="1178" customWidth="1"/>
    <col min="5133" max="5133" width="8.5703125" style="1178" customWidth="1"/>
    <col min="5134" max="5134" width="8.7109375" style="1178" customWidth="1"/>
    <col min="5135" max="5377" width="9.140625" style="1178"/>
    <col min="5378" max="5378" width="9.42578125" style="1178" customWidth="1"/>
    <col min="5379" max="5379" width="9" style="1178" customWidth="1"/>
    <col min="5380" max="5380" width="9.140625" style="1178"/>
    <col min="5381" max="5381" width="9" style="1178" customWidth="1"/>
    <col min="5382" max="5382" width="9.7109375" style="1178" customWidth="1"/>
    <col min="5383" max="5383" width="10.7109375" style="1178" customWidth="1"/>
    <col min="5384" max="5385" width="9.42578125" style="1178" customWidth="1"/>
    <col min="5386" max="5386" width="10.140625" style="1178" customWidth="1"/>
    <col min="5387" max="5387" width="9.140625" style="1178"/>
    <col min="5388" max="5388" width="9.140625" style="1178" customWidth="1"/>
    <col min="5389" max="5389" width="8.5703125" style="1178" customWidth="1"/>
    <col min="5390" max="5390" width="8.7109375" style="1178" customWidth="1"/>
    <col min="5391" max="5633" width="9.140625" style="1178"/>
    <col min="5634" max="5634" width="9.42578125" style="1178" customWidth="1"/>
    <col min="5635" max="5635" width="9" style="1178" customWidth="1"/>
    <col min="5636" max="5636" width="9.140625" style="1178"/>
    <col min="5637" max="5637" width="9" style="1178" customWidth="1"/>
    <col min="5638" max="5638" width="9.7109375" style="1178" customWidth="1"/>
    <col min="5639" max="5639" width="10.7109375" style="1178" customWidth="1"/>
    <col min="5640" max="5641" width="9.42578125" style="1178" customWidth="1"/>
    <col min="5642" max="5642" width="10.140625" style="1178" customWidth="1"/>
    <col min="5643" max="5643" width="9.140625" style="1178"/>
    <col min="5644" max="5644" width="9.140625" style="1178" customWidth="1"/>
    <col min="5645" max="5645" width="8.5703125" style="1178" customWidth="1"/>
    <col min="5646" max="5646" width="8.7109375" style="1178" customWidth="1"/>
    <col min="5647" max="5889" width="9.140625" style="1178"/>
    <col min="5890" max="5890" width="9.42578125" style="1178" customWidth="1"/>
    <col min="5891" max="5891" width="9" style="1178" customWidth="1"/>
    <col min="5892" max="5892" width="9.140625" style="1178"/>
    <col min="5893" max="5893" width="9" style="1178" customWidth="1"/>
    <col min="5894" max="5894" width="9.7109375" style="1178" customWidth="1"/>
    <col min="5895" max="5895" width="10.7109375" style="1178" customWidth="1"/>
    <col min="5896" max="5897" width="9.42578125" style="1178" customWidth="1"/>
    <col min="5898" max="5898" width="10.140625" style="1178" customWidth="1"/>
    <col min="5899" max="5899" width="9.140625" style="1178"/>
    <col min="5900" max="5900" width="9.140625" style="1178" customWidth="1"/>
    <col min="5901" max="5901" width="8.5703125" style="1178" customWidth="1"/>
    <col min="5902" max="5902" width="8.7109375" style="1178" customWidth="1"/>
    <col min="5903" max="6145" width="9.140625" style="1178"/>
    <col min="6146" max="6146" width="9.42578125" style="1178" customWidth="1"/>
    <col min="6147" max="6147" width="9" style="1178" customWidth="1"/>
    <col min="6148" max="6148" width="9.140625" style="1178"/>
    <col min="6149" max="6149" width="9" style="1178" customWidth="1"/>
    <col min="6150" max="6150" width="9.7109375" style="1178" customWidth="1"/>
    <col min="6151" max="6151" width="10.7109375" style="1178" customWidth="1"/>
    <col min="6152" max="6153" width="9.42578125" style="1178" customWidth="1"/>
    <col min="6154" max="6154" width="10.140625" style="1178" customWidth="1"/>
    <col min="6155" max="6155" width="9.140625" style="1178"/>
    <col min="6156" max="6156" width="9.140625" style="1178" customWidth="1"/>
    <col min="6157" max="6157" width="8.5703125" style="1178" customWidth="1"/>
    <col min="6158" max="6158" width="8.7109375" style="1178" customWidth="1"/>
    <col min="6159" max="6401" width="9.140625" style="1178"/>
    <col min="6402" max="6402" width="9.42578125" style="1178" customWidth="1"/>
    <col min="6403" max="6403" width="9" style="1178" customWidth="1"/>
    <col min="6404" max="6404" width="9.140625" style="1178"/>
    <col min="6405" max="6405" width="9" style="1178" customWidth="1"/>
    <col min="6406" max="6406" width="9.7109375" style="1178" customWidth="1"/>
    <col min="6407" max="6407" width="10.7109375" style="1178" customWidth="1"/>
    <col min="6408" max="6409" width="9.42578125" style="1178" customWidth="1"/>
    <col min="6410" max="6410" width="10.140625" style="1178" customWidth="1"/>
    <col min="6411" max="6411" width="9.140625" style="1178"/>
    <col min="6412" max="6412" width="9.140625" style="1178" customWidth="1"/>
    <col min="6413" max="6413" width="8.5703125" style="1178" customWidth="1"/>
    <col min="6414" max="6414" width="8.7109375" style="1178" customWidth="1"/>
    <col min="6415" max="6657" width="9.140625" style="1178"/>
    <col min="6658" max="6658" width="9.42578125" style="1178" customWidth="1"/>
    <col min="6659" max="6659" width="9" style="1178" customWidth="1"/>
    <col min="6660" max="6660" width="9.140625" style="1178"/>
    <col min="6661" max="6661" width="9" style="1178" customWidth="1"/>
    <col min="6662" max="6662" width="9.7109375" style="1178" customWidth="1"/>
    <col min="6663" max="6663" width="10.7109375" style="1178" customWidth="1"/>
    <col min="6664" max="6665" width="9.42578125" style="1178" customWidth="1"/>
    <col min="6666" max="6666" width="10.140625" style="1178" customWidth="1"/>
    <col min="6667" max="6667" width="9.140625" style="1178"/>
    <col min="6668" max="6668" width="9.140625" style="1178" customWidth="1"/>
    <col min="6669" max="6669" width="8.5703125" style="1178" customWidth="1"/>
    <col min="6670" max="6670" width="8.7109375" style="1178" customWidth="1"/>
    <col min="6671" max="6913" width="9.140625" style="1178"/>
    <col min="6914" max="6914" width="9.42578125" style="1178" customWidth="1"/>
    <col min="6915" max="6915" width="9" style="1178" customWidth="1"/>
    <col min="6916" max="6916" width="9.140625" style="1178"/>
    <col min="6917" max="6917" width="9" style="1178" customWidth="1"/>
    <col min="6918" max="6918" width="9.7109375" style="1178" customWidth="1"/>
    <col min="6919" max="6919" width="10.7109375" style="1178" customWidth="1"/>
    <col min="6920" max="6921" width="9.42578125" style="1178" customWidth="1"/>
    <col min="6922" max="6922" width="10.140625" style="1178" customWidth="1"/>
    <col min="6923" max="6923" width="9.140625" style="1178"/>
    <col min="6924" max="6924" width="9.140625" style="1178" customWidth="1"/>
    <col min="6925" max="6925" width="8.5703125" style="1178" customWidth="1"/>
    <col min="6926" max="6926" width="8.7109375" style="1178" customWidth="1"/>
    <col min="6927" max="7169" width="9.140625" style="1178"/>
    <col min="7170" max="7170" width="9.42578125" style="1178" customWidth="1"/>
    <col min="7171" max="7171" width="9" style="1178" customWidth="1"/>
    <col min="7172" max="7172" width="9.140625" style="1178"/>
    <col min="7173" max="7173" width="9" style="1178" customWidth="1"/>
    <col min="7174" max="7174" width="9.7109375" style="1178" customWidth="1"/>
    <col min="7175" max="7175" width="10.7109375" style="1178" customWidth="1"/>
    <col min="7176" max="7177" width="9.42578125" style="1178" customWidth="1"/>
    <col min="7178" max="7178" width="10.140625" style="1178" customWidth="1"/>
    <col min="7179" max="7179" width="9.140625" style="1178"/>
    <col min="7180" max="7180" width="9.140625" style="1178" customWidth="1"/>
    <col min="7181" max="7181" width="8.5703125" style="1178" customWidth="1"/>
    <col min="7182" max="7182" width="8.7109375" style="1178" customWidth="1"/>
    <col min="7183" max="7425" width="9.140625" style="1178"/>
    <col min="7426" max="7426" width="9.42578125" style="1178" customWidth="1"/>
    <col min="7427" max="7427" width="9" style="1178" customWidth="1"/>
    <col min="7428" max="7428" width="9.140625" style="1178"/>
    <col min="7429" max="7429" width="9" style="1178" customWidth="1"/>
    <col min="7430" max="7430" width="9.7109375" style="1178" customWidth="1"/>
    <col min="7431" max="7431" width="10.7109375" style="1178" customWidth="1"/>
    <col min="7432" max="7433" width="9.42578125" style="1178" customWidth="1"/>
    <col min="7434" max="7434" width="10.140625" style="1178" customWidth="1"/>
    <col min="7435" max="7435" width="9.140625" style="1178"/>
    <col min="7436" max="7436" width="9.140625" style="1178" customWidth="1"/>
    <col min="7437" max="7437" width="8.5703125" style="1178" customWidth="1"/>
    <col min="7438" max="7438" width="8.7109375" style="1178" customWidth="1"/>
    <col min="7439" max="7681" width="9.140625" style="1178"/>
    <col min="7682" max="7682" width="9.42578125" style="1178" customWidth="1"/>
    <col min="7683" max="7683" width="9" style="1178" customWidth="1"/>
    <col min="7684" max="7684" width="9.140625" style="1178"/>
    <col min="7685" max="7685" width="9" style="1178" customWidth="1"/>
    <col min="7686" max="7686" width="9.7109375" style="1178" customWidth="1"/>
    <col min="7687" max="7687" width="10.7109375" style="1178" customWidth="1"/>
    <col min="7688" max="7689" width="9.42578125" style="1178" customWidth="1"/>
    <col min="7690" max="7690" width="10.140625" style="1178" customWidth="1"/>
    <col min="7691" max="7691" width="9.140625" style="1178"/>
    <col min="7692" max="7692" width="9.140625" style="1178" customWidth="1"/>
    <col min="7693" max="7693" width="8.5703125" style="1178" customWidth="1"/>
    <col min="7694" max="7694" width="8.7109375" style="1178" customWidth="1"/>
    <col min="7695" max="7937" width="9.140625" style="1178"/>
    <col min="7938" max="7938" width="9.42578125" style="1178" customWidth="1"/>
    <col min="7939" max="7939" width="9" style="1178" customWidth="1"/>
    <col min="7940" max="7940" width="9.140625" style="1178"/>
    <col min="7941" max="7941" width="9" style="1178" customWidth="1"/>
    <col min="7942" max="7942" width="9.7109375" style="1178" customWidth="1"/>
    <col min="7943" max="7943" width="10.7109375" style="1178" customWidth="1"/>
    <col min="7944" max="7945" width="9.42578125" style="1178" customWidth="1"/>
    <col min="7946" max="7946" width="10.140625" style="1178" customWidth="1"/>
    <col min="7947" max="7947" width="9.140625" style="1178"/>
    <col min="7948" max="7948" width="9.140625" style="1178" customWidth="1"/>
    <col min="7949" max="7949" width="8.5703125" style="1178" customWidth="1"/>
    <col min="7950" max="7950" width="8.7109375" style="1178" customWidth="1"/>
    <col min="7951" max="8193" width="9.140625" style="1178"/>
    <col min="8194" max="8194" width="9.42578125" style="1178" customWidth="1"/>
    <col min="8195" max="8195" width="9" style="1178" customWidth="1"/>
    <col min="8196" max="8196" width="9.140625" style="1178"/>
    <col min="8197" max="8197" width="9" style="1178" customWidth="1"/>
    <col min="8198" max="8198" width="9.7109375" style="1178" customWidth="1"/>
    <col min="8199" max="8199" width="10.7109375" style="1178" customWidth="1"/>
    <col min="8200" max="8201" width="9.42578125" style="1178" customWidth="1"/>
    <col min="8202" max="8202" width="10.140625" style="1178" customWidth="1"/>
    <col min="8203" max="8203" width="9.140625" style="1178"/>
    <col min="8204" max="8204" width="9.140625" style="1178" customWidth="1"/>
    <col min="8205" max="8205" width="8.5703125" style="1178" customWidth="1"/>
    <col min="8206" max="8206" width="8.7109375" style="1178" customWidth="1"/>
    <col min="8207" max="8449" width="9.140625" style="1178"/>
    <col min="8450" max="8450" width="9.42578125" style="1178" customWidth="1"/>
    <col min="8451" max="8451" width="9" style="1178" customWidth="1"/>
    <col min="8452" max="8452" width="9.140625" style="1178"/>
    <col min="8453" max="8453" width="9" style="1178" customWidth="1"/>
    <col min="8454" max="8454" width="9.7109375" style="1178" customWidth="1"/>
    <col min="8455" max="8455" width="10.7109375" style="1178" customWidth="1"/>
    <col min="8456" max="8457" width="9.42578125" style="1178" customWidth="1"/>
    <col min="8458" max="8458" width="10.140625" style="1178" customWidth="1"/>
    <col min="8459" max="8459" width="9.140625" style="1178"/>
    <col min="8460" max="8460" width="9.140625" style="1178" customWidth="1"/>
    <col min="8461" max="8461" width="8.5703125" style="1178" customWidth="1"/>
    <col min="8462" max="8462" width="8.7109375" style="1178" customWidth="1"/>
    <col min="8463" max="8705" width="9.140625" style="1178"/>
    <col min="8706" max="8706" width="9.42578125" style="1178" customWidth="1"/>
    <col min="8707" max="8707" width="9" style="1178" customWidth="1"/>
    <col min="8708" max="8708" width="9.140625" style="1178"/>
    <col min="8709" max="8709" width="9" style="1178" customWidth="1"/>
    <col min="8710" max="8710" width="9.7109375" style="1178" customWidth="1"/>
    <col min="8711" max="8711" width="10.7109375" style="1178" customWidth="1"/>
    <col min="8712" max="8713" width="9.42578125" style="1178" customWidth="1"/>
    <col min="8714" max="8714" width="10.140625" style="1178" customWidth="1"/>
    <col min="8715" max="8715" width="9.140625" style="1178"/>
    <col min="8716" max="8716" width="9.140625" style="1178" customWidth="1"/>
    <col min="8717" max="8717" width="8.5703125" style="1178" customWidth="1"/>
    <col min="8718" max="8718" width="8.7109375" style="1178" customWidth="1"/>
    <col min="8719" max="8961" width="9.140625" style="1178"/>
    <col min="8962" max="8962" width="9.42578125" style="1178" customWidth="1"/>
    <col min="8963" max="8963" width="9" style="1178" customWidth="1"/>
    <col min="8964" max="8964" width="9.140625" style="1178"/>
    <col min="8965" max="8965" width="9" style="1178" customWidth="1"/>
    <col min="8966" max="8966" width="9.7109375" style="1178" customWidth="1"/>
    <col min="8967" max="8967" width="10.7109375" style="1178" customWidth="1"/>
    <col min="8968" max="8969" width="9.42578125" style="1178" customWidth="1"/>
    <col min="8970" max="8970" width="10.140625" style="1178" customWidth="1"/>
    <col min="8971" max="8971" width="9.140625" style="1178"/>
    <col min="8972" max="8972" width="9.140625" style="1178" customWidth="1"/>
    <col min="8973" max="8973" width="8.5703125" style="1178" customWidth="1"/>
    <col min="8974" max="8974" width="8.7109375" style="1178" customWidth="1"/>
    <col min="8975" max="9217" width="9.140625" style="1178"/>
    <col min="9218" max="9218" width="9.42578125" style="1178" customWidth="1"/>
    <col min="9219" max="9219" width="9" style="1178" customWidth="1"/>
    <col min="9220" max="9220" width="9.140625" style="1178"/>
    <col min="9221" max="9221" width="9" style="1178" customWidth="1"/>
    <col min="9222" max="9222" width="9.7109375" style="1178" customWidth="1"/>
    <col min="9223" max="9223" width="10.7109375" style="1178" customWidth="1"/>
    <col min="9224" max="9225" width="9.42578125" style="1178" customWidth="1"/>
    <col min="9226" max="9226" width="10.140625" style="1178" customWidth="1"/>
    <col min="9227" max="9227" width="9.140625" style="1178"/>
    <col min="9228" max="9228" width="9.140625" style="1178" customWidth="1"/>
    <col min="9229" max="9229" width="8.5703125" style="1178" customWidth="1"/>
    <col min="9230" max="9230" width="8.7109375" style="1178" customWidth="1"/>
    <col min="9231" max="9473" width="9.140625" style="1178"/>
    <col min="9474" max="9474" width="9.42578125" style="1178" customWidth="1"/>
    <col min="9475" max="9475" width="9" style="1178" customWidth="1"/>
    <col min="9476" max="9476" width="9.140625" style="1178"/>
    <col min="9477" max="9477" width="9" style="1178" customWidth="1"/>
    <col min="9478" max="9478" width="9.7109375" style="1178" customWidth="1"/>
    <col min="9479" max="9479" width="10.7109375" style="1178" customWidth="1"/>
    <col min="9480" max="9481" width="9.42578125" style="1178" customWidth="1"/>
    <col min="9482" max="9482" width="10.140625" style="1178" customWidth="1"/>
    <col min="9483" max="9483" width="9.140625" style="1178"/>
    <col min="9484" max="9484" width="9.140625" style="1178" customWidth="1"/>
    <col min="9485" max="9485" width="8.5703125" style="1178" customWidth="1"/>
    <col min="9486" max="9486" width="8.7109375" style="1178" customWidth="1"/>
    <col min="9487" max="9729" width="9.140625" style="1178"/>
    <col min="9730" max="9730" width="9.42578125" style="1178" customWidth="1"/>
    <col min="9731" max="9731" width="9" style="1178" customWidth="1"/>
    <col min="9732" max="9732" width="9.140625" style="1178"/>
    <col min="9733" max="9733" width="9" style="1178" customWidth="1"/>
    <col min="9734" max="9734" width="9.7109375" style="1178" customWidth="1"/>
    <col min="9735" max="9735" width="10.7109375" style="1178" customWidth="1"/>
    <col min="9736" max="9737" width="9.42578125" style="1178" customWidth="1"/>
    <col min="9738" max="9738" width="10.140625" style="1178" customWidth="1"/>
    <col min="9739" max="9739" width="9.140625" style="1178"/>
    <col min="9740" max="9740" width="9.140625" style="1178" customWidth="1"/>
    <col min="9741" max="9741" width="8.5703125" style="1178" customWidth="1"/>
    <col min="9742" max="9742" width="8.7109375" style="1178" customWidth="1"/>
    <col min="9743" max="9985" width="9.140625" style="1178"/>
    <col min="9986" max="9986" width="9.42578125" style="1178" customWidth="1"/>
    <col min="9987" max="9987" width="9" style="1178" customWidth="1"/>
    <col min="9988" max="9988" width="9.140625" style="1178"/>
    <col min="9989" max="9989" width="9" style="1178" customWidth="1"/>
    <col min="9990" max="9990" width="9.7109375" style="1178" customWidth="1"/>
    <col min="9991" max="9991" width="10.7109375" style="1178" customWidth="1"/>
    <col min="9992" max="9993" width="9.42578125" style="1178" customWidth="1"/>
    <col min="9994" max="9994" width="10.140625" style="1178" customWidth="1"/>
    <col min="9995" max="9995" width="9.140625" style="1178"/>
    <col min="9996" max="9996" width="9.140625" style="1178" customWidth="1"/>
    <col min="9997" max="9997" width="8.5703125" style="1178" customWidth="1"/>
    <col min="9998" max="9998" width="8.7109375" style="1178" customWidth="1"/>
    <col min="9999" max="10241" width="9.140625" style="1178"/>
    <col min="10242" max="10242" width="9.42578125" style="1178" customWidth="1"/>
    <col min="10243" max="10243" width="9" style="1178" customWidth="1"/>
    <col min="10244" max="10244" width="9.140625" style="1178"/>
    <col min="10245" max="10245" width="9" style="1178" customWidth="1"/>
    <col min="10246" max="10246" width="9.7109375" style="1178" customWidth="1"/>
    <col min="10247" max="10247" width="10.7109375" style="1178" customWidth="1"/>
    <col min="10248" max="10249" width="9.42578125" style="1178" customWidth="1"/>
    <col min="10250" max="10250" width="10.140625" style="1178" customWidth="1"/>
    <col min="10251" max="10251" width="9.140625" style="1178"/>
    <col min="10252" max="10252" width="9.140625" style="1178" customWidth="1"/>
    <col min="10253" max="10253" width="8.5703125" style="1178" customWidth="1"/>
    <col min="10254" max="10254" width="8.7109375" style="1178" customWidth="1"/>
    <col min="10255" max="10497" width="9.140625" style="1178"/>
    <col min="10498" max="10498" width="9.42578125" style="1178" customWidth="1"/>
    <col min="10499" max="10499" width="9" style="1178" customWidth="1"/>
    <col min="10500" max="10500" width="9.140625" style="1178"/>
    <col min="10501" max="10501" width="9" style="1178" customWidth="1"/>
    <col min="10502" max="10502" width="9.7109375" style="1178" customWidth="1"/>
    <col min="10503" max="10503" width="10.7109375" style="1178" customWidth="1"/>
    <col min="10504" max="10505" width="9.42578125" style="1178" customWidth="1"/>
    <col min="10506" max="10506" width="10.140625" style="1178" customWidth="1"/>
    <col min="10507" max="10507" width="9.140625" style="1178"/>
    <col min="10508" max="10508" width="9.140625" style="1178" customWidth="1"/>
    <col min="10509" max="10509" width="8.5703125" style="1178" customWidth="1"/>
    <col min="10510" max="10510" width="8.7109375" style="1178" customWidth="1"/>
    <col min="10511" max="10753" width="9.140625" style="1178"/>
    <col min="10754" max="10754" width="9.42578125" style="1178" customWidth="1"/>
    <col min="10755" max="10755" width="9" style="1178" customWidth="1"/>
    <col min="10756" max="10756" width="9.140625" style="1178"/>
    <col min="10757" max="10757" width="9" style="1178" customWidth="1"/>
    <col min="10758" max="10758" width="9.7109375" style="1178" customWidth="1"/>
    <col min="10759" max="10759" width="10.7109375" style="1178" customWidth="1"/>
    <col min="10760" max="10761" width="9.42578125" style="1178" customWidth="1"/>
    <col min="10762" max="10762" width="10.140625" style="1178" customWidth="1"/>
    <col min="10763" max="10763" width="9.140625" style="1178"/>
    <col min="10764" max="10764" width="9.140625" style="1178" customWidth="1"/>
    <col min="10765" max="10765" width="8.5703125" style="1178" customWidth="1"/>
    <col min="10766" max="10766" width="8.7109375" style="1178" customWidth="1"/>
    <col min="10767" max="11009" width="9.140625" style="1178"/>
    <col min="11010" max="11010" width="9.42578125" style="1178" customWidth="1"/>
    <col min="11011" max="11011" width="9" style="1178" customWidth="1"/>
    <col min="11012" max="11012" width="9.140625" style="1178"/>
    <col min="11013" max="11013" width="9" style="1178" customWidth="1"/>
    <col min="11014" max="11014" width="9.7109375" style="1178" customWidth="1"/>
    <col min="11015" max="11015" width="10.7109375" style="1178" customWidth="1"/>
    <col min="11016" max="11017" width="9.42578125" style="1178" customWidth="1"/>
    <col min="11018" max="11018" width="10.140625" style="1178" customWidth="1"/>
    <col min="11019" max="11019" width="9.140625" style="1178"/>
    <col min="11020" max="11020" width="9.140625" style="1178" customWidth="1"/>
    <col min="11021" max="11021" width="8.5703125" style="1178" customWidth="1"/>
    <col min="11022" max="11022" width="8.7109375" style="1178" customWidth="1"/>
    <col min="11023" max="11265" width="9.140625" style="1178"/>
    <col min="11266" max="11266" width="9.42578125" style="1178" customWidth="1"/>
    <col min="11267" max="11267" width="9" style="1178" customWidth="1"/>
    <col min="11268" max="11268" width="9.140625" style="1178"/>
    <col min="11269" max="11269" width="9" style="1178" customWidth="1"/>
    <col min="11270" max="11270" width="9.7109375" style="1178" customWidth="1"/>
    <col min="11271" max="11271" width="10.7109375" style="1178" customWidth="1"/>
    <col min="11272" max="11273" width="9.42578125" style="1178" customWidth="1"/>
    <col min="11274" max="11274" width="10.140625" style="1178" customWidth="1"/>
    <col min="11275" max="11275" width="9.140625" style="1178"/>
    <col min="11276" max="11276" width="9.140625" style="1178" customWidth="1"/>
    <col min="11277" max="11277" width="8.5703125" style="1178" customWidth="1"/>
    <col min="11278" max="11278" width="8.7109375" style="1178" customWidth="1"/>
    <col min="11279" max="11521" width="9.140625" style="1178"/>
    <col min="11522" max="11522" width="9.42578125" style="1178" customWidth="1"/>
    <col min="11523" max="11523" width="9" style="1178" customWidth="1"/>
    <col min="11524" max="11524" width="9.140625" style="1178"/>
    <col min="11525" max="11525" width="9" style="1178" customWidth="1"/>
    <col min="11526" max="11526" width="9.7109375" style="1178" customWidth="1"/>
    <col min="11527" max="11527" width="10.7109375" style="1178" customWidth="1"/>
    <col min="11528" max="11529" width="9.42578125" style="1178" customWidth="1"/>
    <col min="11530" max="11530" width="10.140625" style="1178" customWidth="1"/>
    <col min="11531" max="11531" width="9.140625" style="1178"/>
    <col min="11532" max="11532" width="9.140625" style="1178" customWidth="1"/>
    <col min="11533" max="11533" width="8.5703125" style="1178" customWidth="1"/>
    <col min="11534" max="11534" width="8.7109375" style="1178" customWidth="1"/>
    <col min="11535" max="11777" width="9.140625" style="1178"/>
    <col min="11778" max="11778" width="9.42578125" style="1178" customWidth="1"/>
    <col min="11779" max="11779" width="9" style="1178" customWidth="1"/>
    <col min="11780" max="11780" width="9.140625" style="1178"/>
    <col min="11781" max="11781" width="9" style="1178" customWidth="1"/>
    <col min="11782" max="11782" width="9.7109375" style="1178" customWidth="1"/>
    <col min="11783" max="11783" width="10.7109375" style="1178" customWidth="1"/>
    <col min="11784" max="11785" width="9.42578125" style="1178" customWidth="1"/>
    <col min="11786" max="11786" width="10.140625" style="1178" customWidth="1"/>
    <col min="11787" max="11787" width="9.140625" style="1178"/>
    <col min="11788" max="11788" width="9.140625" style="1178" customWidth="1"/>
    <col min="11789" max="11789" width="8.5703125" style="1178" customWidth="1"/>
    <col min="11790" max="11790" width="8.7109375" style="1178" customWidth="1"/>
    <col min="11791" max="12033" width="9.140625" style="1178"/>
    <col min="12034" max="12034" width="9.42578125" style="1178" customWidth="1"/>
    <col min="12035" max="12035" width="9" style="1178" customWidth="1"/>
    <col min="12036" max="12036" width="9.140625" style="1178"/>
    <col min="12037" max="12037" width="9" style="1178" customWidth="1"/>
    <col min="12038" max="12038" width="9.7109375" style="1178" customWidth="1"/>
    <col min="12039" max="12039" width="10.7109375" style="1178" customWidth="1"/>
    <col min="12040" max="12041" width="9.42578125" style="1178" customWidth="1"/>
    <col min="12042" max="12042" width="10.140625" style="1178" customWidth="1"/>
    <col min="12043" max="12043" width="9.140625" style="1178"/>
    <col min="12044" max="12044" width="9.140625" style="1178" customWidth="1"/>
    <col min="12045" max="12045" width="8.5703125" style="1178" customWidth="1"/>
    <col min="12046" max="12046" width="8.7109375" style="1178" customWidth="1"/>
    <col min="12047" max="12289" width="9.140625" style="1178"/>
    <col min="12290" max="12290" width="9.42578125" style="1178" customWidth="1"/>
    <col min="12291" max="12291" width="9" style="1178" customWidth="1"/>
    <col min="12292" max="12292" width="9.140625" style="1178"/>
    <col min="12293" max="12293" width="9" style="1178" customWidth="1"/>
    <col min="12294" max="12294" width="9.7109375" style="1178" customWidth="1"/>
    <col min="12295" max="12295" width="10.7109375" style="1178" customWidth="1"/>
    <col min="12296" max="12297" width="9.42578125" style="1178" customWidth="1"/>
    <col min="12298" max="12298" width="10.140625" style="1178" customWidth="1"/>
    <col min="12299" max="12299" width="9.140625" style="1178"/>
    <col min="12300" max="12300" width="9.140625" style="1178" customWidth="1"/>
    <col min="12301" max="12301" width="8.5703125" style="1178" customWidth="1"/>
    <col min="12302" max="12302" width="8.7109375" style="1178" customWidth="1"/>
    <col min="12303" max="12545" width="9.140625" style="1178"/>
    <col min="12546" max="12546" width="9.42578125" style="1178" customWidth="1"/>
    <col min="12547" max="12547" width="9" style="1178" customWidth="1"/>
    <col min="12548" max="12548" width="9.140625" style="1178"/>
    <col min="12549" max="12549" width="9" style="1178" customWidth="1"/>
    <col min="12550" max="12550" width="9.7109375" style="1178" customWidth="1"/>
    <col min="12551" max="12551" width="10.7109375" style="1178" customWidth="1"/>
    <col min="12552" max="12553" width="9.42578125" style="1178" customWidth="1"/>
    <col min="12554" max="12554" width="10.140625" style="1178" customWidth="1"/>
    <col min="12555" max="12555" width="9.140625" style="1178"/>
    <col min="12556" max="12556" width="9.140625" style="1178" customWidth="1"/>
    <col min="12557" max="12557" width="8.5703125" style="1178" customWidth="1"/>
    <col min="12558" max="12558" width="8.7109375" style="1178" customWidth="1"/>
    <col min="12559" max="12801" width="9.140625" style="1178"/>
    <col min="12802" max="12802" width="9.42578125" style="1178" customWidth="1"/>
    <col min="12803" max="12803" width="9" style="1178" customWidth="1"/>
    <col min="12804" max="12804" width="9.140625" style="1178"/>
    <col min="12805" max="12805" width="9" style="1178" customWidth="1"/>
    <col min="12806" max="12806" width="9.7109375" style="1178" customWidth="1"/>
    <col min="12807" max="12807" width="10.7109375" style="1178" customWidth="1"/>
    <col min="12808" max="12809" width="9.42578125" style="1178" customWidth="1"/>
    <col min="12810" max="12810" width="10.140625" style="1178" customWidth="1"/>
    <col min="12811" max="12811" width="9.140625" style="1178"/>
    <col min="12812" max="12812" width="9.140625" style="1178" customWidth="1"/>
    <col min="12813" max="12813" width="8.5703125" style="1178" customWidth="1"/>
    <col min="12814" max="12814" width="8.7109375" style="1178" customWidth="1"/>
    <col min="12815" max="13057" width="9.140625" style="1178"/>
    <col min="13058" max="13058" width="9.42578125" style="1178" customWidth="1"/>
    <col min="13059" max="13059" width="9" style="1178" customWidth="1"/>
    <col min="13060" max="13060" width="9.140625" style="1178"/>
    <col min="13061" max="13061" width="9" style="1178" customWidth="1"/>
    <col min="13062" max="13062" width="9.7109375" style="1178" customWidth="1"/>
    <col min="13063" max="13063" width="10.7109375" style="1178" customWidth="1"/>
    <col min="13064" max="13065" width="9.42578125" style="1178" customWidth="1"/>
    <col min="13066" max="13066" width="10.140625" style="1178" customWidth="1"/>
    <col min="13067" max="13067" width="9.140625" style="1178"/>
    <col min="13068" max="13068" width="9.140625" style="1178" customWidth="1"/>
    <col min="13069" max="13069" width="8.5703125" style="1178" customWidth="1"/>
    <col min="13070" max="13070" width="8.7109375" style="1178" customWidth="1"/>
    <col min="13071" max="13313" width="9.140625" style="1178"/>
    <col min="13314" max="13314" width="9.42578125" style="1178" customWidth="1"/>
    <col min="13315" max="13315" width="9" style="1178" customWidth="1"/>
    <col min="13316" max="13316" width="9.140625" style="1178"/>
    <col min="13317" max="13317" width="9" style="1178" customWidth="1"/>
    <col min="13318" max="13318" width="9.7109375" style="1178" customWidth="1"/>
    <col min="13319" max="13319" width="10.7109375" style="1178" customWidth="1"/>
    <col min="13320" max="13321" width="9.42578125" style="1178" customWidth="1"/>
    <col min="13322" max="13322" width="10.140625" style="1178" customWidth="1"/>
    <col min="13323" max="13323" width="9.140625" style="1178"/>
    <col min="13324" max="13324" width="9.140625" style="1178" customWidth="1"/>
    <col min="13325" max="13325" width="8.5703125" style="1178" customWidth="1"/>
    <col min="13326" max="13326" width="8.7109375" style="1178" customWidth="1"/>
    <col min="13327" max="13569" width="9.140625" style="1178"/>
    <col min="13570" max="13570" width="9.42578125" style="1178" customWidth="1"/>
    <col min="13571" max="13571" width="9" style="1178" customWidth="1"/>
    <col min="13572" max="13572" width="9.140625" style="1178"/>
    <col min="13573" max="13573" width="9" style="1178" customWidth="1"/>
    <col min="13574" max="13574" width="9.7109375" style="1178" customWidth="1"/>
    <col min="13575" max="13575" width="10.7109375" style="1178" customWidth="1"/>
    <col min="13576" max="13577" width="9.42578125" style="1178" customWidth="1"/>
    <col min="13578" max="13578" width="10.140625" style="1178" customWidth="1"/>
    <col min="13579" max="13579" width="9.140625" style="1178"/>
    <col min="13580" max="13580" width="9.140625" style="1178" customWidth="1"/>
    <col min="13581" max="13581" width="8.5703125" style="1178" customWidth="1"/>
    <col min="13582" max="13582" width="8.7109375" style="1178" customWidth="1"/>
    <col min="13583" max="13825" width="9.140625" style="1178"/>
    <col min="13826" max="13826" width="9.42578125" style="1178" customWidth="1"/>
    <col min="13827" max="13827" width="9" style="1178" customWidth="1"/>
    <col min="13828" max="13828" width="9.140625" style="1178"/>
    <col min="13829" max="13829" width="9" style="1178" customWidth="1"/>
    <col min="13830" max="13830" width="9.7109375" style="1178" customWidth="1"/>
    <col min="13831" max="13831" width="10.7109375" style="1178" customWidth="1"/>
    <col min="13832" max="13833" width="9.42578125" style="1178" customWidth="1"/>
    <col min="13834" max="13834" width="10.140625" style="1178" customWidth="1"/>
    <col min="13835" max="13835" width="9.140625" style="1178"/>
    <col min="13836" max="13836" width="9.140625" style="1178" customWidth="1"/>
    <col min="13837" max="13837" width="8.5703125" style="1178" customWidth="1"/>
    <col min="13838" max="13838" width="8.7109375" style="1178" customWidth="1"/>
    <col min="13839" max="14081" width="9.140625" style="1178"/>
    <col min="14082" max="14082" width="9.42578125" style="1178" customWidth="1"/>
    <col min="14083" max="14083" width="9" style="1178" customWidth="1"/>
    <col min="14084" max="14084" width="9.140625" style="1178"/>
    <col min="14085" max="14085" width="9" style="1178" customWidth="1"/>
    <col min="14086" max="14086" width="9.7109375" style="1178" customWidth="1"/>
    <col min="14087" max="14087" width="10.7109375" style="1178" customWidth="1"/>
    <col min="14088" max="14089" width="9.42578125" style="1178" customWidth="1"/>
    <col min="14090" max="14090" width="10.140625" style="1178" customWidth="1"/>
    <col min="14091" max="14091" width="9.140625" style="1178"/>
    <col min="14092" max="14092" width="9.140625" style="1178" customWidth="1"/>
    <col min="14093" max="14093" width="8.5703125" style="1178" customWidth="1"/>
    <col min="14094" max="14094" width="8.7109375" style="1178" customWidth="1"/>
    <col min="14095" max="14337" width="9.140625" style="1178"/>
    <col min="14338" max="14338" width="9.42578125" style="1178" customWidth="1"/>
    <col min="14339" max="14339" width="9" style="1178" customWidth="1"/>
    <col min="14340" max="14340" width="9.140625" style="1178"/>
    <col min="14341" max="14341" width="9" style="1178" customWidth="1"/>
    <col min="14342" max="14342" width="9.7109375" style="1178" customWidth="1"/>
    <col min="14343" max="14343" width="10.7109375" style="1178" customWidth="1"/>
    <col min="14344" max="14345" width="9.42578125" style="1178" customWidth="1"/>
    <col min="14346" max="14346" width="10.140625" style="1178" customWidth="1"/>
    <col min="14347" max="14347" width="9.140625" style="1178"/>
    <col min="14348" max="14348" width="9.140625" style="1178" customWidth="1"/>
    <col min="14349" max="14349" width="8.5703125" style="1178" customWidth="1"/>
    <col min="14350" max="14350" width="8.7109375" style="1178" customWidth="1"/>
    <col min="14351" max="14593" width="9.140625" style="1178"/>
    <col min="14594" max="14594" width="9.42578125" style="1178" customWidth="1"/>
    <col min="14595" max="14595" width="9" style="1178" customWidth="1"/>
    <col min="14596" max="14596" width="9.140625" style="1178"/>
    <col min="14597" max="14597" width="9" style="1178" customWidth="1"/>
    <col min="14598" max="14598" width="9.7109375" style="1178" customWidth="1"/>
    <col min="14599" max="14599" width="10.7109375" style="1178" customWidth="1"/>
    <col min="14600" max="14601" width="9.42578125" style="1178" customWidth="1"/>
    <col min="14602" max="14602" width="10.140625" style="1178" customWidth="1"/>
    <col min="14603" max="14603" width="9.140625" style="1178"/>
    <col min="14604" max="14604" width="9.140625" style="1178" customWidth="1"/>
    <col min="14605" max="14605" width="8.5703125" style="1178" customWidth="1"/>
    <col min="14606" max="14606" width="8.7109375" style="1178" customWidth="1"/>
    <col min="14607" max="14849" width="9.140625" style="1178"/>
    <col min="14850" max="14850" width="9.42578125" style="1178" customWidth="1"/>
    <col min="14851" max="14851" width="9" style="1178" customWidth="1"/>
    <col min="14852" max="14852" width="9.140625" style="1178"/>
    <col min="14853" max="14853" width="9" style="1178" customWidth="1"/>
    <col min="14854" max="14854" width="9.7109375" style="1178" customWidth="1"/>
    <col min="14855" max="14855" width="10.7109375" style="1178" customWidth="1"/>
    <col min="14856" max="14857" width="9.42578125" style="1178" customWidth="1"/>
    <col min="14858" max="14858" width="10.140625" style="1178" customWidth="1"/>
    <col min="14859" max="14859" width="9.140625" style="1178"/>
    <col min="14860" max="14860" width="9.140625" style="1178" customWidth="1"/>
    <col min="14861" max="14861" width="8.5703125" style="1178" customWidth="1"/>
    <col min="14862" max="14862" width="8.7109375" style="1178" customWidth="1"/>
    <col min="14863" max="15105" width="9.140625" style="1178"/>
    <col min="15106" max="15106" width="9.42578125" style="1178" customWidth="1"/>
    <col min="15107" max="15107" width="9" style="1178" customWidth="1"/>
    <col min="15108" max="15108" width="9.140625" style="1178"/>
    <col min="15109" max="15109" width="9" style="1178" customWidth="1"/>
    <col min="15110" max="15110" width="9.7109375" style="1178" customWidth="1"/>
    <col min="15111" max="15111" width="10.7109375" style="1178" customWidth="1"/>
    <col min="15112" max="15113" width="9.42578125" style="1178" customWidth="1"/>
    <col min="15114" max="15114" width="10.140625" style="1178" customWidth="1"/>
    <col min="15115" max="15115" width="9.140625" style="1178"/>
    <col min="15116" max="15116" width="9.140625" style="1178" customWidth="1"/>
    <col min="15117" max="15117" width="8.5703125" style="1178" customWidth="1"/>
    <col min="15118" max="15118" width="8.7109375" style="1178" customWidth="1"/>
    <col min="15119" max="15361" width="9.140625" style="1178"/>
    <col min="15362" max="15362" width="9.42578125" style="1178" customWidth="1"/>
    <col min="15363" max="15363" width="9" style="1178" customWidth="1"/>
    <col min="15364" max="15364" width="9.140625" style="1178"/>
    <col min="15365" max="15365" width="9" style="1178" customWidth="1"/>
    <col min="15366" max="15366" width="9.7109375" style="1178" customWidth="1"/>
    <col min="15367" max="15367" width="10.7109375" style="1178" customWidth="1"/>
    <col min="15368" max="15369" width="9.42578125" style="1178" customWidth="1"/>
    <col min="15370" max="15370" width="10.140625" style="1178" customWidth="1"/>
    <col min="15371" max="15371" width="9.140625" style="1178"/>
    <col min="15372" max="15372" width="9.140625" style="1178" customWidth="1"/>
    <col min="15373" max="15373" width="8.5703125" style="1178" customWidth="1"/>
    <col min="15374" max="15374" width="8.7109375" style="1178" customWidth="1"/>
    <col min="15375" max="15617" width="9.140625" style="1178"/>
    <col min="15618" max="15618" width="9.42578125" style="1178" customWidth="1"/>
    <col min="15619" max="15619" width="9" style="1178" customWidth="1"/>
    <col min="15620" max="15620" width="9.140625" style="1178"/>
    <col min="15621" max="15621" width="9" style="1178" customWidth="1"/>
    <col min="15622" max="15622" width="9.7109375" style="1178" customWidth="1"/>
    <col min="15623" max="15623" width="10.7109375" style="1178" customWidth="1"/>
    <col min="15624" max="15625" width="9.42578125" style="1178" customWidth="1"/>
    <col min="15626" max="15626" width="10.140625" style="1178" customWidth="1"/>
    <col min="15627" max="15627" width="9.140625" style="1178"/>
    <col min="15628" max="15628" width="9.140625" style="1178" customWidth="1"/>
    <col min="15629" max="15629" width="8.5703125" style="1178" customWidth="1"/>
    <col min="15630" max="15630" width="8.7109375" style="1178" customWidth="1"/>
    <col min="15631" max="15873" width="9.140625" style="1178"/>
    <col min="15874" max="15874" width="9.42578125" style="1178" customWidth="1"/>
    <col min="15875" max="15875" width="9" style="1178" customWidth="1"/>
    <col min="15876" max="15876" width="9.140625" style="1178"/>
    <col min="15877" max="15877" width="9" style="1178" customWidth="1"/>
    <col min="15878" max="15878" width="9.7109375" style="1178" customWidth="1"/>
    <col min="15879" max="15879" width="10.7109375" style="1178" customWidth="1"/>
    <col min="15880" max="15881" width="9.42578125" style="1178" customWidth="1"/>
    <col min="15882" max="15882" width="10.140625" style="1178" customWidth="1"/>
    <col min="15883" max="15883" width="9.140625" style="1178"/>
    <col min="15884" max="15884" width="9.140625" style="1178" customWidth="1"/>
    <col min="15885" max="15885" width="8.5703125" style="1178" customWidth="1"/>
    <col min="15886" max="15886" width="8.7109375" style="1178" customWidth="1"/>
    <col min="15887" max="16129" width="9.140625" style="1178"/>
    <col min="16130" max="16130" width="9.42578125" style="1178" customWidth="1"/>
    <col min="16131" max="16131" width="9" style="1178" customWidth="1"/>
    <col min="16132" max="16132" width="9.140625" style="1178"/>
    <col min="16133" max="16133" width="9" style="1178" customWidth="1"/>
    <col min="16134" max="16134" width="9.7109375" style="1178" customWidth="1"/>
    <col min="16135" max="16135" width="10.7109375" style="1178" customWidth="1"/>
    <col min="16136" max="16137" width="9.42578125" style="1178" customWidth="1"/>
    <col min="16138" max="16138" width="10.140625" style="1178" customWidth="1"/>
    <col min="16139" max="16139" width="9.140625" style="1178"/>
    <col min="16140" max="16140" width="9.140625" style="1178" customWidth="1"/>
    <col min="16141" max="16141" width="8.5703125" style="1178" customWidth="1"/>
    <col min="16142" max="16142" width="8.7109375" style="1178" customWidth="1"/>
    <col min="16143" max="16384" width="9.140625" style="1178"/>
  </cols>
  <sheetData>
    <row r="1" spans="1:33" ht="15.75">
      <c r="A1" s="1178" t="s">
        <v>1081</v>
      </c>
      <c r="F1" s="1179"/>
      <c r="G1" s="1180"/>
      <c r="H1" s="1180"/>
      <c r="I1" s="1181"/>
      <c r="J1" s="1238"/>
      <c r="X1" s="1591" t="s">
        <v>1082</v>
      </c>
      <c r="Y1" s="1591"/>
      <c r="Z1" s="1591"/>
      <c r="AA1" s="1591"/>
      <c r="AB1" s="1591"/>
      <c r="AC1" s="1591"/>
      <c r="AD1" s="1591"/>
      <c r="AE1" s="1591"/>
      <c r="AF1" s="1591"/>
      <c r="AG1" s="1591"/>
    </row>
    <row r="2" spans="1:33" ht="15.75">
      <c r="A2" s="1178" t="s">
        <v>1083</v>
      </c>
      <c r="F2" s="1179"/>
      <c r="G2" s="1180"/>
      <c r="H2" s="1182"/>
      <c r="I2" s="1181"/>
      <c r="J2" s="1238"/>
      <c r="X2" s="1591" t="str">
        <f>F2&amp;"'s Affect on "&amp;F1</f>
        <v xml:space="preserve">'s Affect on </v>
      </c>
      <c r="Y2" s="1591"/>
      <c r="Z2" s="1591"/>
      <c r="AA2" s="1591"/>
      <c r="AB2" s="1591"/>
      <c r="AC2" s="1591"/>
      <c r="AD2" s="1591"/>
      <c r="AE2" s="1591"/>
      <c r="AF2" s="1591"/>
      <c r="AG2" s="1591"/>
    </row>
    <row r="3" spans="1:33">
      <c r="A3" s="1178" t="s">
        <v>1394</v>
      </c>
      <c r="F3" s="1179"/>
      <c r="G3" s="1180"/>
      <c r="H3" s="1182"/>
      <c r="I3" s="1181"/>
      <c r="J3" s="1238"/>
      <c r="X3" s="1592" t="str">
        <f>"With Low Level of "&amp;F2&amp;" = "&amp;F3&amp;" and High Level = "&amp;F4</f>
        <v xml:space="preserve">With Low Level of  =  and High Level = </v>
      </c>
      <c r="Y3" s="1592"/>
      <c r="Z3" s="1592"/>
      <c r="AA3" s="1592"/>
      <c r="AB3" s="1592"/>
      <c r="AC3" s="1592"/>
      <c r="AD3" s="1592"/>
      <c r="AE3" s="1592"/>
      <c r="AF3" s="1592"/>
      <c r="AG3" s="1592"/>
    </row>
    <row r="4" spans="1:33">
      <c r="A4" s="1178" t="s">
        <v>1395</v>
      </c>
      <c r="F4" s="1179"/>
      <c r="G4" s="1180"/>
      <c r="H4" s="1182"/>
      <c r="I4" s="1181"/>
      <c r="J4" s="1238"/>
      <c r="X4" s="1592" t="str">
        <f>"Confidence = "&amp;F5&amp;" / alpha risk = "&amp;1-F5</f>
        <v>Confidence = 0.95 / alpha risk = 0.05</v>
      </c>
      <c r="Y4" s="1592"/>
      <c r="Z4" s="1592"/>
      <c r="AA4" s="1592"/>
      <c r="AB4" s="1592"/>
      <c r="AC4" s="1592"/>
      <c r="AD4" s="1592"/>
      <c r="AE4" s="1592"/>
      <c r="AF4" s="1592"/>
      <c r="AG4" s="1592"/>
    </row>
    <row r="5" spans="1:33">
      <c r="A5" s="1178" t="s">
        <v>1397</v>
      </c>
      <c r="F5" s="1239">
        <v>0.95</v>
      </c>
      <c r="G5" s="1240" t="s">
        <v>1111</v>
      </c>
      <c r="X5" s="1592" t="str">
        <f>"Sample Size = "&amp;F6&amp;" Lo and "&amp;I6&amp;" Hi"</f>
        <v>Sample Size =  Lo and  Hi</v>
      </c>
      <c r="Y5" s="1592"/>
      <c r="Z5" s="1592"/>
      <c r="AA5" s="1592"/>
      <c r="AB5" s="1592"/>
      <c r="AC5" s="1592"/>
      <c r="AD5" s="1592"/>
      <c r="AE5" s="1592"/>
      <c r="AF5" s="1592"/>
      <c r="AG5" s="1592"/>
    </row>
    <row r="6" spans="1:33" ht="13.5" thickBot="1">
      <c r="E6" s="1241" t="s">
        <v>5</v>
      </c>
      <c r="F6" s="1239"/>
      <c r="H6" s="1241" t="s">
        <v>6</v>
      </c>
      <c r="I6" s="1239"/>
      <c r="K6" s="1242" t="s">
        <v>0</v>
      </c>
      <c r="L6" s="1243">
        <f>C46</f>
        <v>5</v>
      </c>
      <c r="X6" s="1593" t="str">
        <f>"Required Endcount = "&amp;C46</f>
        <v>Required Endcount = 5</v>
      </c>
      <c r="Y6" s="1593"/>
      <c r="Z6" s="1593"/>
      <c r="AA6" s="1593"/>
      <c r="AB6" s="1593"/>
      <c r="AC6" s="1593"/>
      <c r="AD6" s="1593"/>
      <c r="AE6" s="1593"/>
      <c r="AF6" s="1593"/>
      <c r="AG6" s="1593"/>
    </row>
    <row r="7" spans="1:33">
      <c r="A7" s="1605" t="s">
        <v>1085</v>
      </c>
      <c r="B7" s="1606"/>
      <c r="C7" s="1607"/>
      <c r="D7" s="1187"/>
      <c r="E7" s="1187"/>
      <c r="G7" s="1605" t="s">
        <v>1086</v>
      </c>
      <c r="H7" s="1606"/>
      <c r="I7" s="1606"/>
      <c r="J7" s="1607"/>
      <c r="K7" s="1187"/>
      <c r="M7" s="1597" t="s">
        <v>1087</v>
      </c>
      <c r="N7" s="1598"/>
      <c r="O7" s="1598"/>
      <c r="P7" s="1599"/>
      <c r="Q7" s="1187"/>
      <c r="R7" s="1602" t="s">
        <v>1109</v>
      </c>
      <c r="S7" s="1603"/>
      <c r="T7" s="1603"/>
      <c r="U7" s="1604"/>
    </row>
    <row r="8" spans="1:33" ht="13.5" thickBot="1">
      <c r="A8" s="1244"/>
      <c r="B8" s="1184"/>
      <c r="C8" s="1245"/>
      <c r="D8" s="1184"/>
      <c r="E8" s="1184"/>
      <c r="G8" s="1183"/>
      <c r="H8" s="1184"/>
      <c r="I8" s="1184"/>
      <c r="J8" s="1185"/>
      <c r="K8" s="1184"/>
      <c r="M8" s="1194" t="s">
        <v>508</v>
      </c>
      <c r="N8" s="1195" t="s">
        <v>1089</v>
      </c>
      <c r="O8" s="1195" t="s">
        <v>1088</v>
      </c>
      <c r="P8" s="1246" t="s">
        <v>775</v>
      </c>
      <c r="Q8" s="1187"/>
      <c r="R8" s="1247" t="s">
        <v>1088</v>
      </c>
      <c r="S8" s="1248" t="s">
        <v>775</v>
      </c>
      <c r="T8" s="1249" t="s">
        <v>469</v>
      </c>
      <c r="U8" s="1250" t="s">
        <v>468</v>
      </c>
    </row>
    <row r="9" spans="1:33" ht="13.5" thickTop="1">
      <c r="A9" s="1244"/>
      <c r="B9" s="1184"/>
      <c r="C9" s="1251">
        <v>6</v>
      </c>
      <c r="D9" s="1252"/>
      <c r="E9" s="1252"/>
      <c r="G9" s="1253"/>
      <c r="H9" s="1254"/>
      <c r="I9" s="1254"/>
      <c r="J9" s="1255"/>
      <c r="K9" s="1184"/>
      <c r="L9" s="1187"/>
      <c r="M9" s="1204"/>
      <c r="N9" s="1205"/>
      <c r="O9" s="1205"/>
      <c r="P9" s="1256"/>
      <c r="Q9" s="1198"/>
      <c r="R9" s="1257"/>
      <c r="S9" s="1258"/>
      <c r="T9" s="1259" t="str">
        <f>IF(S9="","",IF(R9&gt;"k",S9,""))</f>
        <v/>
      </c>
      <c r="U9" s="1260" t="str">
        <f>IF(R9="","",IF(R9&gt;"k","",S9))</f>
        <v/>
      </c>
    </row>
    <row r="10" spans="1:33" ht="13.5" thickBot="1">
      <c r="A10" s="1261" t="s">
        <v>508</v>
      </c>
      <c r="B10" s="1262" t="s">
        <v>1088</v>
      </c>
      <c r="C10" s="1263" t="s">
        <v>1089</v>
      </c>
      <c r="D10" s="1184"/>
      <c r="G10" s="1264" t="s">
        <v>508</v>
      </c>
      <c r="H10" s="1265" t="s">
        <v>1088</v>
      </c>
      <c r="I10" s="1265" t="s">
        <v>1089</v>
      </c>
      <c r="J10" s="1193" t="s">
        <v>775</v>
      </c>
      <c r="K10" s="1187"/>
      <c r="M10" s="1204"/>
      <c r="N10" s="1205"/>
      <c r="O10" s="1205"/>
      <c r="P10" s="1256"/>
      <c r="Q10" s="1198"/>
      <c r="R10" s="1257"/>
      <c r="S10" s="1258"/>
      <c r="T10" s="1259" t="str">
        <f t="shared" ref="T10:T28" si="0">IF(S10="","",IF(R10&gt;"k",S10,""))</f>
        <v/>
      </c>
      <c r="U10" s="1260" t="str">
        <f t="shared" ref="U10:U28" si="1">IF(R10="","",IF(R10&gt;"k","",S10))</f>
        <v/>
      </c>
    </row>
    <row r="11" spans="1:33" ht="13.5" thickTop="1">
      <c r="A11" s="1266"/>
      <c r="B11" s="1202"/>
      <c r="C11" s="1267"/>
      <c r="D11" s="1268"/>
      <c r="E11" s="1266"/>
      <c r="F11" s="1202"/>
      <c r="G11" s="1266"/>
      <c r="H11" s="1202"/>
      <c r="I11" s="1202"/>
      <c r="J11" s="1269"/>
      <c r="K11" s="1238"/>
      <c r="M11" s="1204"/>
      <c r="N11" s="1205"/>
      <c r="O11" s="1205"/>
      <c r="P11" s="1256"/>
      <c r="Q11" s="1198"/>
      <c r="R11" s="1257"/>
      <c r="S11" s="1258"/>
      <c r="T11" s="1259" t="str">
        <f t="shared" si="0"/>
        <v/>
      </c>
      <c r="U11" s="1260" t="str">
        <f t="shared" si="1"/>
        <v/>
      </c>
      <c r="Z11" s="1187"/>
    </row>
    <row r="12" spans="1:33">
      <c r="A12" s="1266"/>
      <c r="B12" s="1202"/>
      <c r="C12" s="1270"/>
      <c r="D12" s="1268"/>
      <c r="E12" s="1266"/>
      <c r="F12" s="1202"/>
      <c r="G12" s="1266"/>
      <c r="H12" s="1271"/>
      <c r="I12" s="1272"/>
      <c r="J12" s="1269"/>
      <c r="K12" s="1238"/>
      <c r="M12" s="1204"/>
      <c r="N12" s="1205"/>
      <c r="O12" s="1205"/>
      <c r="P12" s="1256"/>
      <c r="Q12" s="1198"/>
      <c r="R12" s="1257"/>
      <c r="S12" s="1258"/>
      <c r="T12" s="1259" t="str">
        <f t="shared" si="0"/>
        <v/>
      </c>
      <c r="U12" s="1260" t="str">
        <f t="shared" si="1"/>
        <v/>
      </c>
      <c r="Z12" s="1187"/>
    </row>
    <row r="13" spans="1:33">
      <c r="A13" s="1266"/>
      <c r="B13" s="1202"/>
      <c r="C13" s="1270"/>
      <c r="D13" s="1268"/>
      <c r="E13" s="1266"/>
      <c r="F13" s="1202"/>
      <c r="G13" s="1266"/>
      <c r="H13" s="1271"/>
      <c r="I13" s="1272"/>
      <c r="J13" s="1269"/>
      <c r="K13" s="1238"/>
      <c r="M13" s="1204"/>
      <c r="N13" s="1205"/>
      <c r="O13" s="1205"/>
      <c r="P13" s="1256"/>
      <c r="Q13" s="1198"/>
      <c r="R13" s="1257"/>
      <c r="S13" s="1258"/>
      <c r="T13" s="1259" t="str">
        <f t="shared" si="0"/>
        <v/>
      </c>
      <c r="U13" s="1260" t="str">
        <f t="shared" si="1"/>
        <v/>
      </c>
      <c r="Z13" s="1207"/>
    </row>
    <row r="14" spans="1:33">
      <c r="A14" s="1266"/>
      <c r="B14" s="1202"/>
      <c r="C14" s="1270"/>
      <c r="D14" s="1268"/>
      <c r="E14" s="1266"/>
      <c r="F14" s="1202"/>
      <c r="G14" s="1266"/>
      <c r="H14" s="1271"/>
      <c r="I14" s="1272"/>
      <c r="J14" s="1269"/>
      <c r="K14" s="1238"/>
      <c r="M14" s="1204"/>
      <c r="N14" s="1205"/>
      <c r="O14" s="1205"/>
      <c r="P14" s="1256"/>
      <c r="Q14" s="1198"/>
      <c r="R14" s="1257"/>
      <c r="S14" s="1258"/>
      <c r="T14" s="1259" t="str">
        <f t="shared" si="0"/>
        <v/>
      </c>
      <c r="U14" s="1260" t="str">
        <f t="shared" si="1"/>
        <v/>
      </c>
      <c r="Z14" s="1207"/>
    </row>
    <row r="15" spans="1:33">
      <c r="A15" s="1266"/>
      <c r="B15" s="1202"/>
      <c r="C15" s="1270"/>
      <c r="D15" s="1268"/>
      <c r="E15" s="1266"/>
      <c r="F15" s="1202"/>
      <c r="G15" s="1266"/>
      <c r="H15" s="1271"/>
      <c r="I15" s="1272"/>
      <c r="J15" s="1269"/>
      <c r="K15" s="1238"/>
      <c r="M15" s="1204"/>
      <c r="N15" s="1273"/>
      <c r="O15" s="1205"/>
      <c r="P15" s="1256"/>
      <c r="Q15" s="1198"/>
      <c r="R15" s="1257"/>
      <c r="S15" s="1258"/>
      <c r="T15" s="1259" t="str">
        <f t="shared" si="0"/>
        <v/>
      </c>
      <c r="U15" s="1260" t="str">
        <f t="shared" si="1"/>
        <v/>
      </c>
      <c r="Z15" s="1207"/>
    </row>
    <row r="16" spans="1:33">
      <c r="A16" s="1266"/>
      <c r="B16" s="1202"/>
      <c r="C16" s="1270"/>
      <c r="D16" s="1268"/>
      <c r="E16" s="1266"/>
      <c r="F16" s="1202"/>
      <c r="G16" s="1266"/>
      <c r="H16" s="1271"/>
      <c r="I16" s="1272"/>
      <c r="J16" s="1269"/>
      <c r="K16" s="1238"/>
      <c r="M16" s="1204"/>
      <c r="N16" s="1273"/>
      <c r="O16" s="1205"/>
      <c r="P16" s="1256"/>
      <c r="Q16" s="1198"/>
      <c r="R16" s="1257"/>
      <c r="S16" s="1258"/>
      <c r="T16" s="1259" t="str">
        <f t="shared" si="0"/>
        <v/>
      </c>
      <c r="U16" s="1260" t="str">
        <f t="shared" si="1"/>
        <v/>
      </c>
      <c r="Z16" s="1207"/>
    </row>
    <row r="17" spans="1:26">
      <c r="A17" s="1266"/>
      <c r="B17" s="1202"/>
      <c r="C17" s="1274"/>
      <c r="D17" s="1184"/>
      <c r="G17" s="1266"/>
      <c r="H17" s="1202"/>
      <c r="I17" s="1202"/>
      <c r="J17" s="1269"/>
      <c r="K17" s="1238"/>
      <c r="M17" s="1204"/>
      <c r="N17" s="1273"/>
      <c r="O17" s="1205"/>
      <c r="P17" s="1256"/>
      <c r="Q17" s="1198"/>
      <c r="R17" s="1257"/>
      <c r="S17" s="1258"/>
      <c r="T17" s="1259" t="str">
        <f t="shared" si="0"/>
        <v/>
      </c>
      <c r="U17" s="1260" t="str">
        <f t="shared" si="1"/>
        <v/>
      </c>
      <c r="Z17" s="1207"/>
    </row>
    <row r="18" spans="1:26">
      <c r="A18" s="1266"/>
      <c r="B18" s="1202"/>
      <c r="C18" s="1274"/>
      <c r="D18" s="1184"/>
      <c r="G18" s="1266"/>
      <c r="H18" s="1202"/>
      <c r="I18" s="1202"/>
      <c r="J18" s="1269"/>
      <c r="K18" s="1238"/>
      <c r="M18" s="1204"/>
      <c r="N18" s="1273"/>
      <c r="O18" s="1205"/>
      <c r="P18" s="1256"/>
      <c r="Q18" s="1198"/>
      <c r="R18" s="1257"/>
      <c r="S18" s="1258"/>
      <c r="T18" s="1259" t="str">
        <f t="shared" si="0"/>
        <v/>
      </c>
      <c r="U18" s="1260" t="str">
        <f t="shared" si="1"/>
        <v/>
      </c>
      <c r="Z18" s="1207"/>
    </row>
    <row r="19" spans="1:26">
      <c r="A19" s="1266"/>
      <c r="B19" s="1202"/>
      <c r="C19" s="1274"/>
      <c r="D19" s="1184"/>
      <c r="G19" s="1266"/>
      <c r="H19" s="1202"/>
      <c r="I19" s="1272"/>
      <c r="J19" s="1269"/>
      <c r="K19" s="1238"/>
      <c r="M19" s="1204"/>
      <c r="N19" s="1273"/>
      <c r="O19" s="1205"/>
      <c r="P19" s="1256"/>
      <c r="Q19" s="1198"/>
      <c r="R19" s="1257"/>
      <c r="S19" s="1258"/>
      <c r="T19" s="1259" t="str">
        <f t="shared" si="0"/>
        <v/>
      </c>
      <c r="U19" s="1260" t="str">
        <f t="shared" si="1"/>
        <v/>
      </c>
    </row>
    <row r="20" spans="1:26">
      <c r="A20" s="1266"/>
      <c r="B20" s="1202"/>
      <c r="C20" s="1274"/>
      <c r="D20" s="1184"/>
      <c r="G20" s="1266"/>
      <c r="H20" s="1271"/>
      <c r="I20" s="1272"/>
      <c r="J20" s="1269"/>
      <c r="K20" s="1238"/>
      <c r="M20" s="1204"/>
      <c r="N20" s="1273"/>
      <c r="O20" s="1205"/>
      <c r="P20" s="1256"/>
      <c r="Q20" s="1198"/>
      <c r="R20" s="1257"/>
      <c r="S20" s="1258"/>
      <c r="T20" s="1259" t="str">
        <f t="shared" si="0"/>
        <v/>
      </c>
      <c r="U20" s="1260" t="str">
        <f t="shared" si="1"/>
        <v/>
      </c>
    </row>
    <row r="21" spans="1:26">
      <c r="A21" s="1266"/>
      <c r="B21" s="1271"/>
      <c r="C21" s="1274"/>
      <c r="D21" s="1184"/>
      <c r="G21" s="1266"/>
      <c r="H21" s="1271"/>
      <c r="I21" s="1272"/>
      <c r="J21" s="1269"/>
      <c r="K21" s="1238"/>
      <c r="M21" s="1204"/>
      <c r="N21" s="1273"/>
      <c r="O21" s="1205"/>
      <c r="P21" s="1256"/>
      <c r="Q21" s="1198"/>
      <c r="R21" s="1257"/>
      <c r="S21" s="1258"/>
      <c r="T21" s="1259" t="str">
        <f t="shared" si="0"/>
        <v/>
      </c>
      <c r="U21" s="1260" t="str">
        <f t="shared" si="1"/>
        <v/>
      </c>
    </row>
    <row r="22" spans="1:26">
      <c r="A22" s="1266"/>
      <c r="B22" s="1271"/>
      <c r="C22" s="1274"/>
      <c r="D22" s="1184"/>
      <c r="G22" s="1266"/>
      <c r="H22" s="1271"/>
      <c r="I22" s="1272"/>
      <c r="J22" s="1269"/>
      <c r="K22" s="1238"/>
      <c r="M22" s="1204"/>
      <c r="N22" s="1273"/>
      <c r="O22" s="1205"/>
      <c r="P22" s="1256"/>
      <c r="Q22" s="1198"/>
      <c r="R22" s="1257"/>
      <c r="S22" s="1258"/>
      <c r="T22" s="1259" t="str">
        <f t="shared" si="0"/>
        <v/>
      </c>
      <c r="U22" s="1260" t="str">
        <f t="shared" si="1"/>
        <v/>
      </c>
    </row>
    <row r="23" spans="1:26">
      <c r="A23" s="1266"/>
      <c r="B23" s="1271"/>
      <c r="C23" s="1274"/>
      <c r="D23" s="1184"/>
      <c r="G23" s="1266"/>
      <c r="H23" s="1271"/>
      <c r="I23" s="1272"/>
      <c r="J23" s="1269"/>
      <c r="K23" s="1238"/>
      <c r="M23" s="1204"/>
      <c r="N23" s="1273"/>
      <c r="O23" s="1205"/>
      <c r="P23" s="1256"/>
      <c r="Q23" s="1198"/>
      <c r="R23" s="1257"/>
      <c r="S23" s="1258"/>
      <c r="T23" s="1259" t="str">
        <f t="shared" si="0"/>
        <v/>
      </c>
      <c r="U23" s="1260" t="str">
        <f t="shared" si="1"/>
        <v/>
      </c>
      <c r="Z23" s="1187"/>
    </row>
    <row r="24" spans="1:26">
      <c r="A24" s="1266"/>
      <c r="B24" s="1271"/>
      <c r="C24" s="1274"/>
      <c r="D24" s="1184"/>
      <c r="G24" s="1266"/>
      <c r="H24" s="1271"/>
      <c r="I24" s="1272"/>
      <c r="J24" s="1269"/>
      <c r="K24" s="1238"/>
      <c r="M24" s="1204"/>
      <c r="N24" s="1273"/>
      <c r="O24" s="1205"/>
      <c r="P24" s="1256"/>
      <c r="Q24" s="1198"/>
      <c r="R24" s="1257"/>
      <c r="S24" s="1258"/>
      <c r="T24" s="1259" t="str">
        <f t="shared" si="0"/>
        <v/>
      </c>
      <c r="U24" s="1260" t="str">
        <f t="shared" si="1"/>
        <v/>
      </c>
      <c r="Z24" s="1184"/>
    </row>
    <row r="25" spans="1:26">
      <c r="A25" s="1266"/>
      <c r="B25" s="1271"/>
      <c r="C25" s="1274"/>
      <c r="D25" s="1184"/>
      <c r="G25" s="1266"/>
      <c r="H25" s="1202"/>
      <c r="I25" s="1272"/>
      <c r="J25" s="1269"/>
      <c r="K25" s="1238"/>
      <c r="M25" s="1204"/>
      <c r="N25" s="1273"/>
      <c r="O25" s="1205"/>
      <c r="P25" s="1256"/>
      <c r="Q25" s="1198"/>
      <c r="R25" s="1257"/>
      <c r="S25" s="1258"/>
      <c r="T25" s="1259" t="str">
        <f t="shared" si="0"/>
        <v/>
      </c>
      <c r="U25" s="1260" t="str">
        <f t="shared" si="1"/>
        <v/>
      </c>
      <c r="Z25" s="1184"/>
    </row>
    <row r="26" spans="1:26">
      <c r="A26" s="1266"/>
      <c r="B26" s="1271"/>
      <c r="C26" s="1274"/>
      <c r="D26" s="1184"/>
      <c r="G26" s="1266"/>
      <c r="H26" s="1202"/>
      <c r="I26" s="1202"/>
      <c r="J26" s="1269"/>
      <c r="K26" s="1238"/>
      <c r="M26" s="1204"/>
      <c r="N26" s="1273"/>
      <c r="O26" s="1205"/>
      <c r="P26" s="1256"/>
      <c r="Q26" s="1198"/>
      <c r="R26" s="1257"/>
      <c r="S26" s="1258"/>
      <c r="T26" s="1259" t="str">
        <f t="shared" si="0"/>
        <v/>
      </c>
      <c r="U26" s="1260" t="str">
        <f t="shared" si="1"/>
        <v/>
      </c>
      <c r="Z26" s="1184"/>
    </row>
    <row r="27" spans="1:26">
      <c r="A27" s="1266"/>
      <c r="B27" s="1271"/>
      <c r="C27" s="1274"/>
      <c r="D27" s="1184"/>
      <c r="G27" s="1266"/>
      <c r="H27" s="1202"/>
      <c r="I27" s="1272"/>
      <c r="J27" s="1269"/>
      <c r="K27" s="1238"/>
      <c r="M27" s="1204"/>
      <c r="N27" s="1273"/>
      <c r="O27" s="1205"/>
      <c r="P27" s="1256"/>
      <c r="Q27" s="1198"/>
      <c r="R27" s="1257"/>
      <c r="S27" s="1258"/>
      <c r="T27" s="1259" t="str">
        <f t="shared" si="0"/>
        <v/>
      </c>
      <c r="U27" s="1260" t="str">
        <f t="shared" si="1"/>
        <v/>
      </c>
      <c r="Z27" s="1184"/>
    </row>
    <row r="28" spans="1:26" ht="13.5" thickBot="1">
      <c r="A28" s="1266"/>
      <c r="B28" s="1271"/>
      <c r="C28" s="1274"/>
      <c r="D28" s="1184"/>
      <c r="G28" s="1266"/>
      <c r="H28" s="1202"/>
      <c r="I28" s="1272"/>
      <c r="J28" s="1269"/>
      <c r="K28" s="1238"/>
      <c r="M28" s="1214"/>
      <c r="N28" s="1275"/>
      <c r="O28" s="1215"/>
      <c r="P28" s="1256"/>
      <c r="Q28" s="1198"/>
      <c r="R28" s="1257"/>
      <c r="S28" s="1258"/>
      <c r="T28" s="1259" t="str">
        <f t="shared" si="0"/>
        <v/>
      </c>
      <c r="U28" s="1260" t="str">
        <f t="shared" si="1"/>
        <v/>
      </c>
      <c r="Z28" s="1184"/>
    </row>
    <row r="29" spans="1:26">
      <c r="A29" s="1266"/>
      <c r="B29" s="1271"/>
      <c r="C29" s="1274"/>
      <c r="D29" s="1184"/>
      <c r="G29" s="1266"/>
      <c r="H29" s="1202"/>
      <c r="I29" s="1202"/>
      <c r="J29" s="1269"/>
      <c r="K29" s="1238"/>
      <c r="R29" s="1276"/>
      <c r="S29" s="1230" t="s">
        <v>1019</v>
      </c>
      <c r="T29" s="1230" t="s">
        <v>1013</v>
      </c>
      <c r="U29" s="1231" t="s">
        <v>1015</v>
      </c>
      <c r="Z29" s="1184"/>
    </row>
    <row r="30" spans="1:26" ht="13.5" thickBot="1">
      <c r="A30" s="1277"/>
      <c r="B30" s="1278"/>
      <c r="C30" s="1274"/>
      <c r="D30" s="1184"/>
      <c r="G30" s="1277"/>
      <c r="H30" s="1212"/>
      <c r="I30" s="1212"/>
      <c r="J30" s="1269"/>
      <c r="K30" s="1238"/>
      <c r="R30" s="1233" t="s">
        <v>469</v>
      </c>
      <c r="S30" s="1224">
        <f>MIN(T9:T28)</f>
        <v>0</v>
      </c>
      <c r="T30" s="1224" t="e">
        <f>MEDIAN(T9:T28)</f>
        <v>#NUM!</v>
      </c>
      <c r="U30" s="1234">
        <f>MAX(T9:T28)</f>
        <v>0</v>
      </c>
      <c r="Z30" s="1184"/>
    </row>
    <row r="31" spans="1:26" ht="13.5" thickBot="1">
      <c r="I31" s="1279" t="s">
        <v>1110</v>
      </c>
      <c r="J31" s="1178">
        <f>COUNT(J11:J30)</f>
        <v>0</v>
      </c>
      <c r="R31" s="1235" t="s">
        <v>1094</v>
      </c>
      <c r="S31" s="1236">
        <f>MIN(U9:U28)</f>
        <v>0</v>
      </c>
      <c r="T31" s="1236" t="e">
        <f>MEDIAN(U9:U28)</f>
        <v>#NUM!</v>
      </c>
      <c r="U31" s="1237">
        <f>MAX(U9:U28)</f>
        <v>0</v>
      </c>
      <c r="Z31" s="1184"/>
    </row>
    <row r="32" spans="1:26">
      <c r="R32" s="1184"/>
      <c r="S32" s="1184"/>
      <c r="T32" s="1184"/>
      <c r="U32" s="1184"/>
      <c r="Z32" s="1184"/>
    </row>
    <row r="33" spans="1:26">
      <c r="A33" s="1232"/>
      <c r="B33" s="1232"/>
      <c r="C33" s="1280"/>
      <c r="D33" s="1232"/>
      <c r="E33" s="1281"/>
      <c r="F33" s="1232"/>
      <c r="G33" s="1232"/>
      <c r="H33" s="1232"/>
      <c r="I33" s="1232"/>
      <c r="J33" s="1232"/>
      <c r="O33" s="1184"/>
      <c r="P33" s="1184"/>
      <c r="Q33" s="1184"/>
      <c r="R33" s="1184"/>
      <c r="S33" s="1184"/>
      <c r="T33" s="1184"/>
      <c r="U33" s="1184"/>
      <c r="Z33" s="1184"/>
    </row>
    <row r="34" spans="1:26">
      <c r="A34" s="1232"/>
      <c r="B34" s="1232"/>
      <c r="C34" s="1280"/>
      <c r="D34" s="1232"/>
      <c r="E34" s="1282"/>
      <c r="F34" s="1232"/>
      <c r="G34" s="1232"/>
      <c r="H34" s="1232"/>
      <c r="I34" s="1232"/>
      <c r="J34" s="1232"/>
      <c r="O34" s="1184"/>
      <c r="P34" s="1184"/>
      <c r="Q34" s="1184"/>
      <c r="R34" s="1184"/>
      <c r="S34" s="1184"/>
      <c r="T34" s="1184"/>
      <c r="U34" s="1184"/>
      <c r="V34" s="1184"/>
    </row>
    <row r="35" spans="1:26">
      <c r="A35" s="1232"/>
      <c r="B35" s="1232"/>
      <c r="C35" s="1280"/>
      <c r="D35" s="1232"/>
      <c r="E35" s="1283"/>
      <c r="F35" s="1232"/>
      <c r="G35" s="1232"/>
      <c r="H35" s="1232"/>
      <c r="I35" s="1232">
        <v>4</v>
      </c>
      <c r="J35" s="1232"/>
      <c r="O35" s="1184"/>
      <c r="P35" s="1184"/>
      <c r="Q35" s="1184"/>
      <c r="R35" s="1184"/>
      <c r="S35" s="1184"/>
      <c r="T35" s="1184"/>
      <c r="U35" s="1184"/>
      <c r="V35" s="1184"/>
      <c r="W35" s="1184"/>
    </row>
    <row r="36" spans="1:26">
      <c r="A36" s="1232"/>
      <c r="B36" s="1232"/>
      <c r="C36" s="1280"/>
      <c r="D36" s="1232"/>
      <c r="E36" s="1284" t="s">
        <v>1405</v>
      </c>
      <c r="F36" s="1232"/>
      <c r="G36" s="1232"/>
      <c r="H36" s="1232"/>
      <c r="I36" s="1232"/>
      <c r="J36" s="1232"/>
      <c r="O36" s="1184"/>
      <c r="P36" s="1184"/>
      <c r="Q36" s="1184"/>
      <c r="R36" s="1184"/>
      <c r="S36" s="1184"/>
      <c r="T36" s="1184"/>
      <c r="U36" s="1184"/>
      <c r="V36" s="1184"/>
      <c r="W36" s="1184"/>
    </row>
    <row r="37" spans="1:26">
      <c r="A37" s="1232"/>
      <c r="B37" s="1232"/>
      <c r="C37" s="1280"/>
      <c r="D37" s="1232"/>
      <c r="E37" s="1232">
        <v>0</v>
      </c>
      <c r="F37" s="1232"/>
      <c r="G37" s="1232"/>
      <c r="H37" s="1232"/>
      <c r="I37" s="1232"/>
      <c r="J37" s="1232"/>
      <c r="O37" s="1184"/>
      <c r="P37" s="1184"/>
      <c r="Q37" s="1184"/>
      <c r="R37" s="1184"/>
      <c r="S37" s="1184"/>
      <c r="T37" s="1184"/>
      <c r="U37" s="1184"/>
      <c r="V37" s="1184"/>
      <c r="W37" s="1184"/>
    </row>
    <row r="38" spans="1:26">
      <c r="A38" s="1232"/>
      <c r="B38" s="1232"/>
      <c r="C38" s="1280"/>
      <c r="D38" s="1232"/>
      <c r="E38" s="1232" t="str">
        <f>IF(E37&lt;C46,"Endcount is not sufficient (&gt;/= "&amp;C46&amp;")","Endcount is sufficient (&gt;/= "&amp;C46&amp;")")</f>
        <v>Endcount is not sufficient (&gt;/= 5)</v>
      </c>
      <c r="F38" s="1232"/>
      <c r="G38" s="1232"/>
      <c r="H38" s="1232"/>
      <c r="I38" s="1232"/>
      <c r="J38" s="1232"/>
      <c r="O38" s="1184"/>
      <c r="P38" s="1184"/>
      <c r="Q38" s="1184"/>
      <c r="R38" s="1184"/>
      <c r="S38" s="1184"/>
      <c r="T38" s="1184"/>
      <c r="U38" s="1184"/>
      <c r="V38" s="1184"/>
      <c r="W38" s="1184"/>
    </row>
    <row r="39" spans="1:26">
      <c r="A39" s="1232"/>
      <c r="B39" s="1232"/>
      <c r="C39" s="1232"/>
      <c r="D39" s="1232"/>
      <c r="E39" s="1232"/>
      <c r="F39" s="1232"/>
      <c r="G39" s="1232"/>
      <c r="H39" s="1232"/>
      <c r="I39" s="1232"/>
      <c r="J39" s="1232"/>
      <c r="O39" s="1184"/>
      <c r="P39" s="1184"/>
      <c r="Q39" s="1184"/>
      <c r="R39" s="1184"/>
      <c r="S39" s="1184"/>
      <c r="T39" s="1184"/>
      <c r="U39" s="1184"/>
      <c r="V39" s="1184"/>
      <c r="W39" s="1184"/>
    </row>
    <row r="40" spans="1:26">
      <c r="A40" s="1232"/>
      <c r="B40" s="1232" t="s">
        <v>840</v>
      </c>
      <c r="C40" s="1285">
        <v>1</v>
      </c>
      <c r="D40" s="1232"/>
      <c r="E40" s="1283" t="s">
        <v>1107</v>
      </c>
      <c r="F40" s="1280">
        <f>(FACT(C43+C44))/(FACT(C43)*FACT(C44))</f>
        <v>1</v>
      </c>
      <c r="G40" s="1232"/>
      <c r="H40" s="1232"/>
      <c r="I40" s="1232"/>
      <c r="J40" s="1232"/>
      <c r="P40" s="1184"/>
      <c r="Q40" s="1184"/>
      <c r="V40" s="1184"/>
      <c r="W40" s="1184"/>
    </row>
    <row r="41" spans="1:26">
      <c r="A41" s="1232"/>
      <c r="B41" s="1232" t="s">
        <v>839</v>
      </c>
      <c r="C41" s="1285">
        <v>2</v>
      </c>
      <c r="D41" s="1232"/>
      <c r="E41" s="1232" t="s">
        <v>1108</v>
      </c>
      <c r="F41" s="1280">
        <f>C43+C44</f>
        <v>0</v>
      </c>
      <c r="G41" s="1232" t="s">
        <v>1104</v>
      </c>
      <c r="H41" s="1232"/>
      <c r="I41" s="1232"/>
      <c r="J41" s="1232"/>
      <c r="V41" s="1184"/>
      <c r="W41" s="1184"/>
    </row>
    <row r="42" spans="1:26">
      <c r="A42" s="1232" t="s">
        <v>842</v>
      </c>
      <c r="B42" s="1232" t="s">
        <v>484</v>
      </c>
      <c r="C42" s="1286">
        <f>F5</f>
        <v>0.95</v>
      </c>
      <c r="D42" s="1232"/>
      <c r="E42" s="1232"/>
      <c r="F42" s="1232"/>
      <c r="G42" s="1232"/>
      <c r="H42" s="1232"/>
      <c r="I42" s="1232"/>
      <c r="J42" s="1232"/>
    </row>
    <row r="43" spans="1:26">
      <c r="A43" s="1232" t="s">
        <v>468</v>
      </c>
      <c r="B43" s="1232" t="s">
        <v>1105</v>
      </c>
      <c r="C43" s="1286">
        <f>I6</f>
        <v>0</v>
      </c>
      <c r="D43" s="1232"/>
      <c r="E43" s="1232"/>
      <c r="F43" s="1287"/>
      <c r="G43" s="1232"/>
      <c r="H43" s="1232"/>
      <c r="I43" s="1232"/>
      <c r="J43" s="1232"/>
    </row>
    <row r="44" spans="1:26">
      <c r="A44" s="1232" t="s">
        <v>469</v>
      </c>
      <c r="B44" s="1232" t="s">
        <v>1106</v>
      </c>
      <c r="C44" s="1286">
        <f>F6</f>
        <v>0</v>
      </c>
      <c r="D44" s="1232"/>
      <c r="E44" s="1232"/>
      <c r="F44" s="1287"/>
      <c r="G44" s="1232"/>
      <c r="H44" s="1232"/>
      <c r="I44" s="1232"/>
      <c r="J44" s="1232"/>
    </row>
    <row r="45" spans="1:26">
      <c r="A45" s="1232"/>
      <c r="B45" s="1232"/>
      <c r="C45" s="1232"/>
      <c r="D45" s="1232"/>
      <c r="E45" s="1232"/>
      <c r="F45" s="1232"/>
      <c r="G45" s="1232"/>
      <c r="H45" s="1232"/>
      <c r="I45" s="1232"/>
      <c r="J45" s="1232"/>
    </row>
    <row r="46" spans="1:26">
      <c r="A46" s="1232"/>
      <c r="B46" s="1288" t="s">
        <v>849</v>
      </c>
      <c r="C46" s="1288">
        <f>ROUNDUP(F41-(LN(F40*(1-(C42^(1))))/LN(2)),0)</f>
        <v>5</v>
      </c>
      <c r="D46" s="1232"/>
      <c r="E46" s="1232"/>
      <c r="F46" s="1232"/>
      <c r="G46" s="1232"/>
      <c r="H46" s="1232"/>
      <c r="I46" s="1232"/>
      <c r="J46" s="1232"/>
    </row>
    <row r="52" spans="1:4" ht="13.5" thickBot="1"/>
    <row r="53" spans="1:4">
      <c r="A53" s="1608" t="s">
        <v>4</v>
      </c>
      <c r="B53" s="1609"/>
      <c r="C53" s="1609"/>
      <c r="D53" s="1289">
        <f>F6+I6</f>
        <v>0</v>
      </c>
    </row>
    <row r="54" spans="1:4" ht="14.25">
      <c r="A54" s="1290">
        <v>1</v>
      </c>
      <c r="B54" s="1291" t="s">
        <v>7</v>
      </c>
      <c r="C54" s="1292" t="str">
        <f>IF(A54=I$6,1,IF(C55=1,1,""))</f>
        <v/>
      </c>
      <c r="D54" s="1260" t="str">
        <f t="shared" ref="D54:D73" si="2">IF(C54=1,B54,"")</f>
        <v/>
      </c>
    </row>
    <row r="55" spans="1:4" ht="14.25">
      <c r="A55" s="1290">
        <v>2</v>
      </c>
      <c r="B55" s="1291" t="s">
        <v>8</v>
      </c>
      <c r="C55" s="1292" t="str">
        <f>IF(A55=I$6,1,IF(C56=1,1,""))</f>
        <v/>
      </c>
      <c r="D55" s="1260" t="str">
        <f t="shared" si="2"/>
        <v/>
      </c>
    </row>
    <row r="56" spans="1:4" ht="14.25">
      <c r="A56" s="1290">
        <v>3</v>
      </c>
      <c r="B56" s="1291" t="s">
        <v>9</v>
      </c>
      <c r="C56" s="1292" t="str">
        <f t="shared" ref="C56:C62" si="3">IF(A56=I$6,1,IF(C57=1,1,""))</f>
        <v/>
      </c>
      <c r="D56" s="1260" t="str">
        <f t="shared" si="2"/>
        <v/>
      </c>
    </row>
    <row r="57" spans="1:4" ht="14.25">
      <c r="A57" s="1290">
        <v>4</v>
      </c>
      <c r="B57" s="1291" t="s">
        <v>10</v>
      </c>
      <c r="C57" s="1292" t="str">
        <f t="shared" si="3"/>
        <v/>
      </c>
      <c r="D57" s="1260" t="str">
        <f t="shared" si="2"/>
        <v/>
      </c>
    </row>
    <row r="58" spans="1:4" ht="14.25">
      <c r="A58" s="1290">
        <v>5</v>
      </c>
      <c r="B58" s="1291" t="s">
        <v>11</v>
      </c>
      <c r="C58" s="1292" t="str">
        <f t="shared" si="3"/>
        <v/>
      </c>
      <c r="D58" s="1260" t="str">
        <f t="shared" si="2"/>
        <v/>
      </c>
    </row>
    <row r="59" spans="1:4" ht="14.25">
      <c r="A59" s="1290">
        <v>6</v>
      </c>
      <c r="B59" s="1291" t="s">
        <v>12</v>
      </c>
      <c r="C59" s="1292" t="str">
        <f t="shared" si="3"/>
        <v/>
      </c>
      <c r="D59" s="1260" t="str">
        <f t="shared" si="2"/>
        <v/>
      </c>
    </row>
    <row r="60" spans="1:4" ht="14.25">
      <c r="A60" s="1290">
        <v>7</v>
      </c>
      <c r="B60" s="1291" t="s">
        <v>13</v>
      </c>
      <c r="C60" s="1292" t="str">
        <f t="shared" si="3"/>
        <v/>
      </c>
      <c r="D60" s="1260" t="str">
        <f t="shared" si="2"/>
        <v/>
      </c>
    </row>
    <row r="61" spans="1:4" ht="14.25">
      <c r="A61" s="1290">
        <v>8</v>
      </c>
      <c r="B61" s="1291" t="s">
        <v>14</v>
      </c>
      <c r="C61" s="1292" t="str">
        <f t="shared" si="3"/>
        <v/>
      </c>
      <c r="D61" s="1260" t="str">
        <f t="shared" si="2"/>
        <v/>
      </c>
    </row>
    <row r="62" spans="1:4" ht="14.25">
      <c r="A62" s="1290">
        <v>9</v>
      </c>
      <c r="B62" s="1291" t="s">
        <v>15</v>
      </c>
      <c r="C62" s="1292" t="str">
        <f t="shared" si="3"/>
        <v/>
      </c>
      <c r="D62" s="1260" t="str">
        <f t="shared" si="2"/>
        <v/>
      </c>
    </row>
    <row r="63" spans="1:4" ht="14.25">
      <c r="A63" s="1290">
        <v>10</v>
      </c>
      <c r="B63" s="1291" t="s">
        <v>16</v>
      </c>
      <c r="C63" s="1292" t="str">
        <f>IF(A63=I$6,1,"")</f>
        <v/>
      </c>
      <c r="D63" s="1260" t="str">
        <f t="shared" si="2"/>
        <v/>
      </c>
    </row>
    <row r="64" spans="1:4" ht="14.25">
      <c r="A64" s="1290">
        <v>1</v>
      </c>
      <c r="B64" s="1291" t="s">
        <v>1098</v>
      </c>
      <c r="C64" s="1292" t="str">
        <f>IF(A64=F$6,1,IF(C65=1,1,""))</f>
        <v/>
      </c>
      <c r="D64" s="1260" t="str">
        <f t="shared" si="2"/>
        <v/>
      </c>
    </row>
    <row r="65" spans="1:5" ht="14.25">
      <c r="A65" s="1290">
        <v>2</v>
      </c>
      <c r="B65" s="1291" t="s">
        <v>17</v>
      </c>
      <c r="C65" s="1292" t="str">
        <f>IF(A65=F$6,1,IF(C66=1,1,""))</f>
        <v/>
      </c>
      <c r="D65" s="1260" t="str">
        <f t="shared" si="2"/>
        <v/>
      </c>
    </row>
    <row r="66" spans="1:5" ht="14.25">
      <c r="A66" s="1290">
        <v>3</v>
      </c>
      <c r="B66" s="1291" t="s">
        <v>18</v>
      </c>
      <c r="C66" s="1292" t="str">
        <f t="shared" ref="C66:C72" si="4">IF(A66=F$6,1,IF(C67=1,1,""))</f>
        <v/>
      </c>
      <c r="D66" s="1260" t="str">
        <f t="shared" si="2"/>
        <v/>
      </c>
    </row>
    <row r="67" spans="1:5" ht="14.25">
      <c r="A67" s="1290">
        <v>4</v>
      </c>
      <c r="B67" s="1291" t="s">
        <v>19</v>
      </c>
      <c r="C67" s="1292" t="str">
        <f t="shared" si="4"/>
        <v/>
      </c>
      <c r="D67" s="1260" t="str">
        <f t="shared" si="2"/>
        <v/>
      </c>
    </row>
    <row r="68" spans="1:5" ht="14.25">
      <c r="A68" s="1290">
        <v>5</v>
      </c>
      <c r="B68" s="1291" t="s">
        <v>20</v>
      </c>
      <c r="C68" s="1292" t="str">
        <f t="shared" si="4"/>
        <v/>
      </c>
      <c r="D68" s="1260" t="str">
        <f t="shared" si="2"/>
        <v/>
      </c>
    </row>
    <row r="69" spans="1:5" ht="14.25">
      <c r="A69" s="1290">
        <v>6</v>
      </c>
      <c r="B69" s="1291" t="s">
        <v>21</v>
      </c>
      <c r="C69" s="1292" t="str">
        <f t="shared" si="4"/>
        <v/>
      </c>
      <c r="D69" s="1260" t="str">
        <f t="shared" si="2"/>
        <v/>
      </c>
    </row>
    <row r="70" spans="1:5" ht="14.25">
      <c r="A70" s="1290">
        <v>7</v>
      </c>
      <c r="B70" s="1291" t="s">
        <v>22</v>
      </c>
      <c r="C70" s="1292" t="str">
        <f t="shared" si="4"/>
        <v/>
      </c>
      <c r="D70" s="1260" t="str">
        <f t="shared" si="2"/>
        <v/>
      </c>
    </row>
    <row r="71" spans="1:5" ht="14.25">
      <c r="A71" s="1290">
        <v>8</v>
      </c>
      <c r="B71" s="1291" t="s">
        <v>23</v>
      </c>
      <c r="C71" s="1292" t="str">
        <f t="shared" si="4"/>
        <v/>
      </c>
      <c r="D71" s="1260" t="str">
        <f t="shared" si="2"/>
        <v/>
      </c>
    </row>
    <row r="72" spans="1:5" ht="14.25">
      <c r="A72" s="1290">
        <v>9</v>
      </c>
      <c r="B72" s="1291" t="s">
        <v>24</v>
      </c>
      <c r="C72" s="1292" t="str">
        <f t="shared" si="4"/>
        <v/>
      </c>
      <c r="D72" s="1260" t="str">
        <f t="shared" si="2"/>
        <v/>
      </c>
    </row>
    <row r="73" spans="1:5" ht="15" thickBot="1">
      <c r="A73" s="1293">
        <v>10</v>
      </c>
      <c r="B73" s="1294" t="s">
        <v>25</v>
      </c>
      <c r="C73" s="1295" t="str">
        <f>IF(A73=F$6,1,"")</f>
        <v/>
      </c>
      <c r="D73" s="1296" t="str">
        <f t="shared" si="2"/>
        <v/>
      </c>
    </row>
    <row r="76" spans="1:5">
      <c r="C76" s="1297" t="s">
        <v>1089</v>
      </c>
    </row>
    <row r="77" spans="1:5">
      <c r="A77" s="1280" t="str">
        <f>IF(B77="","",IF(B77&gt;"k","-","+"))</f>
        <v/>
      </c>
      <c r="B77" s="1298"/>
      <c r="C77" s="1298"/>
      <c r="D77" s="1232" t="str">
        <f>IF(B77="","",E77)</f>
        <v/>
      </c>
      <c r="E77" s="1232">
        <v>1</v>
      </c>
    </row>
    <row r="78" spans="1:5">
      <c r="A78" s="1280" t="str">
        <f t="shared" ref="A78:A96" si="5">IF(B78="","",IF(B78&gt;"k","-","+"))</f>
        <v/>
      </c>
      <c r="B78" s="1298"/>
      <c r="C78" s="1298"/>
      <c r="D78" s="1232" t="str">
        <f t="shared" ref="D78:D96" si="6">IF(B78="","",E78)</f>
        <v/>
      </c>
      <c r="E78" s="1232">
        <v>2</v>
      </c>
    </row>
    <row r="79" spans="1:5">
      <c r="A79" s="1280" t="str">
        <f t="shared" si="5"/>
        <v/>
      </c>
      <c r="B79" s="1298"/>
      <c r="C79" s="1298"/>
      <c r="D79" s="1232" t="str">
        <f t="shared" si="6"/>
        <v/>
      </c>
      <c r="E79" s="1232">
        <v>3</v>
      </c>
    </row>
    <row r="80" spans="1:5">
      <c r="A80" s="1280" t="str">
        <f t="shared" si="5"/>
        <v/>
      </c>
      <c r="B80" s="1298"/>
      <c r="C80" s="1298"/>
      <c r="D80" s="1232" t="str">
        <f t="shared" si="6"/>
        <v/>
      </c>
      <c r="E80" s="1232">
        <v>4</v>
      </c>
    </row>
    <row r="81" spans="1:5">
      <c r="A81" s="1280" t="str">
        <f t="shared" si="5"/>
        <v/>
      </c>
      <c r="B81" s="1298"/>
      <c r="C81" s="1298"/>
      <c r="D81" s="1232" t="str">
        <f t="shared" si="6"/>
        <v/>
      </c>
      <c r="E81" s="1232">
        <v>5</v>
      </c>
    </row>
    <row r="82" spans="1:5">
      <c r="A82" s="1280" t="str">
        <f t="shared" si="5"/>
        <v/>
      </c>
      <c r="B82" s="1298"/>
      <c r="C82" s="1298"/>
      <c r="D82" s="1232" t="str">
        <f t="shared" si="6"/>
        <v/>
      </c>
      <c r="E82" s="1232">
        <v>6</v>
      </c>
    </row>
    <row r="83" spans="1:5">
      <c r="A83" s="1280" t="str">
        <f t="shared" si="5"/>
        <v/>
      </c>
      <c r="B83" s="1298"/>
      <c r="C83" s="1298"/>
      <c r="D83" s="1232" t="str">
        <f t="shared" si="6"/>
        <v/>
      </c>
      <c r="E83" s="1232">
        <v>7</v>
      </c>
    </row>
    <row r="84" spans="1:5">
      <c r="A84" s="1280" t="str">
        <f t="shared" si="5"/>
        <v/>
      </c>
      <c r="B84" s="1298"/>
      <c r="C84" s="1298"/>
      <c r="D84" s="1232" t="str">
        <f t="shared" si="6"/>
        <v/>
      </c>
      <c r="E84" s="1232">
        <v>8</v>
      </c>
    </row>
    <row r="85" spans="1:5">
      <c r="A85" s="1280" t="str">
        <f t="shared" si="5"/>
        <v/>
      </c>
      <c r="B85" s="1298"/>
      <c r="C85" s="1298"/>
      <c r="D85" s="1232" t="str">
        <f t="shared" si="6"/>
        <v/>
      </c>
      <c r="E85" s="1232">
        <v>9</v>
      </c>
    </row>
    <row r="86" spans="1:5">
      <c r="A86" s="1280" t="str">
        <f t="shared" si="5"/>
        <v/>
      </c>
      <c r="B86" s="1298"/>
      <c r="C86" s="1298"/>
      <c r="D86" s="1232" t="str">
        <f t="shared" si="6"/>
        <v/>
      </c>
      <c r="E86" s="1232">
        <v>10</v>
      </c>
    </row>
    <row r="87" spans="1:5">
      <c r="A87" s="1280" t="str">
        <f t="shared" si="5"/>
        <v/>
      </c>
      <c r="B87" s="1298"/>
      <c r="C87" s="1298"/>
      <c r="D87" s="1232" t="str">
        <f t="shared" si="6"/>
        <v/>
      </c>
      <c r="E87" s="1232">
        <v>101</v>
      </c>
    </row>
    <row r="88" spans="1:5">
      <c r="A88" s="1280" t="str">
        <f t="shared" si="5"/>
        <v/>
      </c>
      <c r="B88" s="1298"/>
      <c r="C88" s="1298"/>
      <c r="D88" s="1232" t="str">
        <f t="shared" si="6"/>
        <v/>
      </c>
      <c r="E88" s="1232">
        <v>102</v>
      </c>
    </row>
    <row r="89" spans="1:5">
      <c r="A89" s="1280" t="str">
        <f t="shared" si="5"/>
        <v/>
      </c>
      <c r="B89" s="1298"/>
      <c r="C89" s="1298"/>
      <c r="D89" s="1232" t="str">
        <f t="shared" si="6"/>
        <v/>
      </c>
      <c r="E89" s="1232">
        <v>103</v>
      </c>
    </row>
    <row r="90" spans="1:5">
      <c r="A90" s="1280" t="str">
        <f t="shared" si="5"/>
        <v/>
      </c>
      <c r="B90" s="1298"/>
      <c r="C90" s="1298"/>
      <c r="D90" s="1232" t="str">
        <f t="shared" si="6"/>
        <v/>
      </c>
      <c r="E90" s="1232">
        <v>104</v>
      </c>
    </row>
    <row r="91" spans="1:5">
      <c r="A91" s="1280" t="str">
        <f t="shared" si="5"/>
        <v/>
      </c>
      <c r="B91" s="1298"/>
      <c r="C91" s="1298"/>
      <c r="D91" s="1232" t="str">
        <f t="shared" si="6"/>
        <v/>
      </c>
      <c r="E91" s="1232">
        <v>105</v>
      </c>
    </row>
    <row r="92" spans="1:5">
      <c r="A92" s="1280" t="str">
        <f t="shared" si="5"/>
        <v/>
      </c>
      <c r="B92" s="1298"/>
      <c r="C92" s="1298"/>
      <c r="D92" s="1232" t="str">
        <f t="shared" si="6"/>
        <v/>
      </c>
      <c r="E92" s="1232">
        <v>106</v>
      </c>
    </row>
    <row r="93" spans="1:5">
      <c r="A93" s="1280" t="str">
        <f t="shared" si="5"/>
        <v/>
      </c>
      <c r="B93" s="1298"/>
      <c r="C93" s="1298"/>
      <c r="D93" s="1232" t="str">
        <f t="shared" si="6"/>
        <v/>
      </c>
      <c r="E93" s="1232">
        <v>107</v>
      </c>
    </row>
    <row r="94" spans="1:5">
      <c r="A94" s="1280" t="str">
        <f t="shared" si="5"/>
        <v/>
      </c>
      <c r="B94" s="1298"/>
      <c r="C94" s="1298"/>
      <c r="D94" s="1232" t="str">
        <f t="shared" si="6"/>
        <v/>
      </c>
      <c r="E94" s="1232">
        <v>108</v>
      </c>
    </row>
    <row r="95" spans="1:5">
      <c r="A95" s="1280" t="str">
        <f t="shared" si="5"/>
        <v/>
      </c>
      <c r="B95" s="1298"/>
      <c r="C95" s="1298"/>
      <c r="D95" s="1232" t="str">
        <f t="shared" si="6"/>
        <v/>
      </c>
      <c r="E95" s="1232">
        <v>109</v>
      </c>
    </row>
    <row r="96" spans="1:5">
      <c r="A96" s="1280" t="str">
        <f t="shared" si="5"/>
        <v/>
      </c>
      <c r="B96" s="1298"/>
      <c r="C96" s="1298"/>
      <c r="D96" s="1232" t="str">
        <f t="shared" si="6"/>
        <v/>
      </c>
      <c r="E96" s="1232">
        <v>110</v>
      </c>
    </row>
    <row r="97" spans="2:3">
      <c r="B97" s="1178" t="s">
        <v>2</v>
      </c>
      <c r="C97" s="1178"/>
    </row>
    <row r="98" spans="2:3">
      <c r="C98" s="1178"/>
    </row>
    <row r="99" spans="2:3">
      <c r="C99" s="1178"/>
    </row>
    <row r="100" spans="2:3">
      <c r="C100" s="1178"/>
    </row>
    <row r="101" spans="2:3">
      <c r="C101" s="1178"/>
    </row>
    <row r="102" spans="2:3">
      <c r="C102" s="1178"/>
    </row>
    <row r="103" spans="2:3">
      <c r="C103" s="1178"/>
    </row>
    <row r="104" spans="2:3">
      <c r="C104" s="1178"/>
    </row>
    <row r="105" spans="2:3">
      <c r="C105" s="1178"/>
    </row>
    <row r="106" spans="2:3">
      <c r="C106" s="1178"/>
    </row>
    <row r="107" spans="2:3">
      <c r="C107" s="1178"/>
    </row>
    <row r="108" spans="2:3">
      <c r="C108" s="1178"/>
    </row>
    <row r="109" spans="2:3">
      <c r="C109" s="1178"/>
    </row>
    <row r="110" spans="2:3">
      <c r="C110" s="1178"/>
    </row>
    <row r="111" spans="2:3">
      <c r="C111" s="1178"/>
    </row>
    <row r="112" spans="2:3">
      <c r="C112" s="1178"/>
    </row>
    <row r="113" spans="3:3">
      <c r="C113" s="1178"/>
    </row>
    <row r="114" spans="3:3">
      <c r="C114" s="1178"/>
    </row>
    <row r="115" spans="3:3">
      <c r="C115" s="1178"/>
    </row>
    <row r="116" spans="3:3">
      <c r="C116" s="1178"/>
    </row>
    <row r="117" spans="3:3">
      <c r="C117" s="1178"/>
    </row>
  </sheetData>
  <sheetProtection password="CC08" sheet="1" scenarios="1"/>
  <protectedRanges>
    <protectedRange sqref="F1:F6 I6 J11:J30" name="Range1"/>
  </protectedRanges>
  <sortState ref="G11:J30">
    <sortCondition ref="J11"/>
  </sortState>
  <mergeCells count="11">
    <mergeCell ref="X6:AG6"/>
    <mergeCell ref="X1:AG1"/>
    <mergeCell ref="X2:AG2"/>
    <mergeCell ref="X3:AG3"/>
    <mergeCell ref="X4:AG4"/>
    <mergeCell ref="X5:AG5"/>
    <mergeCell ref="A7:C7"/>
    <mergeCell ref="G7:J7"/>
    <mergeCell ref="M7:P7"/>
    <mergeCell ref="R7:U7"/>
    <mergeCell ref="A53:C53"/>
  </mergeCells>
  <pageMargins left="0.75" right="0.75" top="1" bottom="1" header="0.5" footer="0.5"/>
  <pageSetup orientation="portrait" horizontalDpi="200" verticalDpi="200" r:id="rId1"/>
  <headerFooter alignWithMargins="0">
    <oddHeader>&amp;C&amp;"Times New Roman,Bold"&amp;12&amp;A</oddHeader>
    <oddFooter>&amp;L&amp;8&amp;F&amp;CPage &amp;P of &amp;N&amp;R&amp;8&amp;D</oddFooter>
  </headerFooter>
  <drawing r:id="rId2"/>
  <legacyDrawing r:id="rId3"/>
  <controls>
    <control shapeId="143365" r:id="rId4" name="MainMenu"/>
  </controls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212"/>
  <dimension ref="A1:AG136"/>
  <sheetViews>
    <sheetView showGridLines="0" workbookViewId="0">
      <selection activeCell="F6" sqref="F6"/>
    </sheetView>
  </sheetViews>
  <sheetFormatPr defaultRowHeight="12.75"/>
  <cols>
    <col min="1" max="1" width="8.42578125" style="1178" bestFit="1" customWidth="1"/>
    <col min="2" max="2" width="9.42578125" style="1178" customWidth="1"/>
    <col min="3" max="3" width="9" style="1217" customWidth="1"/>
    <col min="4" max="4" width="9.140625" style="1178"/>
    <col min="5" max="5" width="9" style="1178" customWidth="1"/>
    <col min="6" max="6" width="9.7109375" style="1178" customWidth="1"/>
    <col min="7" max="7" width="10.7109375" style="1178" customWidth="1"/>
    <col min="8" max="9" width="9.42578125" style="1178" customWidth="1"/>
    <col min="10" max="10" width="10.140625" style="1178" customWidth="1"/>
    <col min="11" max="11" width="9.140625" style="1178"/>
    <col min="12" max="12" width="9.140625" style="1178" customWidth="1"/>
    <col min="13" max="13" width="8.5703125" style="1178" customWidth="1"/>
    <col min="14" max="14" width="8.7109375" style="1178" customWidth="1"/>
    <col min="15" max="256" width="9.140625" style="1178"/>
    <col min="257" max="257" width="8.42578125" style="1178" bestFit="1" customWidth="1"/>
    <col min="258" max="258" width="9.42578125" style="1178" customWidth="1"/>
    <col min="259" max="259" width="9" style="1178" customWidth="1"/>
    <col min="260" max="260" width="9.140625" style="1178"/>
    <col min="261" max="261" width="9" style="1178" customWidth="1"/>
    <col min="262" max="262" width="9.7109375" style="1178" customWidth="1"/>
    <col min="263" max="263" width="10.7109375" style="1178" customWidth="1"/>
    <col min="264" max="265" width="9.42578125" style="1178" customWidth="1"/>
    <col min="266" max="266" width="10.140625" style="1178" customWidth="1"/>
    <col min="267" max="267" width="9.140625" style="1178"/>
    <col min="268" max="268" width="9.140625" style="1178" customWidth="1"/>
    <col min="269" max="269" width="8.5703125" style="1178" customWidth="1"/>
    <col min="270" max="270" width="8.7109375" style="1178" customWidth="1"/>
    <col min="271" max="512" width="9.140625" style="1178"/>
    <col min="513" max="513" width="8.42578125" style="1178" bestFit="1" customWidth="1"/>
    <col min="514" max="514" width="9.42578125" style="1178" customWidth="1"/>
    <col min="515" max="515" width="9" style="1178" customWidth="1"/>
    <col min="516" max="516" width="9.140625" style="1178"/>
    <col min="517" max="517" width="9" style="1178" customWidth="1"/>
    <col min="518" max="518" width="9.7109375" style="1178" customWidth="1"/>
    <col min="519" max="519" width="10.7109375" style="1178" customWidth="1"/>
    <col min="520" max="521" width="9.42578125" style="1178" customWidth="1"/>
    <col min="522" max="522" width="10.140625" style="1178" customWidth="1"/>
    <col min="523" max="523" width="9.140625" style="1178"/>
    <col min="524" max="524" width="9.140625" style="1178" customWidth="1"/>
    <col min="525" max="525" width="8.5703125" style="1178" customWidth="1"/>
    <col min="526" max="526" width="8.7109375" style="1178" customWidth="1"/>
    <col min="527" max="768" width="9.140625" style="1178"/>
    <col min="769" max="769" width="8.42578125" style="1178" bestFit="1" customWidth="1"/>
    <col min="770" max="770" width="9.42578125" style="1178" customWidth="1"/>
    <col min="771" max="771" width="9" style="1178" customWidth="1"/>
    <col min="772" max="772" width="9.140625" style="1178"/>
    <col min="773" max="773" width="9" style="1178" customWidth="1"/>
    <col min="774" max="774" width="9.7109375" style="1178" customWidth="1"/>
    <col min="775" max="775" width="10.7109375" style="1178" customWidth="1"/>
    <col min="776" max="777" width="9.42578125" style="1178" customWidth="1"/>
    <col min="778" max="778" width="10.140625" style="1178" customWidth="1"/>
    <col min="779" max="779" width="9.140625" style="1178"/>
    <col min="780" max="780" width="9.140625" style="1178" customWidth="1"/>
    <col min="781" max="781" width="8.5703125" style="1178" customWidth="1"/>
    <col min="782" max="782" width="8.7109375" style="1178" customWidth="1"/>
    <col min="783" max="1024" width="9.140625" style="1178"/>
    <col min="1025" max="1025" width="8.42578125" style="1178" bestFit="1" customWidth="1"/>
    <col min="1026" max="1026" width="9.42578125" style="1178" customWidth="1"/>
    <col min="1027" max="1027" width="9" style="1178" customWidth="1"/>
    <col min="1028" max="1028" width="9.140625" style="1178"/>
    <col min="1029" max="1029" width="9" style="1178" customWidth="1"/>
    <col min="1030" max="1030" width="9.7109375" style="1178" customWidth="1"/>
    <col min="1031" max="1031" width="10.7109375" style="1178" customWidth="1"/>
    <col min="1032" max="1033" width="9.42578125" style="1178" customWidth="1"/>
    <col min="1034" max="1034" width="10.140625" style="1178" customWidth="1"/>
    <col min="1035" max="1035" width="9.140625" style="1178"/>
    <col min="1036" max="1036" width="9.140625" style="1178" customWidth="1"/>
    <col min="1037" max="1037" width="8.5703125" style="1178" customWidth="1"/>
    <col min="1038" max="1038" width="8.7109375" style="1178" customWidth="1"/>
    <col min="1039" max="1280" width="9.140625" style="1178"/>
    <col min="1281" max="1281" width="8.42578125" style="1178" bestFit="1" customWidth="1"/>
    <col min="1282" max="1282" width="9.42578125" style="1178" customWidth="1"/>
    <col min="1283" max="1283" width="9" style="1178" customWidth="1"/>
    <col min="1284" max="1284" width="9.140625" style="1178"/>
    <col min="1285" max="1285" width="9" style="1178" customWidth="1"/>
    <col min="1286" max="1286" width="9.7109375" style="1178" customWidth="1"/>
    <col min="1287" max="1287" width="10.7109375" style="1178" customWidth="1"/>
    <col min="1288" max="1289" width="9.42578125" style="1178" customWidth="1"/>
    <col min="1290" max="1290" width="10.140625" style="1178" customWidth="1"/>
    <col min="1291" max="1291" width="9.140625" style="1178"/>
    <col min="1292" max="1292" width="9.140625" style="1178" customWidth="1"/>
    <col min="1293" max="1293" width="8.5703125" style="1178" customWidth="1"/>
    <col min="1294" max="1294" width="8.7109375" style="1178" customWidth="1"/>
    <col min="1295" max="1536" width="9.140625" style="1178"/>
    <col min="1537" max="1537" width="8.42578125" style="1178" bestFit="1" customWidth="1"/>
    <col min="1538" max="1538" width="9.42578125" style="1178" customWidth="1"/>
    <col min="1539" max="1539" width="9" style="1178" customWidth="1"/>
    <col min="1540" max="1540" width="9.140625" style="1178"/>
    <col min="1541" max="1541" width="9" style="1178" customWidth="1"/>
    <col min="1542" max="1542" width="9.7109375" style="1178" customWidth="1"/>
    <col min="1543" max="1543" width="10.7109375" style="1178" customWidth="1"/>
    <col min="1544" max="1545" width="9.42578125" style="1178" customWidth="1"/>
    <col min="1546" max="1546" width="10.140625" style="1178" customWidth="1"/>
    <col min="1547" max="1547" width="9.140625" style="1178"/>
    <col min="1548" max="1548" width="9.140625" style="1178" customWidth="1"/>
    <col min="1549" max="1549" width="8.5703125" style="1178" customWidth="1"/>
    <col min="1550" max="1550" width="8.7109375" style="1178" customWidth="1"/>
    <col min="1551" max="1792" width="9.140625" style="1178"/>
    <col min="1793" max="1793" width="8.42578125" style="1178" bestFit="1" customWidth="1"/>
    <col min="1794" max="1794" width="9.42578125" style="1178" customWidth="1"/>
    <col min="1795" max="1795" width="9" style="1178" customWidth="1"/>
    <col min="1796" max="1796" width="9.140625" style="1178"/>
    <col min="1797" max="1797" width="9" style="1178" customWidth="1"/>
    <col min="1798" max="1798" width="9.7109375" style="1178" customWidth="1"/>
    <col min="1799" max="1799" width="10.7109375" style="1178" customWidth="1"/>
    <col min="1800" max="1801" width="9.42578125" style="1178" customWidth="1"/>
    <col min="1802" max="1802" width="10.140625" style="1178" customWidth="1"/>
    <col min="1803" max="1803" width="9.140625" style="1178"/>
    <col min="1804" max="1804" width="9.140625" style="1178" customWidth="1"/>
    <col min="1805" max="1805" width="8.5703125" style="1178" customWidth="1"/>
    <col min="1806" max="1806" width="8.7109375" style="1178" customWidth="1"/>
    <col min="1807" max="2048" width="9.140625" style="1178"/>
    <col min="2049" max="2049" width="8.42578125" style="1178" bestFit="1" customWidth="1"/>
    <col min="2050" max="2050" width="9.42578125" style="1178" customWidth="1"/>
    <col min="2051" max="2051" width="9" style="1178" customWidth="1"/>
    <col min="2052" max="2052" width="9.140625" style="1178"/>
    <col min="2053" max="2053" width="9" style="1178" customWidth="1"/>
    <col min="2054" max="2054" width="9.7109375" style="1178" customWidth="1"/>
    <col min="2055" max="2055" width="10.7109375" style="1178" customWidth="1"/>
    <col min="2056" max="2057" width="9.42578125" style="1178" customWidth="1"/>
    <col min="2058" max="2058" width="10.140625" style="1178" customWidth="1"/>
    <col min="2059" max="2059" width="9.140625" style="1178"/>
    <col min="2060" max="2060" width="9.140625" style="1178" customWidth="1"/>
    <col min="2061" max="2061" width="8.5703125" style="1178" customWidth="1"/>
    <col min="2062" max="2062" width="8.7109375" style="1178" customWidth="1"/>
    <col min="2063" max="2304" width="9.140625" style="1178"/>
    <col min="2305" max="2305" width="8.42578125" style="1178" bestFit="1" customWidth="1"/>
    <col min="2306" max="2306" width="9.42578125" style="1178" customWidth="1"/>
    <col min="2307" max="2307" width="9" style="1178" customWidth="1"/>
    <col min="2308" max="2308" width="9.140625" style="1178"/>
    <col min="2309" max="2309" width="9" style="1178" customWidth="1"/>
    <col min="2310" max="2310" width="9.7109375" style="1178" customWidth="1"/>
    <col min="2311" max="2311" width="10.7109375" style="1178" customWidth="1"/>
    <col min="2312" max="2313" width="9.42578125" style="1178" customWidth="1"/>
    <col min="2314" max="2314" width="10.140625" style="1178" customWidth="1"/>
    <col min="2315" max="2315" width="9.140625" style="1178"/>
    <col min="2316" max="2316" width="9.140625" style="1178" customWidth="1"/>
    <col min="2317" max="2317" width="8.5703125" style="1178" customWidth="1"/>
    <col min="2318" max="2318" width="8.7109375" style="1178" customWidth="1"/>
    <col min="2319" max="2560" width="9.140625" style="1178"/>
    <col min="2561" max="2561" width="8.42578125" style="1178" bestFit="1" customWidth="1"/>
    <col min="2562" max="2562" width="9.42578125" style="1178" customWidth="1"/>
    <col min="2563" max="2563" width="9" style="1178" customWidth="1"/>
    <col min="2564" max="2564" width="9.140625" style="1178"/>
    <col min="2565" max="2565" width="9" style="1178" customWidth="1"/>
    <col min="2566" max="2566" width="9.7109375" style="1178" customWidth="1"/>
    <col min="2567" max="2567" width="10.7109375" style="1178" customWidth="1"/>
    <col min="2568" max="2569" width="9.42578125" style="1178" customWidth="1"/>
    <col min="2570" max="2570" width="10.140625" style="1178" customWidth="1"/>
    <col min="2571" max="2571" width="9.140625" style="1178"/>
    <col min="2572" max="2572" width="9.140625" style="1178" customWidth="1"/>
    <col min="2573" max="2573" width="8.5703125" style="1178" customWidth="1"/>
    <col min="2574" max="2574" width="8.7109375" style="1178" customWidth="1"/>
    <col min="2575" max="2816" width="9.140625" style="1178"/>
    <col min="2817" max="2817" width="8.42578125" style="1178" bestFit="1" customWidth="1"/>
    <col min="2818" max="2818" width="9.42578125" style="1178" customWidth="1"/>
    <col min="2819" max="2819" width="9" style="1178" customWidth="1"/>
    <col min="2820" max="2820" width="9.140625" style="1178"/>
    <col min="2821" max="2821" width="9" style="1178" customWidth="1"/>
    <col min="2822" max="2822" width="9.7109375" style="1178" customWidth="1"/>
    <col min="2823" max="2823" width="10.7109375" style="1178" customWidth="1"/>
    <col min="2824" max="2825" width="9.42578125" style="1178" customWidth="1"/>
    <col min="2826" max="2826" width="10.140625" style="1178" customWidth="1"/>
    <col min="2827" max="2827" width="9.140625" style="1178"/>
    <col min="2828" max="2828" width="9.140625" style="1178" customWidth="1"/>
    <col min="2829" max="2829" width="8.5703125" style="1178" customWidth="1"/>
    <col min="2830" max="2830" width="8.7109375" style="1178" customWidth="1"/>
    <col min="2831" max="3072" width="9.140625" style="1178"/>
    <col min="3073" max="3073" width="8.42578125" style="1178" bestFit="1" customWidth="1"/>
    <col min="3074" max="3074" width="9.42578125" style="1178" customWidth="1"/>
    <col min="3075" max="3075" width="9" style="1178" customWidth="1"/>
    <col min="3076" max="3076" width="9.140625" style="1178"/>
    <col min="3077" max="3077" width="9" style="1178" customWidth="1"/>
    <col min="3078" max="3078" width="9.7109375" style="1178" customWidth="1"/>
    <col min="3079" max="3079" width="10.7109375" style="1178" customWidth="1"/>
    <col min="3080" max="3081" width="9.42578125" style="1178" customWidth="1"/>
    <col min="3082" max="3082" width="10.140625" style="1178" customWidth="1"/>
    <col min="3083" max="3083" width="9.140625" style="1178"/>
    <col min="3084" max="3084" width="9.140625" style="1178" customWidth="1"/>
    <col min="3085" max="3085" width="8.5703125" style="1178" customWidth="1"/>
    <col min="3086" max="3086" width="8.7109375" style="1178" customWidth="1"/>
    <col min="3087" max="3328" width="9.140625" style="1178"/>
    <col min="3329" max="3329" width="8.42578125" style="1178" bestFit="1" customWidth="1"/>
    <col min="3330" max="3330" width="9.42578125" style="1178" customWidth="1"/>
    <col min="3331" max="3331" width="9" style="1178" customWidth="1"/>
    <col min="3332" max="3332" width="9.140625" style="1178"/>
    <col min="3333" max="3333" width="9" style="1178" customWidth="1"/>
    <col min="3334" max="3334" width="9.7109375" style="1178" customWidth="1"/>
    <col min="3335" max="3335" width="10.7109375" style="1178" customWidth="1"/>
    <col min="3336" max="3337" width="9.42578125" style="1178" customWidth="1"/>
    <col min="3338" max="3338" width="10.140625" style="1178" customWidth="1"/>
    <col min="3339" max="3339" width="9.140625" style="1178"/>
    <col min="3340" max="3340" width="9.140625" style="1178" customWidth="1"/>
    <col min="3341" max="3341" width="8.5703125" style="1178" customWidth="1"/>
    <col min="3342" max="3342" width="8.7109375" style="1178" customWidth="1"/>
    <col min="3343" max="3584" width="9.140625" style="1178"/>
    <col min="3585" max="3585" width="8.42578125" style="1178" bestFit="1" customWidth="1"/>
    <col min="3586" max="3586" width="9.42578125" style="1178" customWidth="1"/>
    <col min="3587" max="3587" width="9" style="1178" customWidth="1"/>
    <col min="3588" max="3588" width="9.140625" style="1178"/>
    <col min="3589" max="3589" width="9" style="1178" customWidth="1"/>
    <col min="3590" max="3590" width="9.7109375" style="1178" customWidth="1"/>
    <col min="3591" max="3591" width="10.7109375" style="1178" customWidth="1"/>
    <col min="3592" max="3593" width="9.42578125" style="1178" customWidth="1"/>
    <col min="3594" max="3594" width="10.140625" style="1178" customWidth="1"/>
    <col min="3595" max="3595" width="9.140625" style="1178"/>
    <col min="3596" max="3596" width="9.140625" style="1178" customWidth="1"/>
    <col min="3597" max="3597" width="8.5703125" style="1178" customWidth="1"/>
    <col min="3598" max="3598" width="8.7109375" style="1178" customWidth="1"/>
    <col min="3599" max="3840" width="9.140625" style="1178"/>
    <col min="3841" max="3841" width="8.42578125" style="1178" bestFit="1" customWidth="1"/>
    <col min="3842" max="3842" width="9.42578125" style="1178" customWidth="1"/>
    <col min="3843" max="3843" width="9" style="1178" customWidth="1"/>
    <col min="3844" max="3844" width="9.140625" style="1178"/>
    <col min="3845" max="3845" width="9" style="1178" customWidth="1"/>
    <col min="3846" max="3846" width="9.7109375" style="1178" customWidth="1"/>
    <col min="3847" max="3847" width="10.7109375" style="1178" customWidth="1"/>
    <col min="3848" max="3849" width="9.42578125" style="1178" customWidth="1"/>
    <col min="3850" max="3850" width="10.140625" style="1178" customWidth="1"/>
    <col min="3851" max="3851" width="9.140625" style="1178"/>
    <col min="3852" max="3852" width="9.140625" style="1178" customWidth="1"/>
    <col min="3853" max="3853" width="8.5703125" style="1178" customWidth="1"/>
    <col min="3854" max="3854" width="8.7109375" style="1178" customWidth="1"/>
    <col min="3855" max="4096" width="9.140625" style="1178"/>
    <col min="4097" max="4097" width="8.42578125" style="1178" bestFit="1" customWidth="1"/>
    <col min="4098" max="4098" width="9.42578125" style="1178" customWidth="1"/>
    <col min="4099" max="4099" width="9" style="1178" customWidth="1"/>
    <col min="4100" max="4100" width="9.140625" style="1178"/>
    <col min="4101" max="4101" width="9" style="1178" customWidth="1"/>
    <col min="4102" max="4102" width="9.7109375" style="1178" customWidth="1"/>
    <col min="4103" max="4103" width="10.7109375" style="1178" customWidth="1"/>
    <col min="4104" max="4105" width="9.42578125" style="1178" customWidth="1"/>
    <col min="4106" max="4106" width="10.140625" style="1178" customWidth="1"/>
    <col min="4107" max="4107" width="9.140625" style="1178"/>
    <col min="4108" max="4108" width="9.140625" style="1178" customWidth="1"/>
    <col min="4109" max="4109" width="8.5703125" style="1178" customWidth="1"/>
    <col min="4110" max="4110" width="8.7109375" style="1178" customWidth="1"/>
    <col min="4111" max="4352" width="9.140625" style="1178"/>
    <col min="4353" max="4353" width="8.42578125" style="1178" bestFit="1" customWidth="1"/>
    <col min="4354" max="4354" width="9.42578125" style="1178" customWidth="1"/>
    <col min="4355" max="4355" width="9" style="1178" customWidth="1"/>
    <col min="4356" max="4356" width="9.140625" style="1178"/>
    <col min="4357" max="4357" width="9" style="1178" customWidth="1"/>
    <col min="4358" max="4358" width="9.7109375" style="1178" customWidth="1"/>
    <col min="4359" max="4359" width="10.7109375" style="1178" customWidth="1"/>
    <col min="4360" max="4361" width="9.42578125" style="1178" customWidth="1"/>
    <col min="4362" max="4362" width="10.140625" style="1178" customWidth="1"/>
    <col min="4363" max="4363" width="9.140625" style="1178"/>
    <col min="4364" max="4364" width="9.140625" style="1178" customWidth="1"/>
    <col min="4365" max="4365" width="8.5703125" style="1178" customWidth="1"/>
    <col min="4366" max="4366" width="8.7109375" style="1178" customWidth="1"/>
    <col min="4367" max="4608" width="9.140625" style="1178"/>
    <col min="4609" max="4609" width="8.42578125" style="1178" bestFit="1" customWidth="1"/>
    <col min="4610" max="4610" width="9.42578125" style="1178" customWidth="1"/>
    <col min="4611" max="4611" width="9" style="1178" customWidth="1"/>
    <col min="4612" max="4612" width="9.140625" style="1178"/>
    <col min="4613" max="4613" width="9" style="1178" customWidth="1"/>
    <col min="4614" max="4614" width="9.7109375" style="1178" customWidth="1"/>
    <col min="4615" max="4615" width="10.7109375" style="1178" customWidth="1"/>
    <col min="4616" max="4617" width="9.42578125" style="1178" customWidth="1"/>
    <col min="4618" max="4618" width="10.140625" style="1178" customWidth="1"/>
    <col min="4619" max="4619" width="9.140625" style="1178"/>
    <col min="4620" max="4620" width="9.140625" style="1178" customWidth="1"/>
    <col min="4621" max="4621" width="8.5703125" style="1178" customWidth="1"/>
    <col min="4622" max="4622" width="8.7109375" style="1178" customWidth="1"/>
    <col min="4623" max="4864" width="9.140625" style="1178"/>
    <col min="4865" max="4865" width="8.42578125" style="1178" bestFit="1" customWidth="1"/>
    <col min="4866" max="4866" width="9.42578125" style="1178" customWidth="1"/>
    <col min="4867" max="4867" width="9" style="1178" customWidth="1"/>
    <col min="4868" max="4868" width="9.140625" style="1178"/>
    <col min="4869" max="4869" width="9" style="1178" customWidth="1"/>
    <col min="4870" max="4870" width="9.7109375" style="1178" customWidth="1"/>
    <col min="4871" max="4871" width="10.7109375" style="1178" customWidth="1"/>
    <col min="4872" max="4873" width="9.42578125" style="1178" customWidth="1"/>
    <col min="4874" max="4874" width="10.140625" style="1178" customWidth="1"/>
    <col min="4875" max="4875" width="9.140625" style="1178"/>
    <col min="4876" max="4876" width="9.140625" style="1178" customWidth="1"/>
    <col min="4877" max="4877" width="8.5703125" style="1178" customWidth="1"/>
    <col min="4878" max="4878" width="8.7109375" style="1178" customWidth="1"/>
    <col min="4879" max="5120" width="9.140625" style="1178"/>
    <col min="5121" max="5121" width="8.42578125" style="1178" bestFit="1" customWidth="1"/>
    <col min="5122" max="5122" width="9.42578125" style="1178" customWidth="1"/>
    <col min="5123" max="5123" width="9" style="1178" customWidth="1"/>
    <col min="5124" max="5124" width="9.140625" style="1178"/>
    <col min="5125" max="5125" width="9" style="1178" customWidth="1"/>
    <col min="5126" max="5126" width="9.7109375" style="1178" customWidth="1"/>
    <col min="5127" max="5127" width="10.7109375" style="1178" customWidth="1"/>
    <col min="5128" max="5129" width="9.42578125" style="1178" customWidth="1"/>
    <col min="5130" max="5130" width="10.140625" style="1178" customWidth="1"/>
    <col min="5131" max="5131" width="9.140625" style="1178"/>
    <col min="5132" max="5132" width="9.140625" style="1178" customWidth="1"/>
    <col min="5133" max="5133" width="8.5703125" style="1178" customWidth="1"/>
    <col min="5134" max="5134" width="8.7109375" style="1178" customWidth="1"/>
    <col min="5135" max="5376" width="9.140625" style="1178"/>
    <col min="5377" max="5377" width="8.42578125" style="1178" bestFit="1" customWidth="1"/>
    <col min="5378" max="5378" width="9.42578125" style="1178" customWidth="1"/>
    <col min="5379" max="5379" width="9" style="1178" customWidth="1"/>
    <col min="5380" max="5380" width="9.140625" style="1178"/>
    <col min="5381" max="5381" width="9" style="1178" customWidth="1"/>
    <col min="5382" max="5382" width="9.7109375" style="1178" customWidth="1"/>
    <col min="5383" max="5383" width="10.7109375" style="1178" customWidth="1"/>
    <col min="5384" max="5385" width="9.42578125" style="1178" customWidth="1"/>
    <col min="5386" max="5386" width="10.140625" style="1178" customWidth="1"/>
    <col min="5387" max="5387" width="9.140625" style="1178"/>
    <col min="5388" max="5388" width="9.140625" style="1178" customWidth="1"/>
    <col min="5389" max="5389" width="8.5703125" style="1178" customWidth="1"/>
    <col min="5390" max="5390" width="8.7109375" style="1178" customWidth="1"/>
    <col min="5391" max="5632" width="9.140625" style="1178"/>
    <col min="5633" max="5633" width="8.42578125" style="1178" bestFit="1" customWidth="1"/>
    <col min="5634" max="5634" width="9.42578125" style="1178" customWidth="1"/>
    <col min="5635" max="5635" width="9" style="1178" customWidth="1"/>
    <col min="5636" max="5636" width="9.140625" style="1178"/>
    <col min="5637" max="5637" width="9" style="1178" customWidth="1"/>
    <col min="5638" max="5638" width="9.7109375" style="1178" customWidth="1"/>
    <col min="5639" max="5639" width="10.7109375" style="1178" customWidth="1"/>
    <col min="5640" max="5641" width="9.42578125" style="1178" customWidth="1"/>
    <col min="5642" max="5642" width="10.140625" style="1178" customWidth="1"/>
    <col min="5643" max="5643" width="9.140625" style="1178"/>
    <col min="5644" max="5644" width="9.140625" style="1178" customWidth="1"/>
    <col min="5645" max="5645" width="8.5703125" style="1178" customWidth="1"/>
    <col min="5646" max="5646" width="8.7109375" style="1178" customWidth="1"/>
    <col min="5647" max="5888" width="9.140625" style="1178"/>
    <col min="5889" max="5889" width="8.42578125" style="1178" bestFit="1" customWidth="1"/>
    <col min="5890" max="5890" width="9.42578125" style="1178" customWidth="1"/>
    <col min="5891" max="5891" width="9" style="1178" customWidth="1"/>
    <col min="5892" max="5892" width="9.140625" style="1178"/>
    <col min="5893" max="5893" width="9" style="1178" customWidth="1"/>
    <col min="5894" max="5894" width="9.7109375" style="1178" customWidth="1"/>
    <col min="5895" max="5895" width="10.7109375" style="1178" customWidth="1"/>
    <col min="5896" max="5897" width="9.42578125" style="1178" customWidth="1"/>
    <col min="5898" max="5898" width="10.140625" style="1178" customWidth="1"/>
    <col min="5899" max="5899" width="9.140625" style="1178"/>
    <col min="5900" max="5900" width="9.140625" style="1178" customWidth="1"/>
    <col min="5901" max="5901" width="8.5703125" style="1178" customWidth="1"/>
    <col min="5902" max="5902" width="8.7109375" style="1178" customWidth="1"/>
    <col min="5903" max="6144" width="9.140625" style="1178"/>
    <col min="6145" max="6145" width="8.42578125" style="1178" bestFit="1" customWidth="1"/>
    <col min="6146" max="6146" width="9.42578125" style="1178" customWidth="1"/>
    <col min="6147" max="6147" width="9" style="1178" customWidth="1"/>
    <col min="6148" max="6148" width="9.140625" style="1178"/>
    <col min="6149" max="6149" width="9" style="1178" customWidth="1"/>
    <col min="6150" max="6150" width="9.7109375" style="1178" customWidth="1"/>
    <col min="6151" max="6151" width="10.7109375" style="1178" customWidth="1"/>
    <col min="6152" max="6153" width="9.42578125" style="1178" customWidth="1"/>
    <col min="6154" max="6154" width="10.140625" style="1178" customWidth="1"/>
    <col min="6155" max="6155" width="9.140625" style="1178"/>
    <col min="6156" max="6156" width="9.140625" style="1178" customWidth="1"/>
    <col min="6157" max="6157" width="8.5703125" style="1178" customWidth="1"/>
    <col min="6158" max="6158" width="8.7109375" style="1178" customWidth="1"/>
    <col min="6159" max="6400" width="9.140625" style="1178"/>
    <col min="6401" max="6401" width="8.42578125" style="1178" bestFit="1" customWidth="1"/>
    <col min="6402" max="6402" width="9.42578125" style="1178" customWidth="1"/>
    <col min="6403" max="6403" width="9" style="1178" customWidth="1"/>
    <col min="6404" max="6404" width="9.140625" style="1178"/>
    <col min="6405" max="6405" width="9" style="1178" customWidth="1"/>
    <col min="6406" max="6406" width="9.7109375" style="1178" customWidth="1"/>
    <col min="6407" max="6407" width="10.7109375" style="1178" customWidth="1"/>
    <col min="6408" max="6409" width="9.42578125" style="1178" customWidth="1"/>
    <col min="6410" max="6410" width="10.140625" style="1178" customWidth="1"/>
    <col min="6411" max="6411" width="9.140625" style="1178"/>
    <col min="6412" max="6412" width="9.140625" style="1178" customWidth="1"/>
    <col min="6413" max="6413" width="8.5703125" style="1178" customWidth="1"/>
    <col min="6414" max="6414" width="8.7109375" style="1178" customWidth="1"/>
    <col min="6415" max="6656" width="9.140625" style="1178"/>
    <col min="6657" max="6657" width="8.42578125" style="1178" bestFit="1" customWidth="1"/>
    <col min="6658" max="6658" width="9.42578125" style="1178" customWidth="1"/>
    <col min="6659" max="6659" width="9" style="1178" customWidth="1"/>
    <col min="6660" max="6660" width="9.140625" style="1178"/>
    <col min="6661" max="6661" width="9" style="1178" customWidth="1"/>
    <col min="6662" max="6662" width="9.7109375" style="1178" customWidth="1"/>
    <col min="6663" max="6663" width="10.7109375" style="1178" customWidth="1"/>
    <col min="6664" max="6665" width="9.42578125" style="1178" customWidth="1"/>
    <col min="6666" max="6666" width="10.140625" style="1178" customWidth="1"/>
    <col min="6667" max="6667" width="9.140625" style="1178"/>
    <col min="6668" max="6668" width="9.140625" style="1178" customWidth="1"/>
    <col min="6669" max="6669" width="8.5703125" style="1178" customWidth="1"/>
    <col min="6670" max="6670" width="8.7109375" style="1178" customWidth="1"/>
    <col min="6671" max="6912" width="9.140625" style="1178"/>
    <col min="6913" max="6913" width="8.42578125" style="1178" bestFit="1" customWidth="1"/>
    <col min="6914" max="6914" width="9.42578125" style="1178" customWidth="1"/>
    <col min="6915" max="6915" width="9" style="1178" customWidth="1"/>
    <col min="6916" max="6916" width="9.140625" style="1178"/>
    <col min="6917" max="6917" width="9" style="1178" customWidth="1"/>
    <col min="6918" max="6918" width="9.7109375" style="1178" customWidth="1"/>
    <col min="6919" max="6919" width="10.7109375" style="1178" customWidth="1"/>
    <col min="6920" max="6921" width="9.42578125" style="1178" customWidth="1"/>
    <col min="6922" max="6922" width="10.140625" style="1178" customWidth="1"/>
    <col min="6923" max="6923" width="9.140625" style="1178"/>
    <col min="6924" max="6924" width="9.140625" style="1178" customWidth="1"/>
    <col min="6925" max="6925" width="8.5703125" style="1178" customWidth="1"/>
    <col min="6926" max="6926" width="8.7109375" style="1178" customWidth="1"/>
    <col min="6927" max="7168" width="9.140625" style="1178"/>
    <col min="7169" max="7169" width="8.42578125" style="1178" bestFit="1" customWidth="1"/>
    <col min="7170" max="7170" width="9.42578125" style="1178" customWidth="1"/>
    <col min="7171" max="7171" width="9" style="1178" customWidth="1"/>
    <col min="7172" max="7172" width="9.140625" style="1178"/>
    <col min="7173" max="7173" width="9" style="1178" customWidth="1"/>
    <col min="7174" max="7174" width="9.7109375" style="1178" customWidth="1"/>
    <col min="7175" max="7175" width="10.7109375" style="1178" customWidth="1"/>
    <col min="7176" max="7177" width="9.42578125" style="1178" customWidth="1"/>
    <col min="7178" max="7178" width="10.140625" style="1178" customWidth="1"/>
    <col min="7179" max="7179" width="9.140625" style="1178"/>
    <col min="7180" max="7180" width="9.140625" style="1178" customWidth="1"/>
    <col min="7181" max="7181" width="8.5703125" style="1178" customWidth="1"/>
    <col min="7182" max="7182" width="8.7109375" style="1178" customWidth="1"/>
    <col min="7183" max="7424" width="9.140625" style="1178"/>
    <col min="7425" max="7425" width="8.42578125" style="1178" bestFit="1" customWidth="1"/>
    <col min="7426" max="7426" width="9.42578125" style="1178" customWidth="1"/>
    <col min="7427" max="7427" width="9" style="1178" customWidth="1"/>
    <col min="7428" max="7428" width="9.140625" style="1178"/>
    <col min="7429" max="7429" width="9" style="1178" customWidth="1"/>
    <col min="7430" max="7430" width="9.7109375" style="1178" customWidth="1"/>
    <col min="7431" max="7431" width="10.7109375" style="1178" customWidth="1"/>
    <col min="7432" max="7433" width="9.42578125" style="1178" customWidth="1"/>
    <col min="7434" max="7434" width="10.140625" style="1178" customWidth="1"/>
    <col min="7435" max="7435" width="9.140625" style="1178"/>
    <col min="7436" max="7436" width="9.140625" style="1178" customWidth="1"/>
    <col min="7437" max="7437" width="8.5703125" style="1178" customWidth="1"/>
    <col min="7438" max="7438" width="8.7109375" style="1178" customWidth="1"/>
    <col min="7439" max="7680" width="9.140625" style="1178"/>
    <col min="7681" max="7681" width="8.42578125" style="1178" bestFit="1" customWidth="1"/>
    <col min="7682" max="7682" width="9.42578125" style="1178" customWidth="1"/>
    <col min="7683" max="7683" width="9" style="1178" customWidth="1"/>
    <col min="7684" max="7684" width="9.140625" style="1178"/>
    <col min="7685" max="7685" width="9" style="1178" customWidth="1"/>
    <col min="7686" max="7686" width="9.7109375" style="1178" customWidth="1"/>
    <col min="7687" max="7687" width="10.7109375" style="1178" customWidth="1"/>
    <col min="7688" max="7689" width="9.42578125" style="1178" customWidth="1"/>
    <col min="7690" max="7690" width="10.140625" style="1178" customWidth="1"/>
    <col min="7691" max="7691" width="9.140625" style="1178"/>
    <col min="7692" max="7692" width="9.140625" style="1178" customWidth="1"/>
    <col min="7693" max="7693" width="8.5703125" style="1178" customWidth="1"/>
    <col min="7694" max="7694" width="8.7109375" style="1178" customWidth="1"/>
    <col min="7695" max="7936" width="9.140625" style="1178"/>
    <col min="7937" max="7937" width="8.42578125" style="1178" bestFit="1" customWidth="1"/>
    <col min="7938" max="7938" width="9.42578125" style="1178" customWidth="1"/>
    <col min="7939" max="7939" width="9" style="1178" customWidth="1"/>
    <col min="7940" max="7940" width="9.140625" style="1178"/>
    <col min="7941" max="7941" width="9" style="1178" customWidth="1"/>
    <col min="7942" max="7942" width="9.7109375" style="1178" customWidth="1"/>
    <col min="7943" max="7943" width="10.7109375" style="1178" customWidth="1"/>
    <col min="7944" max="7945" width="9.42578125" style="1178" customWidth="1"/>
    <col min="7946" max="7946" width="10.140625" style="1178" customWidth="1"/>
    <col min="7947" max="7947" width="9.140625" style="1178"/>
    <col min="7948" max="7948" width="9.140625" style="1178" customWidth="1"/>
    <col min="7949" max="7949" width="8.5703125" style="1178" customWidth="1"/>
    <col min="7950" max="7950" width="8.7109375" style="1178" customWidth="1"/>
    <col min="7951" max="8192" width="9.140625" style="1178"/>
    <col min="8193" max="8193" width="8.42578125" style="1178" bestFit="1" customWidth="1"/>
    <col min="8194" max="8194" width="9.42578125" style="1178" customWidth="1"/>
    <col min="8195" max="8195" width="9" style="1178" customWidth="1"/>
    <col min="8196" max="8196" width="9.140625" style="1178"/>
    <col min="8197" max="8197" width="9" style="1178" customWidth="1"/>
    <col min="8198" max="8198" width="9.7109375" style="1178" customWidth="1"/>
    <col min="8199" max="8199" width="10.7109375" style="1178" customWidth="1"/>
    <col min="8200" max="8201" width="9.42578125" style="1178" customWidth="1"/>
    <col min="8202" max="8202" width="10.140625" style="1178" customWidth="1"/>
    <col min="8203" max="8203" width="9.140625" style="1178"/>
    <col min="8204" max="8204" width="9.140625" style="1178" customWidth="1"/>
    <col min="8205" max="8205" width="8.5703125" style="1178" customWidth="1"/>
    <col min="8206" max="8206" width="8.7109375" style="1178" customWidth="1"/>
    <col min="8207" max="8448" width="9.140625" style="1178"/>
    <col min="8449" max="8449" width="8.42578125" style="1178" bestFit="1" customWidth="1"/>
    <col min="8450" max="8450" width="9.42578125" style="1178" customWidth="1"/>
    <col min="8451" max="8451" width="9" style="1178" customWidth="1"/>
    <col min="8452" max="8452" width="9.140625" style="1178"/>
    <col min="8453" max="8453" width="9" style="1178" customWidth="1"/>
    <col min="8454" max="8454" width="9.7109375" style="1178" customWidth="1"/>
    <col min="8455" max="8455" width="10.7109375" style="1178" customWidth="1"/>
    <col min="8456" max="8457" width="9.42578125" style="1178" customWidth="1"/>
    <col min="8458" max="8458" width="10.140625" style="1178" customWidth="1"/>
    <col min="8459" max="8459" width="9.140625" style="1178"/>
    <col min="8460" max="8460" width="9.140625" style="1178" customWidth="1"/>
    <col min="8461" max="8461" width="8.5703125" style="1178" customWidth="1"/>
    <col min="8462" max="8462" width="8.7109375" style="1178" customWidth="1"/>
    <col min="8463" max="8704" width="9.140625" style="1178"/>
    <col min="8705" max="8705" width="8.42578125" style="1178" bestFit="1" customWidth="1"/>
    <col min="8706" max="8706" width="9.42578125" style="1178" customWidth="1"/>
    <col min="8707" max="8707" width="9" style="1178" customWidth="1"/>
    <col min="8708" max="8708" width="9.140625" style="1178"/>
    <col min="8709" max="8709" width="9" style="1178" customWidth="1"/>
    <col min="8710" max="8710" width="9.7109375" style="1178" customWidth="1"/>
    <col min="8711" max="8711" width="10.7109375" style="1178" customWidth="1"/>
    <col min="8712" max="8713" width="9.42578125" style="1178" customWidth="1"/>
    <col min="8714" max="8714" width="10.140625" style="1178" customWidth="1"/>
    <col min="8715" max="8715" width="9.140625" style="1178"/>
    <col min="8716" max="8716" width="9.140625" style="1178" customWidth="1"/>
    <col min="8717" max="8717" width="8.5703125" style="1178" customWidth="1"/>
    <col min="8718" max="8718" width="8.7109375" style="1178" customWidth="1"/>
    <col min="8719" max="8960" width="9.140625" style="1178"/>
    <col min="8961" max="8961" width="8.42578125" style="1178" bestFit="1" customWidth="1"/>
    <col min="8962" max="8962" width="9.42578125" style="1178" customWidth="1"/>
    <col min="8963" max="8963" width="9" style="1178" customWidth="1"/>
    <col min="8964" max="8964" width="9.140625" style="1178"/>
    <col min="8965" max="8965" width="9" style="1178" customWidth="1"/>
    <col min="8966" max="8966" width="9.7109375" style="1178" customWidth="1"/>
    <col min="8967" max="8967" width="10.7109375" style="1178" customWidth="1"/>
    <col min="8968" max="8969" width="9.42578125" style="1178" customWidth="1"/>
    <col min="8970" max="8970" width="10.140625" style="1178" customWidth="1"/>
    <col min="8971" max="8971" width="9.140625" style="1178"/>
    <col min="8972" max="8972" width="9.140625" style="1178" customWidth="1"/>
    <col min="8973" max="8973" width="8.5703125" style="1178" customWidth="1"/>
    <col min="8974" max="8974" width="8.7109375" style="1178" customWidth="1"/>
    <col min="8975" max="9216" width="9.140625" style="1178"/>
    <col min="9217" max="9217" width="8.42578125" style="1178" bestFit="1" customWidth="1"/>
    <col min="9218" max="9218" width="9.42578125" style="1178" customWidth="1"/>
    <col min="9219" max="9219" width="9" style="1178" customWidth="1"/>
    <col min="9220" max="9220" width="9.140625" style="1178"/>
    <col min="9221" max="9221" width="9" style="1178" customWidth="1"/>
    <col min="9222" max="9222" width="9.7109375" style="1178" customWidth="1"/>
    <col min="9223" max="9223" width="10.7109375" style="1178" customWidth="1"/>
    <col min="9224" max="9225" width="9.42578125" style="1178" customWidth="1"/>
    <col min="9226" max="9226" width="10.140625" style="1178" customWidth="1"/>
    <col min="9227" max="9227" width="9.140625" style="1178"/>
    <col min="9228" max="9228" width="9.140625" style="1178" customWidth="1"/>
    <col min="9229" max="9229" width="8.5703125" style="1178" customWidth="1"/>
    <col min="9230" max="9230" width="8.7109375" style="1178" customWidth="1"/>
    <col min="9231" max="9472" width="9.140625" style="1178"/>
    <col min="9473" max="9473" width="8.42578125" style="1178" bestFit="1" customWidth="1"/>
    <col min="9474" max="9474" width="9.42578125" style="1178" customWidth="1"/>
    <col min="9475" max="9475" width="9" style="1178" customWidth="1"/>
    <col min="9476" max="9476" width="9.140625" style="1178"/>
    <col min="9477" max="9477" width="9" style="1178" customWidth="1"/>
    <col min="9478" max="9478" width="9.7109375" style="1178" customWidth="1"/>
    <col min="9479" max="9479" width="10.7109375" style="1178" customWidth="1"/>
    <col min="9480" max="9481" width="9.42578125" style="1178" customWidth="1"/>
    <col min="9482" max="9482" width="10.140625" style="1178" customWidth="1"/>
    <col min="9483" max="9483" width="9.140625" style="1178"/>
    <col min="9484" max="9484" width="9.140625" style="1178" customWidth="1"/>
    <col min="9485" max="9485" width="8.5703125" style="1178" customWidth="1"/>
    <col min="9486" max="9486" width="8.7109375" style="1178" customWidth="1"/>
    <col min="9487" max="9728" width="9.140625" style="1178"/>
    <col min="9729" max="9729" width="8.42578125" style="1178" bestFit="1" customWidth="1"/>
    <col min="9730" max="9730" width="9.42578125" style="1178" customWidth="1"/>
    <col min="9731" max="9731" width="9" style="1178" customWidth="1"/>
    <col min="9732" max="9732" width="9.140625" style="1178"/>
    <col min="9733" max="9733" width="9" style="1178" customWidth="1"/>
    <col min="9734" max="9734" width="9.7109375" style="1178" customWidth="1"/>
    <col min="9735" max="9735" width="10.7109375" style="1178" customWidth="1"/>
    <col min="9736" max="9737" width="9.42578125" style="1178" customWidth="1"/>
    <col min="9738" max="9738" width="10.140625" style="1178" customWidth="1"/>
    <col min="9739" max="9739" width="9.140625" style="1178"/>
    <col min="9740" max="9740" width="9.140625" style="1178" customWidth="1"/>
    <col min="9741" max="9741" width="8.5703125" style="1178" customWidth="1"/>
    <col min="9742" max="9742" width="8.7109375" style="1178" customWidth="1"/>
    <col min="9743" max="9984" width="9.140625" style="1178"/>
    <col min="9985" max="9985" width="8.42578125" style="1178" bestFit="1" customWidth="1"/>
    <col min="9986" max="9986" width="9.42578125" style="1178" customWidth="1"/>
    <col min="9987" max="9987" width="9" style="1178" customWidth="1"/>
    <col min="9988" max="9988" width="9.140625" style="1178"/>
    <col min="9989" max="9989" width="9" style="1178" customWidth="1"/>
    <col min="9990" max="9990" width="9.7109375" style="1178" customWidth="1"/>
    <col min="9991" max="9991" width="10.7109375" style="1178" customWidth="1"/>
    <col min="9992" max="9993" width="9.42578125" style="1178" customWidth="1"/>
    <col min="9994" max="9994" width="10.140625" style="1178" customWidth="1"/>
    <col min="9995" max="9995" width="9.140625" style="1178"/>
    <col min="9996" max="9996" width="9.140625" style="1178" customWidth="1"/>
    <col min="9997" max="9997" width="8.5703125" style="1178" customWidth="1"/>
    <col min="9998" max="9998" width="8.7109375" style="1178" customWidth="1"/>
    <col min="9999" max="10240" width="9.140625" style="1178"/>
    <col min="10241" max="10241" width="8.42578125" style="1178" bestFit="1" customWidth="1"/>
    <col min="10242" max="10242" width="9.42578125" style="1178" customWidth="1"/>
    <col min="10243" max="10243" width="9" style="1178" customWidth="1"/>
    <col min="10244" max="10244" width="9.140625" style="1178"/>
    <col min="10245" max="10245" width="9" style="1178" customWidth="1"/>
    <col min="10246" max="10246" width="9.7109375" style="1178" customWidth="1"/>
    <col min="10247" max="10247" width="10.7109375" style="1178" customWidth="1"/>
    <col min="10248" max="10249" width="9.42578125" style="1178" customWidth="1"/>
    <col min="10250" max="10250" width="10.140625" style="1178" customWidth="1"/>
    <col min="10251" max="10251" width="9.140625" style="1178"/>
    <col min="10252" max="10252" width="9.140625" style="1178" customWidth="1"/>
    <col min="10253" max="10253" width="8.5703125" style="1178" customWidth="1"/>
    <col min="10254" max="10254" width="8.7109375" style="1178" customWidth="1"/>
    <col min="10255" max="10496" width="9.140625" style="1178"/>
    <col min="10497" max="10497" width="8.42578125" style="1178" bestFit="1" customWidth="1"/>
    <col min="10498" max="10498" width="9.42578125" style="1178" customWidth="1"/>
    <col min="10499" max="10499" width="9" style="1178" customWidth="1"/>
    <col min="10500" max="10500" width="9.140625" style="1178"/>
    <col min="10501" max="10501" width="9" style="1178" customWidth="1"/>
    <col min="10502" max="10502" width="9.7109375" style="1178" customWidth="1"/>
    <col min="10503" max="10503" width="10.7109375" style="1178" customWidth="1"/>
    <col min="10504" max="10505" width="9.42578125" style="1178" customWidth="1"/>
    <col min="10506" max="10506" width="10.140625" style="1178" customWidth="1"/>
    <col min="10507" max="10507" width="9.140625" style="1178"/>
    <col min="10508" max="10508" width="9.140625" style="1178" customWidth="1"/>
    <col min="10509" max="10509" width="8.5703125" style="1178" customWidth="1"/>
    <col min="10510" max="10510" width="8.7109375" style="1178" customWidth="1"/>
    <col min="10511" max="10752" width="9.140625" style="1178"/>
    <col min="10753" max="10753" width="8.42578125" style="1178" bestFit="1" customWidth="1"/>
    <col min="10754" max="10754" width="9.42578125" style="1178" customWidth="1"/>
    <col min="10755" max="10755" width="9" style="1178" customWidth="1"/>
    <col min="10756" max="10756" width="9.140625" style="1178"/>
    <col min="10757" max="10757" width="9" style="1178" customWidth="1"/>
    <col min="10758" max="10758" width="9.7109375" style="1178" customWidth="1"/>
    <col min="10759" max="10759" width="10.7109375" style="1178" customWidth="1"/>
    <col min="10760" max="10761" width="9.42578125" style="1178" customWidth="1"/>
    <col min="10762" max="10762" width="10.140625" style="1178" customWidth="1"/>
    <col min="10763" max="10763" width="9.140625" style="1178"/>
    <col min="10764" max="10764" width="9.140625" style="1178" customWidth="1"/>
    <col min="10765" max="10765" width="8.5703125" style="1178" customWidth="1"/>
    <col min="10766" max="10766" width="8.7109375" style="1178" customWidth="1"/>
    <col min="10767" max="11008" width="9.140625" style="1178"/>
    <col min="11009" max="11009" width="8.42578125" style="1178" bestFit="1" customWidth="1"/>
    <col min="11010" max="11010" width="9.42578125" style="1178" customWidth="1"/>
    <col min="11011" max="11011" width="9" style="1178" customWidth="1"/>
    <col min="11012" max="11012" width="9.140625" style="1178"/>
    <col min="11013" max="11013" width="9" style="1178" customWidth="1"/>
    <col min="11014" max="11014" width="9.7109375" style="1178" customWidth="1"/>
    <col min="11015" max="11015" width="10.7109375" style="1178" customWidth="1"/>
    <col min="11016" max="11017" width="9.42578125" style="1178" customWidth="1"/>
    <col min="11018" max="11018" width="10.140625" style="1178" customWidth="1"/>
    <col min="11019" max="11019" width="9.140625" style="1178"/>
    <col min="11020" max="11020" width="9.140625" style="1178" customWidth="1"/>
    <col min="11021" max="11021" width="8.5703125" style="1178" customWidth="1"/>
    <col min="11022" max="11022" width="8.7109375" style="1178" customWidth="1"/>
    <col min="11023" max="11264" width="9.140625" style="1178"/>
    <col min="11265" max="11265" width="8.42578125" style="1178" bestFit="1" customWidth="1"/>
    <col min="11266" max="11266" width="9.42578125" style="1178" customWidth="1"/>
    <col min="11267" max="11267" width="9" style="1178" customWidth="1"/>
    <col min="11268" max="11268" width="9.140625" style="1178"/>
    <col min="11269" max="11269" width="9" style="1178" customWidth="1"/>
    <col min="11270" max="11270" width="9.7109375" style="1178" customWidth="1"/>
    <col min="11271" max="11271" width="10.7109375" style="1178" customWidth="1"/>
    <col min="11272" max="11273" width="9.42578125" style="1178" customWidth="1"/>
    <col min="11274" max="11274" width="10.140625" style="1178" customWidth="1"/>
    <col min="11275" max="11275" width="9.140625" style="1178"/>
    <col min="11276" max="11276" width="9.140625" style="1178" customWidth="1"/>
    <col min="11277" max="11277" width="8.5703125" style="1178" customWidth="1"/>
    <col min="11278" max="11278" width="8.7109375" style="1178" customWidth="1"/>
    <col min="11279" max="11520" width="9.140625" style="1178"/>
    <col min="11521" max="11521" width="8.42578125" style="1178" bestFit="1" customWidth="1"/>
    <col min="11522" max="11522" width="9.42578125" style="1178" customWidth="1"/>
    <col min="11523" max="11523" width="9" style="1178" customWidth="1"/>
    <col min="11524" max="11524" width="9.140625" style="1178"/>
    <col min="11525" max="11525" width="9" style="1178" customWidth="1"/>
    <col min="11526" max="11526" width="9.7109375" style="1178" customWidth="1"/>
    <col min="11527" max="11527" width="10.7109375" style="1178" customWidth="1"/>
    <col min="11528" max="11529" width="9.42578125" style="1178" customWidth="1"/>
    <col min="11530" max="11530" width="10.140625" style="1178" customWidth="1"/>
    <col min="11531" max="11531" width="9.140625" style="1178"/>
    <col min="11532" max="11532" width="9.140625" style="1178" customWidth="1"/>
    <col min="11533" max="11533" width="8.5703125" style="1178" customWidth="1"/>
    <col min="11534" max="11534" width="8.7109375" style="1178" customWidth="1"/>
    <col min="11535" max="11776" width="9.140625" style="1178"/>
    <col min="11777" max="11777" width="8.42578125" style="1178" bestFit="1" customWidth="1"/>
    <col min="11778" max="11778" width="9.42578125" style="1178" customWidth="1"/>
    <col min="11779" max="11779" width="9" style="1178" customWidth="1"/>
    <col min="11780" max="11780" width="9.140625" style="1178"/>
    <col min="11781" max="11781" width="9" style="1178" customWidth="1"/>
    <col min="11782" max="11782" width="9.7109375" style="1178" customWidth="1"/>
    <col min="11783" max="11783" width="10.7109375" style="1178" customWidth="1"/>
    <col min="11784" max="11785" width="9.42578125" style="1178" customWidth="1"/>
    <col min="11786" max="11786" width="10.140625" style="1178" customWidth="1"/>
    <col min="11787" max="11787" width="9.140625" style="1178"/>
    <col min="11788" max="11788" width="9.140625" style="1178" customWidth="1"/>
    <col min="11789" max="11789" width="8.5703125" style="1178" customWidth="1"/>
    <col min="11790" max="11790" width="8.7109375" style="1178" customWidth="1"/>
    <col min="11791" max="12032" width="9.140625" style="1178"/>
    <col min="12033" max="12033" width="8.42578125" style="1178" bestFit="1" customWidth="1"/>
    <col min="12034" max="12034" width="9.42578125" style="1178" customWidth="1"/>
    <col min="12035" max="12035" width="9" style="1178" customWidth="1"/>
    <col min="12036" max="12036" width="9.140625" style="1178"/>
    <col min="12037" max="12037" width="9" style="1178" customWidth="1"/>
    <col min="12038" max="12038" width="9.7109375" style="1178" customWidth="1"/>
    <col min="12039" max="12039" width="10.7109375" style="1178" customWidth="1"/>
    <col min="12040" max="12041" width="9.42578125" style="1178" customWidth="1"/>
    <col min="12042" max="12042" width="10.140625" style="1178" customWidth="1"/>
    <col min="12043" max="12043" width="9.140625" style="1178"/>
    <col min="12044" max="12044" width="9.140625" style="1178" customWidth="1"/>
    <col min="12045" max="12045" width="8.5703125" style="1178" customWidth="1"/>
    <col min="12046" max="12046" width="8.7109375" style="1178" customWidth="1"/>
    <col min="12047" max="12288" width="9.140625" style="1178"/>
    <col min="12289" max="12289" width="8.42578125" style="1178" bestFit="1" customWidth="1"/>
    <col min="12290" max="12290" width="9.42578125" style="1178" customWidth="1"/>
    <col min="12291" max="12291" width="9" style="1178" customWidth="1"/>
    <col min="12292" max="12292" width="9.140625" style="1178"/>
    <col min="12293" max="12293" width="9" style="1178" customWidth="1"/>
    <col min="12294" max="12294" width="9.7109375" style="1178" customWidth="1"/>
    <col min="12295" max="12295" width="10.7109375" style="1178" customWidth="1"/>
    <col min="12296" max="12297" width="9.42578125" style="1178" customWidth="1"/>
    <col min="12298" max="12298" width="10.140625" style="1178" customWidth="1"/>
    <col min="12299" max="12299" width="9.140625" style="1178"/>
    <col min="12300" max="12300" width="9.140625" style="1178" customWidth="1"/>
    <col min="12301" max="12301" width="8.5703125" style="1178" customWidth="1"/>
    <col min="12302" max="12302" width="8.7109375" style="1178" customWidth="1"/>
    <col min="12303" max="12544" width="9.140625" style="1178"/>
    <col min="12545" max="12545" width="8.42578125" style="1178" bestFit="1" customWidth="1"/>
    <col min="12546" max="12546" width="9.42578125" style="1178" customWidth="1"/>
    <col min="12547" max="12547" width="9" style="1178" customWidth="1"/>
    <col min="12548" max="12548" width="9.140625" style="1178"/>
    <col min="12549" max="12549" width="9" style="1178" customWidth="1"/>
    <col min="12550" max="12550" width="9.7109375" style="1178" customWidth="1"/>
    <col min="12551" max="12551" width="10.7109375" style="1178" customWidth="1"/>
    <col min="12552" max="12553" width="9.42578125" style="1178" customWidth="1"/>
    <col min="12554" max="12554" width="10.140625" style="1178" customWidth="1"/>
    <col min="12555" max="12555" width="9.140625" style="1178"/>
    <col min="12556" max="12556" width="9.140625" style="1178" customWidth="1"/>
    <col min="12557" max="12557" width="8.5703125" style="1178" customWidth="1"/>
    <col min="12558" max="12558" width="8.7109375" style="1178" customWidth="1"/>
    <col min="12559" max="12800" width="9.140625" style="1178"/>
    <col min="12801" max="12801" width="8.42578125" style="1178" bestFit="1" customWidth="1"/>
    <col min="12802" max="12802" width="9.42578125" style="1178" customWidth="1"/>
    <col min="12803" max="12803" width="9" style="1178" customWidth="1"/>
    <col min="12804" max="12804" width="9.140625" style="1178"/>
    <col min="12805" max="12805" width="9" style="1178" customWidth="1"/>
    <col min="12806" max="12806" width="9.7109375" style="1178" customWidth="1"/>
    <col min="12807" max="12807" width="10.7109375" style="1178" customWidth="1"/>
    <col min="12808" max="12809" width="9.42578125" style="1178" customWidth="1"/>
    <col min="12810" max="12810" width="10.140625" style="1178" customWidth="1"/>
    <col min="12811" max="12811" width="9.140625" style="1178"/>
    <col min="12812" max="12812" width="9.140625" style="1178" customWidth="1"/>
    <col min="12813" max="12813" width="8.5703125" style="1178" customWidth="1"/>
    <col min="12814" max="12814" width="8.7109375" style="1178" customWidth="1"/>
    <col min="12815" max="13056" width="9.140625" style="1178"/>
    <col min="13057" max="13057" width="8.42578125" style="1178" bestFit="1" customWidth="1"/>
    <col min="13058" max="13058" width="9.42578125" style="1178" customWidth="1"/>
    <col min="13059" max="13059" width="9" style="1178" customWidth="1"/>
    <col min="13060" max="13060" width="9.140625" style="1178"/>
    <col min="13061" max="13061" width="9" style="1178" customWidth="1"/>
    <col min="13062" max="13062" width="9.7109375" style="1178" customWidth="1"/>
    <col min="13063" max="13063" width="10.7109375" style="1178" customWidth="1"/>
    <col min="13064" max="13065" width="9.42578125" style="1178" customWidth="1"/>
    <col min="13066" max="13066" width="10.140625" style="1178" customWidth="1"/>
    <col min="13067" max="13067" width="9.140625" style="1178"/>
    <col min="13068" max="13068" width="9.140625" style="1178" customWidth="1"/>
    <col min="13069" max="13069" width="8.5703125" style="1178" customWidth="1"/>
    <col min="13070" max="13070" width="8.7109375" style="1178" customWidth="1"/>
    <col min="13071" max="13312" width="9.140625" style="1178"/>
    <col min="13313" max="13313" width="8.42578125" style="1178" bestFit="1" customWidth="1"/>
    <col min="13314" max="13314" width="9.42578125" style="1178" customWidth="1"/>
    <col min="13315" max="13315" width="9" style="1178" customWidth="1"/>
    <col min="13316" max="13316" width="9.140625" style="1178"/>
    <col min="13317" max="13317" width="9" style="1178" customWidth="1"/>
    <col min="13318" max="13318" width="9.7109375" style="1178" customWidth="1"/>
    <col min="13319" max="13319" width="10.7109375" style="1178" customWidth="1"/>
    <col min="13320" max="13321" width="9.42578125" style="1178" customWidth="1"/>
    <col min="13322" max="13322" width="10.140625" style="1178" customWidth="1"/>
    <col min="13323" max="13323" width="9.140625" style="1178"/>
    <col min="13324" max="13324" width="9.140625" style="1178" customWidth="1"/>
    <col min="13325" max="13325" width="8.5703125" style="1178" customWidth="1"/>
    <col min="13326" max="13326" width="8.7109375" style="1178" customWidth="1"/>
    <col min="13327" max="13568" width="9.140625" style="1178"/>
    <col min="13569" max="13569" width="8.42578125" style="1178" bestFit="1" customWidth="1"/>
    <col min="13570" max="13570" width="9.42578125" style="1178" customWidth="1"/>
    <col min="13571" max="13571" width="9" style="1178" customWidth="1"/>
    <col min="13572" max="13572" width="9.140625" style="1178"/>
    <col min="13573" max="13573" width="9" style="1178" customWidth="1"/>
    <col min="13574" max="13574" width="9.7109375" style="1178" customWidth="1"/>
    <col min="13575" max="13575" width="10.7109375" style="1178" customWidth="1"/>
    <col min="13576" max="13577" width="9.42578125" style="1178" customWidth="1"/>
    <col min="13578" max="13578" width="10.140625" style="1178" customWidth="1"/>
    <col min="13579" max="13579" width="9.140625" style="1178"/>
    <col min="13580" max="13580" width="9.140625" style="1178" customWidth="1"/>
    <col min="13581" max="13581" width="8.5703125" style="1178" customWidth="1"/>
    <col min="13582" max="13582" width="8.7109375" style="1178" customWidth="1"/>
    <col min="13583" max="13824" width="9.140625" style="1178"/>
    <col min="13825" max="13825" width="8.42578125" style="1178" bestFit="1" customWidth="1"/>
    <col min="13826" max="13826" width="9.42578125" style="1178" customWidth="1"/>
    <col min="13827" max="13827" width="9" style="1178" customWidth="1"/>
    <col min="13828" max="13828" width="9.140625" style="1178"/>
    <col min="13829" max="13829" width="9" style="1178" customWidth="1"/>
    <col min="13830" max="13830" width="9.7109375" style="1178" customWidth="1"/>
    <col min="13831" max="13831" width="10.7109375" style="1178" customWidth="1"/>
    <col min="13832" max="13833" width="9.42578125" style="1178" customWidth="1"/>
    <col min="13834" max="13834" width="10.140625" style="1178" customWidth="1"/>
    <col min="13835" max="13835" width="9.140625" style="1178"/>
    <col min="13836" max="13836" width="9.140625" style="1178" customWidth="1"/>
    <col min="13837" max="13837" width="8.5703125" style="1178" customWidth="1"/>
    <col min="13838" max="13838" width="8.7109375" style="1178" customWidth="1"/>
    <col min="13839" max="14080" width="9.140625" style="1178"/>
    <col min="14081" max="14081" width="8.42578125" style="1178" bestFit="1" customWidth="1"/>
    <col min="14082" max="14082" width="9.42578125" style="1178" customWidth="1"/>
    <col min="14083" max="14083" width="9" style="1178" customWidth="1"/>
    <col min="14084" max="14084" width="9.140625" style="1178"/>
    <col min="14085" max="14085" width="9" style="1178" customWidth="1"/>
    <col min="14086" max="14086" width="9.7109375" style="1178" customWidth="1"/>
    <col min="14087" max="14087" width="10.7109375" style="1178" customWidth="1"/>
    <col min="14088" max="14089" width="9.42578125" style="1178" customWidth="1"/>
    <col min="14090" max="14090" width="10.140625" style="1178" customWidth="1"/>
    <col min="14091" max="14091" width="9.140625" style="1178"/>
    <col min="14092" max="14092" width="9.140625" style="1178" customWidth="1"/>
    <col min="14093" max="14093" width="8.5703125" style="1178" customWidth="1"/>
    <col min="14094" max="14094" width="8.7109375" style="1178" customWidth="1"/>
    <col min="14095" max="14336" width="9.140625" style="1178"/>
    <col min="14337" max="14337" width="8.42578125" style="1178" bestFit="1" customWidth="1"/>
    <col min="14338" max="14338" width="9.42578125" style="1178" customWidth="1"/>
    <col min="14339" max="14339" width="9" style="1178" customWidth="1"/>
    <col min="14340" max="14340" width="9.140625" style="1178"/>
    <col min="14341" max="14341" width="9" style="1178" customWidth="1"/>
    <col min="14342" max="14342" width="9.7109375" style="1178" customWidth="1"/>
    <col min="14343" max="14343" width="10.7109375" style="1178" customWidth="1"/>
    <col min="14344" max="14345" width="9.42578125" style="1178" customWidth="1"/>
    <col min="14346" max="14346" width="10.140625" style="1178" customWidth="1"/>
    <col min="14347" max="14347" width="9.140625" style="1178"/>
    <col min="14348" max="14348" width="9.140625" style="1178" customWidth="1"/>
    <col min="14349" max="14349" width="8.5703125" style="1178" customWidth="1"/>
    <col min="14350" max="14350" width="8.7109375" style="1178" customWidth="1"/>
    <col min="14351" max="14592" width="9.140625" style="1178"/>
    <col min="14593" max="14593" width="8.42578125" style="1178" bestFit="1" customWidth="1"/>
    <col min="14594" max="14594" width="9.42578125" style="1178" customWidth="1"/>
    <col min="14595" max="14595" width="9" style="1178" customWidth="1"/>
    <col min="14596" max="14596" width="9.140625" style="1178"/>
    <col min="14597" max="14597" width="9" style="1178" customWidth="1"/>
    <col min="14598" max="14598" width="9.7109375" style="1178" customWidth="1"/>
    <col min="14599" max="14599" width="10.7109375" style="1178" customWidth="1"/>
    <col min="14600" max="14601" width="9.42578125" style="1178" customWidth="1"/>
    <col min="14602" max="14602" width="10.140625" style="1178" customWidth="1"/>
    <col min="14603" max="14603" width="9.140625" style="1178"/>
    <col min="14604" max="14604" width="9.140625" style="1178" customWidth="1"/>
    <col min="14605" max="14605" width="8.5703125" style="1178" customWidth="1"/>
    <col min="14606" max="14606" width="8.7109375" style="1178" customWidth="1"/>
    <col min="14607" max="14848" width="9.140625" style="1178"/>
    <col min="14849" max="14849" width="8.42578125" style="1178" bestFit="1" customWidth="1"/>
    <col min="14850" max="14850" width="9.42578125" style="1178" customWidth="1"/>
    <col min="14851" max="14851" width="9" style="1178" customWidth="1"/>
    <col min="14852" max="14852" width="9.140625" style="1178"/>
    <col min="14853" max="14853" width="9" style="1178" customWidth="1"/>
    <col min="14854" max="14854" width="9.7109375" style="1178" customWidth="1"/>
    <col min="14855" max="14855" width="10.7109375" style="1178" customWidth="1"/>
    <col min="14856" max="14857" width="9.42578125" style="1178" customWidth="1"/>
    <col min="14858" max="14858" width="10.140625" style="1178" customWidth="1"/>
    <col min="14859" max="14859" width="9.140625" style="1178"/>
    <col min="14860" max="14860" width="9.140625" style="1178" customWidth="1"/>
    <col min="14861" max="14861" width="8.5703125" style="1178" customWidth="1"/>
    <col min="14862" max="14862" width="8.7109375" style="1178" customWidth="1"/>
    <col min="14863" max="15104" width="9.140625" style="1178"/>
    <col min="15105" max="15105" width="8.42578125" style="1178" bestFit="1" customWidth="1"/>
    <col min="15106" max="15106" width="9.42578125" style="1178" customWidth="1"/>
    <col min="15107" max="15107" width="9" style="1178" customWidth="1"/>
    <col min="15108" max="15108" width="9.140625" style="1178"/>
    <col min="15109" max="15109" width="9" style="1178" customWidth="1"/>
    <col min="15110" max="15110" width="9.7109375" style="1178" customWidth="1"/>
    <col min="15111" max="15111" width="10.7109375" style="1178" customWidth="1"/>
    <col min="15112" max="15113" width="9.42578125" style="1178" customWidth="1"/>
    <col min="15114" max="15114" width="10.140625" style="1178" customWidth="1"/>
    <col min="15115" max="15115" width="9.140625" style="1178"/>
    <col min="15116" max="15116" width="9.140625" style="1178" customWidth="1"/>
    <col min="15117" max="15117" width="8.5703125" style="1178" customWidth="1"/>
    <col min="15118" max="15118" width="8.7109375" style="1178" customWidth="1"/>
    <col min="15119" max="15360" width="9.140625" style="1178"/>
    <col min="15361" max="15361" width="8.42578125" style="1178" bestFit="1" customWidth="1"/>
    <col min="15362" max="15362" width="9.42578125" style="1178" customWidth="1"/>
    <col min="15363" max="15363" width="9" style="1178" customWidth="1"/>
    <col min="15364" max="15364" width="9.140625" style="1178"/>
    <col min="15365" max="15365" width="9" style="1178" customWidth="1"/>
    <col min="15366" max="15366" width="9.7109375" style="1178" customWidth="1"/>
    <col min="15367" max="15367" width="10.7109375" style="1178" customWidth="1"/>
    <col min="15368" max="15369" width="9.42578125" style="1178" customWidth="1"/>
    <col min="15370" max="15370" width="10.140625" style="1178" customWidth="1"/>
    <col min="15371" max="15371" width="9.140625" style="1178"/>
    <col min="15372" max="15372" width="9.140625" style="1178" customWidth="1"/>
    <col min="15373" max="15373" width="8.5703125" style="1178" customWidth="1"/>
    <col min="15374" max="15374" width="8.7109375" style="1178" customWidth="1"/>
    <col min="15375" max="15616" width="9.140625" style="1178"/>
    <col min="15617" max="15617" width="8.42578125" style="1178" bestFit="1" customWidth="1"/>
    <col min="15618" max="15618" width="9.42578125" style="1178" customWidth="1"/>
    <col min="15619" max="15619" width="9" style="1178" customWidth="1"/>
    <col min="15620" max="15620" width="9.140625" style="1178"/>
    <col min="15621" max="15621" width="9" style="1178" customWidth="1"/>
    <col min="15622" max="15622" width="9.7109375" style="1178" customWidth="1"/>
    <col min="15623" max="15623" width="10.7109375" style="1178" customWidth="1"/>
    <col min="15624" max="15625" width="9.42578125" style="1178" customWidth="1"/>
    <col min="15626" max="15626" width="10.140625" style="1178" customWidth="1"/>
    <col min="15627" max="15627" width="9.140625" style="1178"/>
    <col min="15628" max="15628" width="9.140625" style="1178" customWidth="1"/>
    <col min="15629" max="15629" width="8.5703125" style="1178" customWidth="1"/>
    <col min="15630" max="15630" width="8.7109375" style="1178" customWidth="1"/>
    <col min="15631" max="15872" width="9.140625" style="1178"/>
    <col min="15873" max="15873" width="8.42578125" style="1178" bestFit="1" customWidth="1"/>
    <col min="15874" max="15874" width="9.42578125" style="1178" customWidth="1"/>
    <col min="15875" max="15875" width="9" style="1178" customWidth="1"/>
    <col min="15876" max="15876" width="9.140625" style="1178"/>
    <col min="15877" max="15877" width="9" style="1178" customWidth="1"/>
    <col min="15878" max="15878" width="9.7109375" style="1178" customWidth="1"/>
    <col min="15879" max="15879" width="10.7109375" style="1178" customWidth="1"/>
    <col min="15880" max="15881" width="9.42578125" style="1178" customWidth="1"/>
    <col min="15882" max="15882" width="10.140625" style="1178" customWidth="1"/>
    <col min="15883" max="15883" width="9.140625" style="1178"/>
    <col min="15884" max="15884" width="9.140625" style="1178" customWidth="1"/>
    <col min="15885" max="15885" width="8.5703125" style="1178" customWidth="1"/>
    <col min="15886" max="15886" width="8.7109375" style="1178" customWidth="1"/>
    <col min="15887" max="16128" width="9.140625" style="1178"/>
    <col min="16129" max="16129" width="8.42578125" style="1178" bestFit="1" customWidth="1"/>
    <col min="16130" max="16130" width="9.42578125" style="1178" customWidth="1"/>
    <col min="16131" max="16131" width="9" style="1178" customWidth="1"/>
    <col min="16132" max="16132" width="9.140625" style="1178"/>
    <col min="16133" max="16133" width="9" style="1178" customWidth="1"/>
    <col min="16134" max="16134" width="9.7109375" style="1178" customWidth="1"/>
    <col min="16135" max="16135" width="10.7109375" style="1178" customWidth="1"/>
    <col min="16136" max="16137" width="9.42578125" style="1178" customWidth="1"/>
    <col min="16138" max="16138" width="10.140625" style="1178" customWidth="1"/>
    <col min="16139" max="16139" width="9.140625" style="1178"/>
    <col min="16140" max="16140" width="9.140625" style="1178" customWidth="1"/>
    <col min="16141" max="16141" width="8.5703125" style="1178" customWidth="1"/>
    <col min="16142" max="16142" width="8.7109375" style="1178" customWidth="1"/>
    <col min="16143" max="16384" width="9.140625" style="1178"/>
  </cols>
  <sheetData>
    <row r="1" spans="1:33" ht="15.75">
      <c r="A1" s="1178" t="s">
        <v>1081</v>
      </c>
      <c r="F1" s="1179"/>
      <c r="G1" s="1180"/>
      <c r="H1" s="1180"/>
      <c r="I1" s="1181"/>
      <c r="J1" s="1238"/>
      <c r="X1" s="1591" t="s">
        <v>1112</v>
      </c>
      <c r="Y1" s="1591"/>
      <c r="Z1" s="1591"/>
      <c r="AA1" s="1591"/>
      <c r="AB1" s="1591"/>
      <c r="AC1" s="1591"/>
      <c r="AD1" s="1591"/>
      <c r="AE1" s="1591"/>
      <c r="AF1" s="1591"/>
      <c r="AG1" s="1591"/>
    </row>
    <row r="2" spans="1:33" ht="15.75">
      <c r="A2" s="1178" t="s">
        <v>1083</v>
      </c>
      <c r="F2" s="1179"/>
      <c r="G2" s="1180"/>
      <c r="H2" s="1182"/>
      <c r="I2" s="1181"/>
      <c r="J2" s="1238"/>
      <c r="X2" s="1591" t="str">
        <f>F2&amp;"'s Affect on "&amp;F1</f>
        <v xml:space="preserve">'s Affect on </v>
      </c>
      <c r="Y2" s="1591"/>
      <c r="Z2" s="1591"/>
      <c r="AA2" s="1591"/>
      <c r="AB2" s="1591"/>
      <c r="AC2" s="1591"/>
      <c r="AD2" s="1591"/>
      <c r="AE2" s="1591"/>
      <c r="AF2" s="1591"/>
      <c r="AG2" s="1591"/>
    </row>
    <row r="3" spans="1:33">
      <c r="A3" s="1178" t="s">
        <v>1394</v>
      </c>
      <c r="F3" s="1179"/>
      <c r="G3" s="1180"/>
      <c r="H3" s="1182"/>
      <c r="I3" s="1181"/>
      <c r="J3" s="1238"/>
      <c r="X3" s="1592" t="str">
        <f>"With Low Level of "&amp;F2&amp;" = "&amp;F3&amp;" and High Level = "&amp;F4</f>
        <v xml:space="preserve">With Low Level of  =  and High Level = </v>
      </c>
      <c r="Y3" s="1592"/>
      <c r="Z3" s="1592"/>
      <c r="AA3" s="1592"/>
      <c r="AB3" s="1592"/>
      <c r="AC3" s="1592"/>
      <c r="AD3" s="1592"/>
      <c r="AE3" s="1592"/>
      <c r="AF3" s="1592"/>
      <c r="AG3" s="1592"/>
    </row>
    <row r="4" spans="1:33">
      <c r="A4" s="1178" t="s">
        <v>1395</v>
      </c>
      <c r="F4" s="1179"/>
      <c r="G4" s="1180"/>
      <c r="H4" s="1182"/>
      <c r="I4" s="1181"/>
      <c r="J4" s="1238"/>
      <c r="X4" s="1592" t="str">
        <f>"Confidence = "&amp;F5&amp;" / alpha risk = "&amp;1-F5</f>
        <v>Confidence = 0.95 / alpha risk = 0.05</v>
      </c>
      <c r="Y4" s="1592"/>
      <c r="Z4" s="1592"/>
      <c r="AA4" s="1592"/>
      <c r="AB4" s="1592"/>
      <c r="AC4" s="1592"/>
      <c r="AD4" s="1592"/>
      <c r="AE4" s="1592"/>
      <c r="AF4" s="1592"/>
      <c r="AG4" s="1592"/>
    </row>
    <row r="5" spans="1:33">
      <c r="A5" s="1178" t="s">
        <v>1397</v>
      </c>
      <c r="F5" s="1239">
        <v>0.95</v>
      </c>
      <c r="G5" s="1240" t="s">
        <v>1</v>
      </c>
      <c r="X5" s="1613" t="str">
        <f>"Sample Size = "&amp;F6&amp;" Lo and "&amp;F6&amp;" Hi"</f>
        <v>Sample Size = 10 Lo and 10 Hi</v>
      </c>
      <c r="Y5" s="1613"/>
      <c r="Z5" s="1613"/>
      <c r="AA5" s="1613"/>
      <c r="AB5" s="1613"/>
      <c r="AC5" s="1613"/>
      <c r="AD5" s="1613"/>
      <c r="AE5" s="1613"/>
      <c r="AF5" s="1613"/>
      <c r="AG5" s="1613"/>
    </row>
    <row r="6" spans="1:33" ht="13.5">
      <c r="A6" s="1178" t="s">
        <v>3</v>
      </c>
      <c r="F6" s="1239">
        <v>10</v>
      </c>
      <c r="G6" s="1299" t="s">
        <v>26</v>
      </c>
      <c r="X6" s="1593" t="str">
        <f>"Required Endcount = "&amp;F8</f>
        <v xml:space="preserve">Required Endcount = </v>
      </c>
      <c r="Y6" s="1593"/>
      <c r="Z6" s="1593"/>
      <c r="AA6" s="1593"/>
      <c r="AB6" s="1593"/>
      <c r="AC6" s="1593"/>
      <c r="AD6" s="1593"/>
      <c r="AE6" s="1593"/>
      <c r="AF6" s="1593"/>
      <c r="AG6" s="1593"/>
    </row>
    <row r="7" spans="1:33" ht="13.5" thickBot="1">
      <c r="D7" s="1300"/>
      <c r="E7" s="1242" t="s">
        <v>0</v>
      </c>
      <c r="F7" s="1243">
        <v>4</v>
      </c>
      <c r="G7" s="1299"/>
      <c r="H7" s="1299"/>
      <c r="K7" s="1187"/>
    </row>
    <row r="8" spans="1:33">
      <c r="A8" s="1605" t="s">
        <v>1085</v>
      </c>
      <c r="B8" s="1606"/>
      <c r="C8" s="1607"/>
      <c r="D8" s="1187"/>
      <c r="E8" s="1187"/>
      <c r="G8" s="1605" t="s">
        <v>1086</v>
      </c>
      <c r="H8" s="1606"/>
      <c r="I8" s="1606"/>
      <c r="J8" s="1607"/>
      <c r="K8" s="1184"/>
      <c r="M8" s="1597" t="s">
        <v>1087</v>
      </c>
      <c r="N8" s="1598"/>
      <c r="O8" s="1598"/>
      <c r="P8" s="1599"/>
      <c r="Q8" s="1187"/>
      <c r="R8" s="1597" t="s">
        <v>1109</v>
      </c>
      <c r="S8" s="1598"/>
      <c r="T8" s="1598"/>
      <c r="U8" s="1599"/>
    </row>
    <row r="9" spans="1:33" ht="13.5" thickBot="1">
      <c r="A9" s="1244"/>
      <c r="B9" s="1184"/>
      <c r="C9" s="1245">
        <v>6</v>
      </c>
      <c r="D9" s="1184"/>
      <c r="E9" s="1184"/>
      <c r="G9" s="1183"/>
      <c r="H9" s="1184"/>
      <c r="I9" s="1184"/>
      <c r="J9" s="1185"/>
      <c r="K9" s="1184"/>
      <c r="L9" s="1187"/>
      <c r="M9" s="1194" t="s">
        <v>508</v>
      </c>
      <c r="N9" s="1195" t="s">
        <v>1089</v>
      </c>
      <c r="O9" s="1195" t="s">
        <v>1088</v>
      </c>
      <c r="P9" s="1196" t="s">
        <v>775</v>
      </c>
      <c r="Q9" s="1187"/>
      <c r="R9" s="1301" t="s">
        <v>1088</v>
      </c>
      <c r="S9" s="1302" t="s">
        <v>775</v>
      </c>
      <c r="T9" s="1303" t="s">
        <v>469</v>
      </c>
      <c r="U9" s="1304" t="s">
        <v>468</v>
      </c>
    </row>
    <row r="10" spans="1:33" ht="13.5" thickTop="1">
      <c r="A10" s="1244"/>
      <c r="B10" s="1184"/>
      <c r="C10" s="1251"/>
      <c r="D10" s="1252"/>
      <c r="E10" s="1252"/>
      <c r="G10" s="1253"/>
      <c r="H10" s="1254"/>
      <c r="I10" s="1254"/>
      <c r="J10" s="1255"/>
      <c r="K10" s="1187"/>
      <c r="M10" s="1204"/>
      <c r="N10" s="1273"/>
      <c r="O10" s="1305"/>
      <c r="P10" s="1226"/>
      <c r="Q10" s="1198"/>
      <c r="R10" s="1306"/>
      <c r="S10" s="1307"/>
      <c r="T10" s="1259" t="str">
        <f t="shared" ref="T10:T29" si="0">IF(S10="","",IF(R10&gt;"k",S10,""))</f>
        <v/>
      </c>
      <c r="U10" s="1260" t="str">
        <f>IF(R10="","",IF(R10&gt;"k","",S10))</f>
        <v/>
      </c>
      <c r="Z10" s="1187"/>
    </row>
    <row r="11" spans="1:33" ht="13.5" thickBot="1">
      <c r="A11" s="1308" t="s">
        <v>508</v>
      </c>
      <c r="B11" s="1309" t="s">
        <v>1088</v>
      </c>
      <c r="C11" s="1310" t="s">
        <v>1089</v>
      </c>
      <c r="D11" s="1184"/>
      <c r="E11" s="1308" t="s">
        <v>508</v>
      </c>
      <c r="F11" s="1309" t="s">
        <v>1088</v>
      </c>
      <c r="G11" s="1191" t="s">
        <v>508</v>
      </c>
      <c r="H11" s="1192" t="s">
        <v>1088</v>
      </c>
      <c r="I11" s="1192" t="s">
        <v>1089</v>
      </c>
      <c r="J11" s="1193" t="s">
        <v>775</v>
      </c>
      <c r="K11" s="1238"/>
      <c r="M11" s="1204"/>
      <c r="N11" s="1273"/>
      <c r="O11" s="1305"/>
      <c r="P11" s="1311"/>
      <c r="Q11" s="1198"/>
      <c r="R11" s="1312"/>
      <c r="S11" s="1223"/>
      <c r="T11" s="1259" t="str">
        <f t="shared" si="0"/>
        <v/>
      </c>
      <c r="U11" s="1260" t="str">
        <f t="shared" ref="U11:U49" si="1">IF(R11="","",IF(R11&gt;"k","",S11))</f>
        <v/>
      </c>
      <c r="Z11" s="1187"/>
    </row>
    <row r="12" spans="1:33" ht="13.5" thickTop="1">
      <c r="A12" s="1266"/>
      <c r="B12" s="1202"/>
      <c r="C12" s="1305"/>
      <c r="D12" s="1268"/>
      <c r="E12" s="1266"/>
      <c r="F12" s="1202"/>
      <c r="G12" s="1266"/>
      <c r="H12" s="1202"/>
      <c r="I12" s="1272"/>
      <c r="J12" s="1269"/>
      <c r="K12" s="1238"/>
      <c r="M12" s="1313"/>
      <c r="N12" s="1273"/>
      <c r="O12" s="1314"/>
      <c r="P12" s="1315"/>
      <c r="Q12" s="1198"/>
      <c r="R12" s="1312"/>
      <c r="S12" s="1223"/>
      <c r="T12" s="1259" t="str">
        <f t="shared" si="0"/>
        <v/>
      </c>
      <c r="U12" s="1260" t="str">
        <f t="shared" si="1"/>
        <v/>
      </c>
      <c r="Z12" s="1207"/>
    </row>
    <row r="13" spans="1:33">
      <c r="A13" s="1266"/>
      <c r="B13" s="1202"/>
      <c r="C13" s="1305"/>
      <c r="D13" s="1268"/>
      <c r="E13" s="1266"/>
      <c r="F13" s="1202"/>
      <c r="G13" s="1266"/>
      <c r="H13" s="1202"/>
      <c r="I13" s="1272"/>
      <c r="J13" s="1269"/>
      <c r="K13" s="1238"/>
      <c r="M13" s="1204"/>
      <c r="N13" s="1205"/>
      <c r="O13" s="1305"/>
      <c r="P13" s="1311"/>
      <c r="Q13" s="1198"/>
      <c r="R13" s="1312"/>
      <c r="S13" s="1223"/>
      <c r="T13" s="1259" t="str">
        <f t="shared" si="0"/>
        <v/>
      </c>
      <c r="U13" s="1260" t="str">
        <f t="shared" si="1"/>
        <v/>
      </c>
      <c r="Z13" s="1207"/>
    </row>
    <row r="14" spans="1:33">
      <c r="A14" s="1266"/>
      <c r="B14" s="1202"/>
      <c r="C14" s="1305"/>
      <c r="D14" s="1268"/>
      <c r="E14" s="1266"/>
      <c r="F14" s="1202"/>
      <c r="G14" s="1266"/>
      <c r="H14" s="1271"/>
      <c r="I14" s="1272"/>
      <c r="J14" s="1269"/>
      <c r="K14" s="1238"/>
      <c r="M14" s="1204"/>
      <c r="N14" s="1205"/>
      <c r="O14" s="1305"/>
      <c r="P14" s="1311"/>
      <c r="Q14" s="1198"/>
      <c r="R14" s="1312"/>
      <c r="S14" s="1223"/>
      <c r="T14" s="1259" t="str">
        <f t="shared" si="0"/>
        <v/>
      </c>
      <c r="U14" s="1260" t="str">
        <f t="shared" si="1"/>
        <v/>
      </c>
      <c r="Z14" s="1207"/>
    </row>
    <row r="15" spans="1:33">
      <c r="A15" s="1266"/>
      <c r="B15" s="1202"/>
      <c r="C15" s="1305"/>
      <c r="D15" s="1268"/>
      <c r="E15" s="1266"/>
      <c r="F15" s="1202"/>
      <c r="G15" s="1266"/>
      <c r="H15" s="1271"/>
      <c r="I15" s="1272"/>
      <c r="J15" s="1269"/>
      <c r="K15" s="1238"/>
      <c r="M15" s="1204"/>
      <c r="N15" s="1273"/>
      <c r="O15" s="1305"/>
      <c r="P15" s="1311"/>
      <c r="Q15" s="1198"/>
      <c r="R15" s="1312"/>
      <c r="S15" s="1223"/>
      <c r="T15" s="1259" t="str">
        <f t="shared" si="0"/>
        <v/>
      </c>
      <c r="U15" s="1260" t="str">
        <f t="shared" si="1"/>
        <v/>
      </c>
      <c r="Z15" s="1207"/>
    </row>
    <row r="16" spans="1:33">
      <c r="A16" s="1266"/>
      <c r="B16" s="1202"/>
      <c r="C16" s="1305"/>
      <c r="D16" s="1268"/>
      <c r="E16" s="1266"/>
      <c r="F16" s="1202"/>
      <c r="G16" s="1266"/>
      <c r="H16" s="1271"/>
      <c r="I16" s="1272"/>
      <c r="J16" s="1269"/>
      <c r="K16" s="1238"/>
      <c r="M16" s="1204"/>
      <c r="N16" s="1273"/>
      <c r="O16" s="1305"/>
      <c r="P16" s="1311"/>
      <c r="Q16" s="1198"/>
      <c r="R16" s="1312"/>
      <c r="S16" s="1223"/>
      <c r="T16" s="1259" t="str">
        <f t="shared" si="0"/>
        <v/>
      </c>
      <c r="U16" s="1260" t="str">
        <f t="shared" si="1"/>
        <v/>
      </c>
      <c r="Z16" s="1207"/>
    </row>
    <row r="17" spans="1:26">
      <c r="A17" s="1266"/>
      <c r="B17" s="1202"/>
      <c r="C17" s="1305"/>
      <c r="D17" s="1268"/>
      <c r="E17" s="1316"/>
      <c r="G17" s="1266"/>
      <c r="H17" s="1202"/>
      <c r="I17" s="1272"/>
      <c r="J17" s="1269"/>
      <c r="K17" s="1238"/>
      <c r="M17" s="1313"/>
      <c r="N17" s="1273"/>
      <c r="O17" s="1314"/>
      <c r="P17" s="1315"/>
      <c r="Q17" s="1198"/>
      <c r="R17" s="1312"/>
      <c r="S17" s="1223"/>
      <c r="T17" s="1259" t="str">
        <f t="shared" si="0"/>
        <v/>
      </c>
      <c r="U17" s="1260" t="str">
        <f t="shared" si="1"/>
        <v/>
      </c>
      <c r="Z17" s="1207"/>
    </row>
    <row r="18" spans="1:26">
      <c r="A18" s="1266"/>
      <c r="B18" s="1202"/>
      <c r="C18" s="1314"/>
      <c r="D18" s="1184"/>
      <c r="G18" s="1266"/>
      <c r="H18" s="1271"/>
      <c r="I18" s="1272"/>
      <c r="J18" s="1269"/>
      <c r="K18" s="1238"/>
      <c r="M18" s="1204"/>
      <c r="N18" s="1273"/>
      <c r="O18" s="1305"/>
      <c r="P18" s="1311"/>
      <c r="Q18" s="1198"/>
      <c r="R18" s="1312"/>
      <c r="S18" s="1223"/>
      <c r="T18" s="1259" t="str">
        <f t="shared" si="0"/>
        <v/>
      </c>
      <c r="U18" s="1260" t="str">
        <f t="shared" si="1"/>
        <v/>
      </c>
    </row>
    <row r="19" spans="1:26">
      <c r="A19" s="1266"/>
      <c r="B19" s="1202"/>
      <c r="C19" s="1314"/>
      <c r="D19" s="1184"/>
      <c r="G19" s="1266"/>
      <c r="H19" s="1202"/>
      <c r="I19" s="1272"/>
      <c r="J19" s="1269"/>
      <c r="K19" s="1238"/>
      <c r="M19" s="1204"/>
      <c r="N19" s="1273"/>
      <c r="O19" s="1305"/>
      <c r="P19" s="1311"/>
      <c r="Q19" s="1198"/>
      <c r="R19" s="1312"/>
      <c r="S19" s="1223"/>
      <c r="T19" s="1259" t="str">
        <f t="shared" si="0"/>
        <v/>
      </c>
      <c r="U19" s="1260" t="str">
        <f t="shared" si="1"/>
        <v/>
      </c>
    </row>
    <row r="20" spans="1:26">
      <c r="A20" s="1266"/>
      <c r="B20" s="1202"/>
      <c r="C20" s="1314"/>
      <c r="D20" s="1184"/>
      <c r="G20" s="1266"/>
      <c r="H20" s="1271"/>
      <c r="I20" s="1272"/>
      <c r="J20" s="1269"/>
      <c r="K20" s="1238"/>
      <c r="M20" s="1204"/>
      <c r="N20" s="1273"/>
      <c r="O20" s="1305"/>
      <c r="P20" s="1311"/>
      <c r="Q20" s="1198"/>
      <c r="R20" s="1312"/>
      <c r="S20" s="1223"/>
      <c r="T20" s="1259" t="str">
        <f t="shared" si="0"/>
        <v/>
      </c>
      <c r="U20" s="1260" t="str">
        <f t="shared" si="1"/>
        <v/>
      </c>
    </row>
    <row r="21" spans="1:26">
      <c r="A21" s="1266"/>
      <c r="B21" s="1202"/>
      <c r="C21" s="1314"/>
      <c r="D21" s="1184"/>
      <c r="G21" s="1266"/>
      <c r="H21" s="1202"/>
      <c r="I21" s="1202"/>
      <c r="J21" s="1269"/>
      <c r="K21" s="1238"/>
      <c r="M21" s="1204"/>
      <c r="N21" s="1273"/>
      <c r="O21" s="1305"/>
      <c r="P21" s="1311"/>
      <c r="Q21" s="1198"/>
      <c r="R21" s="1312"/>
      <c r="S21" s="1223"/>
      <c r="T21" s="1259" t="str">
        <f t="shared" si="0"/>
        <v/>
      </c>
      <c r="U21" s="1260" t="str">
        <f t="shared" si="1"/>
        <v/>
      </c>
    </row>
    <row r="22" spans="1:26">
      <c r="A22" s="1266"/>
      <c r="B22" s="1202"/>
      <c r="C22" s="1314"/>
      <c r="D22" s="1184"/>
      <c r="G22" s="1266"/>
      <c r="H22" s="1202"/>
      <c r="I22" s="1202"/>
      <c r="J22" s="1269"/>
      <c r="K22" s="1238"/>
      <c r="M22" s="1204"/>
      <c r="N22" s="1205"/>
      <c r="O22" s="1305"/>
      <c r="P22" s="1311"/>
      <c r="Q22" s="1198"/>
      <c r="R22" s="1312"/>
      <c r="S22" s="1223"/>
      <c r="T22" s="1259" t="str">
        <f t="shared" si="0"/>
        <v/>
      </c>
      <c r="U22" s="1260" t="str">
        <f t="shared" si="1"/>
        <v/>
      </c>
      <c r="Z22" s="1187"/>
    </row>
    <row r="23" spans="1:26">
      <c r="A23" s="1266"/>
      <c r="B23" s="1202"/>
      <c r="C23" s="1314"/>
      <c r="D23" s="1184"/>
      <c r="G23" s="1266"/>
      <c r="H23" s="1202"/>
      <c r="I23" s="1202"/>
      <c r="J23" s="1269"/>
      <c r="K23" s="1238"/>
      <c r="M23" s="1204"/>
      <c r="N23" s="1205"/>
      <c r="O23" s="1305"/>
      <c r="P23" s="1311"/>
      <c r="Q23" s="1198"/>
      <c r="R23" s="1312"/>
      <c r="S23" s="1223"/>
      <c r="T23" s="1259" t="str">
        <f t="shared" si="0"/>
        <v/>
      </c>
      <c r="U23" s="1260" t="str">
        <f t="shared" si="1"/>
        <v/>
      </c>
      <c r="Z23" s="1184"/>
    </row>
    <row r="24" spans="1:26">
      <c r="A24" s="1266"/>
      <c r="B24" s="1202"/>
      <c r="C24" s="1314"/>
      <c r="D24" s="1184"/>
      <c r="G24" s="1266"/>
      <c r="H24" s="1202"/>
      <c r="I24" s="1202"/>
      <c r="J24" s="1269"/>
      <c r="K24" s="1238"/>
      <c r="M24" s="1313"/>
      <c r="N24" s="1273"/>
      <c r="O24" s="1314"/>
      <c r="P24" s="1315"/>
      <c r="Q24" s="1198"/>
      <c r="R24" s="1312"/>
      <c r="S24" s="1223"/>
      <c r="T24" s="1259" t="str">
        <f t="shared" si="0"/>
        <v/>
      </c>
      <c r="U24" s="1260" t="str">
        <f t="shared" si="1"/>
        <v/>
      </c>
      <c r="Z24" s="1184"/>
    </row>
    <row r="25" spans="1:26">
      <c r="A25" s="1266"/>
      <c r="B25" s="1202"/>
      <c r="C25" s="1314"/>
      <c r="D25" s="1184"/>
      <c r="G25" s="1266"/>
      <c r="H25" s="1271"/>
      <c r="I25" s="1272"/>
      <c r="J25" s="1269"/>
      <c r="K25" s="1238"/>
      <c r="M25" s="1204"/>
      <c r="N25" s="1273"/>
      <c r="O25" s="1305"/>
      <c r="P25" s="1311"/>
      <c r="Q25" s="1198"/>
      <c r="R25" s="1312"/>
      <c r="S25" s="1223"/>
      <c r="T25" s="1259" t="str">
        <f t="shared" si="0"/>
        <v/>
      </c>
      <c r="U25" s="1260" t="str">
        <f t="shared" si="1"/>
        <v/>
      </c>
      <c r="Z25" s="1184"/>
    </row>
    <row r="26" spans="1:26">
      <c r="A26" s="1266"/>
      <c r="B26" s="1202"/>
      <c r="C26" s="1314"/>
      <c r="D26" s="1184"/>
      <c r="G26" s="1266"/>
      <c r="H26" s="1202"/>
      <c r="I26" s="1272"/>
      <c r="J26" s="1269"/>
      <c r="K26" s="1238"/>
      <c r="M26" s="1204"/>
      <c r="N26" s="1273"/>
      <c r="O26" s="1305"/>
      <c r="P26" s="1311"/>
      <c r="Q26" s="1198"/>
      <c r="R26" s="1312"/>
      <c r="S26" s="1223"/>
      <c r="T26" s="1259" t="str">
        <f t="shared" si="0"/>
        <v/>
      </c>
      <c r="U26" s="1260" t="str">
        <f t="shared" si="1"/>
        <v/>
      </c>
      <c r="Z26" s="1184"/>
    </row>
    <row r="27" spans="1:26">
      <c r="A27" s="1266"/>
      <c r="B27" s="1202"/>
      <c r="C27" s="1314"/>
      <c r="D27" s="1184"/>
      <c r="G27" s="1266"/>
      <c r="H27" s="1202"/>
      <c r="I27" s="1272"/>
      <c r="J27" s="1269"/>
      <c r="K27" s="1238"/>
      <c r="M27" s="1204"/>
      <c r="N27" s="1205"/>
      <c r="O27" s="1305"/>
      <c r="P27" s="1311"/>
      <c r="Q27" s="1198"/>
      <c r="R27" s="1312"/>
      <c r="S27" s="1223"/>
      <c r="T27" s="1259" t="str">
        <f t="shared" si="0"/>
        <v/>
      </c>
      <c r="U27" s="1260" t="str">
        <f t="shared" si="1"/>
        <v/>
      </c>
      <c r="Z27" s="1184"/>
    </row>
    <row r="28" spans="1:26">
      <c r="A28" s="1266"/>
      <c r="B28" s="1202"/>
      <c r="C28" s="1314"/>
      <c r="D28" s="1184"/>
      <c r="G28" s="1266"/>
      <c r="H28" s="1202"/>
      <c r="I28" s="1272"/>
      <c r="J28" s="1269"/>
      <c r="K28" s="1238"/>
      <c r="M28" s="1204"/>
      <c r="N28" s="1205"/>
      <c r="O28" s="1305"/>
      <c r="P28" s="1311"/>
      <c r="Q28" s="1198"/>
      <c r="R28" s="1312"/>
      <c r="S28" s="1223"/>
      <c r="T28" s="1259" t="str">
        <f t="shared" si="0"/>
        <v/>
      </c>
      <c r="U28" s="1260" t="str">
        <f t="shared" si="1"/>
        <v/>
      </c>
      <c r="Z28" s="1184"/>
    </row>
    <row r="29" spans="1:26">
      <c r="A29" s="1266"/>
      <c r="B29" s="1202"/>
      <c r="C29" s="1314"/>
      <c r="D29" s="1184"/>
      <c r="G29" s="1266"/>
      <c r="H29" s="1202"/>
      <c r="I29" s="1202"/>
      <c r="J29" s="1269"/>
      <c r="K29" s="1238"/>
      <c r="M29" s="1204"/>
      <c r="N29" s="1273"/>
      <c r="O29" s="1305"/>
      <c r="P29" s="1311"/>
      <c r="Q29" s="1198"/>
      <c r="R29" s="1312"/>
      <c r="S29" s="1223"/>
      <c r="T29" s="1259" t="str">
        <f t="shared" si="0"/>
        <v/>
      </c>
      <c r="U29" s="1260" t="str">
        <f t="shared" si="1"/>
        <v/>
      </c>
      <c r="Z29" s="1184"/>
    </row>
    <row r="30" spans="1:26">
      <c r="A30" s="1266"/>
      <c r="B30" s="1202"/>
      <c r="C30" s="1314"/>
      <c r="D30" s="1184"/>
      <c r="G30" s="1266"/>
      <c r="H30" s="1202"/>
      <c r="I30" s="1272"/>
      <c r="J30" s="1269"/>
      <c r="K30" s="1238"/>
      <c r="M30" s="1204"/>
      <c r="N30" s="1273"/>
      <c r="O30" s="1305"/>
      <c r="P30" s="1311"/>
      <c r="Q30" s="1198"/>
      <c r="R30" s="1312"/>
      <c r="S30" s="1223"/>
      <c r="T30" s="1259" t="str">
        <f>IF(S30="","",IF(R30&gt;"k",S30,""))</f>
        <v/>
      </c>
      <c r="U30" s="1260" t="str">
        <f t="shared" si="1"/>
        <v/>
      </c>
      <c r="Z30" s="1184"/>
    </row>
    <row r="31" spans="1:26">
      <c r="A31" s="1266"/>
      <c r="B31" s="1202"/>
      <c r="C31" s="1314"/>
      <c r="D31" s="1184"/>
      <c r="G31" s="1266"/>
      <c r="H31" s="1271"/>
      <c r="I31" s="1272"/>
      <c r="J31" s="1269"/>
      <c r="M31" s="1204"/>
      <c r="N31" s="1273"/>
      <c r="O31" s="1305"/>
      <c r="P31" s="1311"/>
      <c r="Q31" s="1198"/>
      <c r="R31" s="1312"/>
      <c r="S31" s="1223"/>
      <c r="T31" s="1259" t="str">
        <f t="shared" ref="T31:T49" si="2">IF(S31="","",IF(R31&gt;"k",S31,""))</f>
        <v/>
      </c>
      <c r="U31" s="1260" t="str">
        <f t="shared" si="1"/>
        <v/>
      </c>
      <c r="Z31" s="1184"/>
    </row>
    <row r="32" spans="1:26">
      <c r="A32" s="1266"/>
      <c r="B32" s="1271"/>
      <c r="C32" s="1314"/>
      <c r="D32" s="1184"/>
      <c r="G32" s="1266"/>
      <c r="H32" s="1202"/>
      <c r="I32" s="1272"/>
      <c r="J32" s="1269"/>
      <c r="M32" s="1204"/>
      <c r="N32" s="1273"/>
      <c r="O32" s="1305"/>
      <c r="P32" s="1311"/>
      <c r="Q32" s="1198"/>
      <c r="R32" s="1312"/>
      <c r="S32" s="1223"/>
      <c r="T32" s="1259" t="str">
        <f t="shared" si="2"/>
        <v/>
      </c>
      <c r="U32" s="1260" t="str">
        <f t="shared" si="1"/>
        <v/>
      </c>
      <c r="Z32" s="1184"/>
    </row>
    <row r="33" spans="1:23">
      <c r="A33" s="1266"/>
      <c r="B33" s="1271"/>
      <c r="C33" s="1314"/>
      <c r="D33" s="1184"/>
      <c r="E33" s="1178" t="s">
        <v>1399</v>
      </c>
      <c r="G33" s="1266"/>
      <c r="H33" s="1202"/>
      <c r="I33" s="1272"/>
      <c r="J33" s="1269"/>
      <c r="M33" s="1313"/>
      <c r="N33" s="1273"/>
      <c r="O33" s="1314"/>
      <c r="P33" s="1315"/>
      <c r="Q33" s="1198"/>
      <c r="R33" s="1312"/>
      <c r="S33" s="1223"/>
      <c r="T33" s="1259" t="str">
        <f t="shared" si="2"/>
        <v/>
      </c>
      <c r="U33" s="1260" t="str">
        <f t="shared" si="1"/>
        <v/>
      </c>
    </row>
    <row r="34" spans="1:23">
      <c r="A34" s="1266"/>
      <c r="B34" s="1271"/>
      <c r="C34" s="1314"/>
      <c r="D34" s="1184"/>
      <c r="E34" s="1178" t="s">
        <v>1398</v>
      </c>
      <c r="G34" s="1266"/>
      <c r="H34" s="1271"/>
      <c r="I34" s="1272"/>
      <c r="J34" s="1269"/>
      <c r="M34" s="1313"/>
      <c r="N34" s="1273"/>
      <c r="O34" s="1314"/>
      <c r="P34" s="1315"/>
      <c r="Q34" s="1198"/>
      <c r="R34" s="1312"/>
      <c r="S34" s="1223"/>
      <c r="T34" s="1259" t="str">
        <f t="shared" si="2"/>
        <v/>
      </c>
      <c r="U34" s="1260" t="str">
        <f t="shared" si="1"/>
        <v/>
      </c>
    </row>
    <row r="35" spans="1:23">
      <c r="A35" s="1266"/>
      <c r="B35" s="1271"/>
      <c r="C35" s="1314"/>
      <c r="D35" s="1184"/>
      <c r="G35" s="1266"/>
      <c r="H35" s="1202"/>
      <c r="I35" s="1272"/>
      <c r="J35" s="1269"/>
      <c r="M35" s="1313"/>
      <c r="N35" s="1273"/>
      <c r="O35" s="1314"/>
      <c r="P35" s="1315"/>
      <c r="Q35" s="1198"/>
      <c r="R35" s="1312"/>
      <c r="S35" s="1223"/>
      <c r="T35" s="1259" t="str">
        <f t="shared" si="2"/>
        <v/>
      </c>
      <c r="U35" s="1260" t="str">
        <f t="shared" si="1"/>
        <v/>
      </c>
      <c r="V35" s="1184"/>
      <c r="W35" s="1184"/>
    </row>
    <row r="36" spans="1:23">
      <c r="A36" s="1266"/>
      <c r="B36" s="1271"/>
      <c r="C36" s="1314"/>
      <c r="D36" s="1184"/>
      <c r="E36" s="1178" t="s">
        <v>1400</v>
      </c>
      <c r="G36" s="1266"/>
      <c r="H36" s="1202"/>
      <c r="I36" s="1272"/>
      <c r="J36" s="1269"/>
      <c r="M36" s="1313"/>
      <c r="N36" s="1273"/>
      <c r="O36" s="1314"/>
      <c r="P36" s="1315"/>
      <c r="Q36" s="1198"/>
      <c r="R36" s="1312"/>
      <c r="S36" s="1223"/>
      <c r="T36" s="1259" t="str">
        <f t="shared" si="2"/>
        <v/>
      </c>
      <c r="U36" s="1260" t="str">
        <f t="shared" si="1"/>
        <v/>
      </c>
      <c r="V36" s="1184"/>
      <c r="W36" s="1184"/>
    </row>
    <row r="37" spans="1:23">
      <c r="A37" s="1266"/>
      <c r="B37" s="1271"/>
      <c r="C37" s="1314"/>
      <c r="D37" s="1184"/>
      <c r="E37" s="1178">
        <v>2</v>
      </c>
      <c r="G37" s="1266"/>
      <c r="H37" s="1202"/>
      <c r="I37" s="1272"/>
      <c r="J37" s="1269"/>
      <c r="M37" s="1313"/>
      <c r="N37" s="1273"/>
      <c r="O37" s="1314"/>
      <c r="P37" s="1315"/>
      <c r="Q37" s="1198"/>
      <c r="R37" s="1312"/>
      <c r="S37" s="1223"/>
      <c r="T37" s="1259" t="str">
        <f t="shared" si="2"/>
        <v/>
      </c>
      <c r="U37" s="1260" t="str">
        <f t="shared" si="1"/>
        <v/>
      </c>
      <c r="V37" s="1184"/>
      <c r="W37" s="1184"/>
    </row>
    <row r="38" spans="1:23">
      <c r="A38" s="1266"/>
      <c r="B38" s="1271"/>
      <c r="C38" s="1314"/>
      <c r="D38" s="1184"/>
      <c r="G38" s="1266"/>
      <c r="H38" s="1271"/>
      <c r="I38" s="1272"/>
      <c r="J38" s="1269"/>
      <c r="M38" s="1313"/>
      <c r="N38" s="1273"/>
      <c r="O38" s="1314"/>
      <c r="P38" s="1315"/>
      <c r="Q38" s="1198"/>
      <c r="R38" s="1312"/>
      <c r="S38" s="1223"/>
      <c r="T38" s="1259" t="str">
        <f t="shared" si="2"/>
        <v/>
      </c>
      <c r="U38" s="1260" t="str">
        <f t="shared" si="1"/>
        <v/>
      </c>
      <c r="V38" s="1184"/>
      <c r="W38" s="1184"/>
    </row>
    <row r="39" spans="1:23">
      <c r="A39" s="1266"/>
      <c r="B39" s="1271"/>
      <c r="C39" s="1314"/>
      <c r="D39" s="1184"/>
      <c r="G39" s="1266"/>
      <c r="H39" s="1271"/>
      <c r="I39" s="1272"/>
      <c r="J39" s="1269"/>
      <c r="M39" s="1313"/>
      <c r="N39" s="1273"/>
      <c r="O39" s="1314"/>
      <c r="P39" s="1315"/>
      <c r="Q39" s="1198"/>
      <c r="R39" s="1312"/>
      <c r="S39" s="1223"/>
      <c r="T39" s="1259" t="str">
        <f t="shared" si="2"/>
        <v/>
      </c>
      <c r="U39" s="1260" t="str">
        <f t="shared" si="1"/>
        <v/>
      </c>
      <c r="V39" s="1184"/>
      <c r="W39" s="1184"/>
    </row>
    <row r="40" spans="1:23">
      <c r="A40" s="1266"/>
      <c r="B40" s="1271"/>
      <c r="C40" s="1314"/>
      <c r="D40" s="1184"/>
      <c r="G40" s="1266"/>
      <c r="H40" s="1202"/>
      <c r="I40" s="1272"/>
      <c r="J40" s="1269"/>
      <c r="M40" s="1313"/>
      <c r="N40" s="1273"/>
      <c r="O40" s="1314"/>
      <c r="P40" s="1315"/>
      <c r="Q40" s="1198"/>
      <c r="R40" s="1312"/>
      <c r="S40" s="1223"/>
      <c r="T40" s="1259" t="str">
        <f t="shared" si="2"/>
        <v/>
      </c>
      <c r="U40" s="1260" t="str">
        <f t="shared" si="1"/>
        <v/>
      </c>
      <c r="V40" s="1184"/>
      <c r="W40" s="1184"/>
    </row>
    <row r="41" spans="1:23">
      <c r="A41" s="1266"/>
      <c r="B41" s="1271"/>
      <c r="C41" s="1314"/>
      <c r="D41" s="1184"/>
      <c r="G41" s="1266"/>
      <c r="H41" s="1202"/>
      <c r="I41" s="1202"/>
      <c r="J41" s="1269"/>
      <c r="M41" s="1313"/>
      <c r="N41" s="1273"/>
      <c r="O41" s="1314"/>
      <c r="P41" s="1315"/>
      <c r="Q41" s="1198"/>
      <c r="R41" s="1312"/>
      <c r="S41" s="1223"/>
      <c r="T41" s="1259" t="str">
        <f t="shared" si="2"/>
        <v/>
      </c>
      <c r="U41" s="1260" t="str">
        <f t="shared" si="1"/>
        <v/>
      </c>
      <c r="V41" s="1184"/>
      <c r="W41" s="1184"/>
    </row>
    <row r="42" spans="1:23">
      <c r="A42" s="1266"/>
      <c r="B42" s="1271"/>
      <c r="C42" s="1314"/>
      <c r="D42" s="1184"/>
      <c r="G42" s="1266"/>
      <c r="H42" s="1271"/>
      <c r="I42" s="1272"/>
      <c r="J42" s="1269"/>
      <c r="M42" s="1313"/>
      <c r="N42" s="1273"/>
      <c r="O42" s="1314"/>
      <c r="P42" s="1315"/>
      <c r="Q42" s="1198"/>
      <c r="R42" s="1312"/>
      <c r="S42" s="1223"/>
      <c r="T42" s="1259" t="str">
        <f t="shared" si="2"/>
        <v/>
      </c>
      <c r="U42" s="1260" t="str">
        <f t="shared" si="1"/>
        <v/>
      </c>
      <c r="V42" s="1184"/>
    </row>
    <row r="43" spans="1:23">
      <c r="A43" s="1266"/>
      <c r="B43" s="1271"/>
      <c r="C43" s="1314"/>
      <c r="D43" s="1184"/>
      <c r="G43" s="1266"/>
      <c r="H43" s="1271"/>
      <c r="I43" s="1272"/>
      <c r="J43" s="1269"/>
      <c r="M43" s="1313"/>
      <c r="N43" s="1273"/>
      <c r="O43" s="1314"/>
      <c r="P43" s="1315"/>
      <c r="Q43" s="1198"/>
      <c r="R43" s="1312"/>
      <c r="S43" s="1223"/>
      <c r="T43" s="1259" t="str">
        <f t="shared" si="2"/>
        <v/>
      </c>
      <c r="U43" s="1260" t="str">
        <f t="shared" si="1"/>
        <v/>
      </c>
    </row>
    <row r="44" spans="1:23">
      <c r="A44" s="1266"/>
      <c r="B44" s="1271"/>
      <c r="C44" s="1314"/>
      <c r="D44" s="1184"/>
      <c r="G44" s="1266"/>
      <c r="H44" s="1271"/>
      <c r="I44" s="1272"/>
      <c r="J44" s="1269"/>
      <c r="M44" s="1313"/>
      <c r="N44" s="1273"/>
      <c r="O44" s="1314"/>
      <c r="P44" s="1315"/>
      <c r="Q44" s="1198"/>
      <c r="R44" s="1312"/>
      <c r="S44" s="1223"/>
      <c r="T44" s="1259" t="str">
        <f t="shared" si="2"/>
        <v/>
      </c>
      <c r="U44" s="1260" t="str">
        <f t="shared" si="1"/>
        <v/>
      </c>
    </row>
    <row r="45" spans="1:23">
      <c r="A45" s="1266"/>
      <c r="B45" s="1271"/>
      <c r="C45" s="1314"/>
      <c r="D45" s="1184"/>
      <c r="G45" s="1266"/>
      <c r="H45" s="1271"/>
      <c r="I45" s="1272"/>
      <c r="J45" s="1269"/>
      <c r="M45" s="1313"/>
      <c r="N45" s="1273"/>
      <c r="O45" s="1314"/>
      <c r="P45" s="1315"/>
      <c r="Q45" s="1198"/>
      <c r="R45" s="1312"/>
      <c r="S45" s="1223"/>
      <c r="T45" s="1259" t="str">
        <f t="shared" si="2"/>
        <v/>
      </c>
      <c r="U45" s="1260" t="str">
        <f t="shared" si="1"/>
        <v/>
      </c>
    </row>
    <row r="46" spans="1:23">
      <c r="A46" s="1266"/>
      <c r="B46" s="1271"/>
      <c r="C46" s="1314"/>
      <c r="D46" s="1184"/>
      <c r="G46" s="1266"/>
      <c r="H46" s="1271"/>
      <c r="I46" s="1272"/>
      <c r="J46" s="1269"/>
      <c r="M46" s="1313"/>
      <c r="N46" s="1273"/>
      <c r="O46" s="1314"/>
      <c r="P46" s="1315"/>
      <c r="Q46" s="1198"/>
      <c r="R46" s="1312"/>
      <c r="S46" s="1223"/>
      <c r="T46" s="1259" t="str">
        <f t="shared" si="2"/>
        <v/>
      </c>
      <c r="U46" s="1260" t="str">
        <f t="shared" si="1"/>
        <v/>
      </c>
    </row>
    <row r="47" spans="1:23">
      <c r="A47" s="1266"/>
      <c r="B47" s="1271"/>
      <c r="C47" s="1314"/>
      <c r="D47" s="1184"/>
      <c r="G47" s="1266"/>
      <c r="H47" s="1271"/>
      <c r="I47" s="1272"/>
      <c r="J47" s="1269"/>
      <c r="M47" s="1313"/>
      <c r="N47" s="1273"/>
      <c r="O47" s="1314"/>
      <c r="P47" s="1315"/>
      <c r="Q47" s="1198"/>
      <c r="R47" s="1312"/>
      <c r="S47" s="1223"/>
      <c r="T47" s="1259" t="str">
        <f t="shared" si="2"/>
        <v/>
      </c>
      <c r="U47" s="1260" t="str">
        <f t="shared" si="1"/>
        <v/>
      </c>
    </row>
    <row r="48" spans="1:23">
      <c r="A48" s="1266"/>
      <c r="B48" s="1271"/>
      <c r="C48" s="1314"/>
      <c r="D48" s="1184"/>
      <c r="G48" s="1266"/>
      <c r="H48" s="1271"/>
      <c r="I48" s="1272"/>
      <c r="J48" s="1269"/>
      <c r="M48" s="1313"/>
      <c r="N48" s="1273"/>
      <c r="O48" s="1314"/>
      <c r="P48" s="1315"/>
      <c r="Q48" s="1198"/>
      <c r="R48" s="1312"/>
      <c r="S48" s="1223"/>
      <c r="T48" s="1259" t="str">
        <f t="shared" si="2"/>
        <v/>
      </c>
      <c r="U48" s="1260" t="str">
        <f t="shared" si="1"/>
        <v/>
      </c>
    </row>
    <row r="49" spans="1:21" ht="13.5" thickBot="1">
      <c r="A49" s="1266"/>
      <c r="B49" s="1271"/>
      <c r="C49" s="1314"/>
      <c r="D49" s="1184"/>
      <c r="G49" s="1266"/>
      <c r="H49" s="1271"/>
      <c r="I49" s="1272"/>
      <c r="J49" s="1269"/>
      <c r="M49" s="1317"/>
      <c r="N49" s="1275"/>
      <c r="O49" s="1318"/>
      <c r="P49" s="1315"/>
      <c r="Q49" s="1198"/>
      <c r="R49" s="1319"/>
      <c r="S49" s="1226"/>
      <c r="T49" s="1259" t="str">
        <f t="shared" si="2"/>
        <v/>
      </c>
      <c r="U49" s="1260" t="str">
        <f t="shared" si="1"/>
        <v/>
      </c>
    </row>
    <row r="50" spans="1:21">
      <c r="A50" s="1266"/>
      <c r="B50" s="1271"/>
      <c r="C50" s="1314"/>
      <c r="D50" s="1184"/>
      <c r="G50" s="1266"/>
      <c r="H50" s="1271"/>
      <c r="I50" s="1272"/>
      <c r="J50" s="1269"/>
      <c r="R50" s="1229"/>
      <c r="S50" s="1320" t="s">
        <v>1019</v>
      </c>
      <c r="T50" s="1321" t="s">
        <v>1013</v>
      </c>
      <c r="U50" s="1322" t="s">
        <v>1015</v>
      </c>
    </row>
    <row r="51" spans="1:21" ht="13.5" thickBot="1">
      <c r="A51" s="1277"/>
      <c r="B51" s="1278"/>
      <c r="C51" s="1318"/>
      <c r="D51" s="1184"/>
      <c r="G51" s="1277"/>
      <c r="H51" s="1278"/>
      <c r="I51" s="1323"/>
      <c r="J51" s="1269"/>
      <c r="R51" s="1233" t="s">
        <v>469</v>
      </c>
      <c r="S51" s="1324">
        <f>MIN(T10:T49)</f>
        <v>0</v>
      </c>
      <c r="T51" s="1324" t="e">
        <f>MEDIAN(T10:T49)</f>
        <v>#NUM!</v>
      </c>
      <c r="U51" s="1325">
        <f>MAX(T10:T49)</f>
        <v>0</v>
      </c>
    </row>
    <row r="52" spans="1:21" ht="13.5" thickBot="1">
      <c r="I52" s="1283" t="s">
        <v>1110</v>
      </c>
      <c r="J52" s="1232">
        <f>COUNT(J12:J51)</f>
        <v>0</v>
      </c>
      <c r="R52" s="1235" t="s">
        <v>1094</v>
      </c>
      <c r="S52" s="1326">
        <f>MIN(U10:U49)</f>
        <v>0</v>
      </c>
      <c r="T52" s="1326" t="e">
        <f>MEDIAN(U10:U49)</f>
        <v>#NUM!</v>
      </c>
      <c r="U52" s="1327">
        <f>MAX(U10:U49)</f>
        <v>0</v>
      </c>
    </row>
    <row r="53" spans="1:21" ht="13.5" thickBot="1">
      <c r="A53" s="1608" t="s">
        <v>4</v>
      </c>
      <c r="B53" s="1609"/>
      <c r="C53" s="1609"/>
      <c r="D53" s="1289">
        <f>F6*2</f>
        <v>20</v>
      </c>
      <c r="R53" s="1184"/>
      <c r="S53" s="1184"/>
      <c r="T53" s="1184"/>
      <c r="U53" s="1184"/>
    </row>
    <row r="54" spans="1:21" ht="15" thickBot="1">
      <c r="A54" s="1290">
        <v>1</v>
      </c>
      <c r="B54" s="1291" t="s">
        <v>7</v>
      </c>
      <c r="C54" s="1292">
        <f>IF(A54=F$6,1,IF(C55=1,1,""))</f>
        <v>1</v>
      </c>
      <c r="D54" s="1260" t="str">
        <f t="shared" ref="D54:D76" si="3">IF(C54=1,B54,"")</f>
        <v>Hi1</v>
      </c>
      <c r="F54" s="1610" t="s">
        <v>1090</v>
      </c>
      <c r="G54" s="1611"/>
      <c r="H54" s="1611"/>
      <c r="I54" s="1612"/>
      <c r="R54" s="1184"/>
      <c r="S54" s="1184"/>
    </row>
    <row r="55" spans="1:21" ht="15" thickTop="1">
      <c r="A55" s="1290">
        <v>2</v>
      </c>
      <c r="B55" s="1291" t="s">
        <v>8</v>
      </c>
      <c r="C55" s="1292">
        <f>IF(A55=F$6,1,IF(C56=1,1,""))</f>
        <v>1</v>
      </c>
      <c r="D55" s="1260" t="str">
        <f t="shared" si="3"/>
        <v>Hi2</v>
      </c>
      <c r="F55" s="1328">
        <v>1</v>
      </c>
      <c r="G55" s="1292" t="str">
        <f>IF(J12="","",G12)</f>
        <v/>
      </c>
      <c r="H55" s="1292" t="str">
        <f>IF(G55="","",1)</f>
        <v/>
      </c>
      <c r="I55" s="1329" t="str">
        <f>IF(J12="","",SUM(H55:H74))</f>
        <v/>
      </c>
      <c r="J55" s="1299" t="str">
        <f>"Endount = "&amp;I55</f>
        <v xml:space="preserve">Endount = </v>
      </c>
      <c r="R55" s="1184"/>
      <c r="S55" s="1184"/>
    </row>
    <row r="56" spans="1:21" ht="14.25">
      <c r="A56" s="1290">
        <v>3</v>
      </c>
      <c r="B56" s="1291" t="s">
        <v>9</v>
      </c>
      <c r="C56" s="1292">
        <f t="shared" ref="C56:C72" si="4">IF(A56=F$6,1,IF(C57=1,1,""))</f>
        <v>1</v>
      </c>
      <c r="D56" s="1260" t="str">
        <f t="shared" si="3"/>
        <v>Hi3</v>
      </c>
      <c r="F56" s="1328">
        <v>2</v>
      </c>
      <c r="G56" s="1292" t="str">
        <f t="shared" ref="G56:G94" si="5">IF(J13="","",G13)</f>
        <v/>
      </c>
      <c r="H56" s="1292" t="str">
        <f>IF(H55="","",IF(G56=G55,1,""))</f>
        <v/>
      </c>
      <c r="I56" s="1330"/>
      <c r="J56" s="1299" t="str">
        <f>"Required Endcount = "&amp;F7</f>
        <v>Required Endcount = 4</v>
      </c>
      <c r="R56" s="1184"/>
      <c r="S56" s="1184"/>
    </row>
    <row r="57" spans="1:21" ht="14.25">
      <c r="A57" s="1290">
        <v>4</v>
      </c>
      <c r="B57" s="1291" t="s">
        <v>10</v>
      </c>
      <c r="C57" s="1292">
        <f t="shared" si="4"/>
        <v>1</v>
      </c>
      <c r="D57" s="1260" t="str">
        <f t="shared" si="3"/>
        <v>Hi4</v>
      </c>
      <c r="F57" s="1328">
        <v>3</v>
      </c>
      <c r="G57" s="1292" t="str">
        <f t="shared" si="5"/>
        <v/>
      </c>
      <c r="H57" s="1292" t="str">
        <f>IF(AND(G57=G56,H56=1),1,"")</f>
        <v/>
      </c>
      <c r="I57" s="1330"/>
      <c r="J57" s="1178" t="str">
        <f>IF(I55&lt;F7,"Endcount is not sufficient","")</f>
        <v/>
      </c>
      <c r="R57" s="1184"/>
      <c r="S57" s="1184"/>
    </row>
    <row r="58" spans="1:21" ht="14.25">
      <c r="A58" s="1290">
        <v>5</v>
      </c>
      <c r="B58" s="1291" t="s">
        <v>11</v>
      </c>
      <c r="C58" s="1292">
        <f t="shared" si="4"/>
        <v>1</v>
      </c>
      <c r="D58" s="1260" t="str">
        <f t="shared" si="3"/>
        <v>Hi5</v>
      </c>
      <c r="F58" s="1328">
        <v>4</v>
      </c>
      <c r="G58" s="1292" t="str">
        <f t="shared" si="5"/>
        <v/>
      </c>
      <c r="H58" s="1292" t="str">
        <f t="shared" ref="H58:H74" si="6">IF(AND(G58=G57,H57=1),1,"")</f>
        <v/>
      </c>
      <c r="I58" s="1330"/>
      <c r="R58" s="1184"/>
      <c r="S58" s="1184"/>
    </row>
    <row r="59" spans="1:21" ht="14.25">
      <c r="A59" s="1290">
        <v>6</v>
      </c>
      <c r="B59" s="1291" t="s">
        <v>12</v>
      </c>
      <c r="C59" s="1292">
        <f t="shared" si="4"/>
        <v>1</v>
      </c>
      <c r="D59" s="1260" t="str">
        <f t="shared" si="3"/>
        <v>Hi6</v>
      </c>
      <c r="F59" s="1328">
        <v>5</v>
      </c>
      <c r="G59" s="1292" t="str">
        <f t="shared" si="5"/>
        <v/>
      </c>
      <c r="H59" s="1292" t="str">
        <f t="shared" si="6"/>
        <v/>
      </c>
      <c r="I59" s="1330"/>
      <c r="R59" s="1184"/>
      <c r="S59" s="1184"/>
    </row>
    <row r="60" spans="1:21" ht="14.25">
      <c r="A60" s="1290">
        <v>7</v>
      </c>
      <c r="B60" s="1291" t="s">
        <v>13</v>
      </c>
      <c r="C60" s="1292">
        <f t="shared" si="4"/>
        <v>1</v>
      </c>
      <c r="D60" s="1260" t="str">
        <f t="shared" si="3"/>
        <v>Hi7</v>
      </c>
      <c r="F60" s="1328">
        <v>6</v>
      </c>
      <c r="G60" s="1292" t="str">
        <f t="shared" si="5"/>
        <v/>
      </c>
      <c r="H60" s="1292" t="str">
        <f t="shared" si="6"/>
        <v/>
      </c>
      <c r="I60" s="1330"/>
      <c r="R60" s="1184"/>
      <c r="S60" s="1184"/>
    </row>
    <row r="61" spans="1:21" ht="14.25">
      <c r="A61" s="1290">
        <v>8</v>
      </c>
      <c r="B61" s="1291" t="s">
        <v>14</v>
      </c>
      <c r="C61" s="1292">
        <f t="shared" si="4"/>
        <v>1</v>
      </c>
      <c r="D61" s="1260" t="str">
        <f t="shared" si="3"/>
        <v>Hi8</v>
      </c>
      <c r="F61" s="1328">
        <v>7</v>
      </c>
      <c r="G61" s="1292" t="str">
        <f t="shared" si="5"/>
        <v/>
      </c>
      <c r="H61" s="1292" t="str">
        <f t="shared" si="6"/>
        <v/>
      </c>
      <c r="I61" s="1330"/>
      <c r="S61" s="1184"/>
    </row>
    <row r="62" spans="1:21" ht="14.25">
      <c r="A62" s="1290">
        <v>9</v>
      </c>
      <c r="B62" s="1291" t="s">
        <v>15</v>
      </c>
      <c r="C62" s="1292">
        <f t="shared" si="4"/>
        <v>1</v>
      </c>
      <c r="D62" s="1260" t="str">
        <f t="shared" si="3"/>
        <v>Hi9</v>
      </c>
      <c r="F62" s="1328">
        <v>8</v>
      </c>
      <c r="G62" s="1292" t="str">
        <f t="shared" si="5"/>
        <v/>
      </c>
      <c r="H62" s="1292" t="str">
        <f t="shared" si="6"/>
        <v/>
      </c>
      <c r="I62" s="1330"/>
      <c r="S62" s="1184"/>
    </row>
    <row r="63" spans="1:21" ht="14.25">
      <c r="A63" s="1290">
        <v>10</v>
      </c>
      <c r="B63" s="1291" t="s">
        <v>16</v>
      </c>
      <c r="C63" s="1292">
        <f t="shared" si="4"/>
        <v>1</v>
      </c>
      <c r="D63" s="1260" t="str">
        <f t="shared" si="3"/>
        <v>Hi10</v>
      </c>
      <c r="F63" s="1328">
        <v>9</v>
      </c>
      <c r="G63" s="1292" t="str">
        <f t="shared" si="5"/>
        <v/>
      </c>
      <c r="H63" s="1292" t="str">
        <f t="shared" si="6"/>
        <v/>
      </c>
      <c r="I63" s="1330"/>
      <c r="S63" s="1184"/>
    </row>
    <row r="64" spans="1:21" ht="14.25">
      <c r="A64" s="1290">
        <v>11</v>
      </c>
      <c r="B64" s="1291" t="s">
        <v>27</v>
      </c>
      <c r="C64" s="1292" t="str">
        <f t="shared" si="4"/>
        <v/>
      </c>
      <c r="D64" s="1260" t="str">
        <f t="shared" si="3"/>
        <v/>
      </c>
      <c r="F64" s="1328">
        <v>10</v>
      </c>
      <c r="G64" s="1292" t="str">
        <f t="shared" si="5"/>
        <v/>
      </c>
      <c r="H64" s="1292" t="str">
        <f t="shared" si="6"/>
        <v/>
      </c>
      <c r="I64" s="1330"/>
      <c r="S64" s="1184"/>
    </row>
    <row r="65" spans="1:19" ht="14.25">
      <c r="A65" s="1290">
        <v>12</v>
      </c>
      <c r="B65" s="1291" t="s">
        <v>28</v>
      </c>
      <c r="C65" s="1292" t="str">
        <f t="shared" si="4"/>
        <v/>
      </c>
      <c r="D65" s="1260" t="str">
        <f t="shared" si="3"/>
        <v/>
      </c>
      <c r="F65" s="1328">
        <v>11</v>
      </c>
      <c r="G65" s="1292" t="str">
        <f t="shared" si="5"/>
        <v/>
      </c>
      <c r="H65" s="1292" t="str">
        <f t="shared" si="6"/>
        <v/>
      </c>
      <c r="I65" s="1330"/>
      <c r="S65" s="1184"/>
    </row>
    <row r="66" spans="1:19" ht="14.25">
      <c r="A66" s="1290">
        <v>13</v>
      </c>
      <c r="B66" s="1291" t="s">
        <v>29</v>
      </c>
      <c r="C66" s="1292" t="str">
        <f t="shared" si="4"/>
        <v/>
      </c>
      <c r="D66" s="1260" t="str">
        <f t="shared" si="3"/>
        <v/>
      </c>
      <c r="F66" s="1328">
        <v>12</v>
      </c>
      <c r="G66" s="1292" t="str">
        <f t="shared" si="5"/>
        <v/>
      </c>
      <c r="H66" s="1292" t="str">
        <f t="shared" si="6"/>
        <v/>
      </c>
      <c r="I66" s="1330"/>
      <c r="S66" s="1184"/>
    </row>
    <row r="67" spans="1:19" ht="14.25">
      <c r="A67" s="1290">
        <v>14</v>
      </c>
      <c r="B67" s="1291" t="s">
        <v>30</v>
      </c>
      <c r="C67" s="1292" t="str">
        <f t="shared" si="4"/>
        <v/>
      </c>
      <c r="D67" s="1260" t="str">
        <f t="shared" si="3"/>
        <v/>
      </c>
      <c r="F67" s="1328">
        <v>13</v>
      </c>
      <c r="G67" s="1292" t="str">
        <f t="shared" si="5"/>
        <v/>
      </c>
      <c r="H67" s="1292" t="str">
        <f t="shared" si="6"/>
        <v/>
      </c>
      <c r="I67" s="1330"/>
      <c r="S67" s="1184"/>
    </row>
    <row r="68" spans="1:19" ht="14.25">
      <c r="A68" s="1290">
        <v>15</v>
      </c>
      <c r="B68" s="1291" t="s">
        <v>31</v>
      </c>
      <c r="C68" s="1292" t="str">
        <f t="shared" si="4"/>
        <v/>
      </c>
      <c r="D68" s="1260" t="str">
        <f t="shared" si="3"/>
        <v/>
      </c>
      <c r="F68" s="1328">
        <v>14</v>
      </c>
      <c r="G68" s="1292" t="str">
        <f t="shared" si="5"/>
        <v/>
      </c>
      <c r="H68" s="1292" t="str">
        <f t="shared" si="6"/>
        <v/>
      </c>
      <c r="I68" s="1330"/>
      <c r="S68" s="1184"/>
    </row>
    <row r="69" spans="1:19" ht="14.25">
      <c r="A69" s="1290">
        <v>16</v>
      </c>
      <c r="B69" s="1291" t="s">
        <v>32</v>
      </c>
      <c r="C69" s="1292" t="str">
        <f t="shared" si="4"/>
        <v/>
      </c>
      <c r="D69" s="1260" t="str">
        <f t="shared" si="3"/>
        <v/>
      </c>
      <c r="F69" s="1328">
        <v>15</v>
      </c>
      <c r="G69" s="1292" t="str">
        <f t="shared" si="5"/>
        <v/>
      </c>
      <c r="H69" s="1292" t="str">
        <f t="shared" si="6"/>
        <v/>
      </c>
      <c r="I69" s="1330"/>
      <c r="S69" s="1184"/>
    </row>
    <row r="70" spans="1:19" ht="14.25">
      <c r="A70" s="1290">
        <v>17</v>
      </c>
      <c r="B70" s="1291" t="s">
        <v>33</v>
      </c>
      <c r="C70" s="1292" t="str">
        <f t="shared" si="4"/>
        <v/>
      </c>
      <c r="D70" s="1260" t="str">
        <f t="shared" si="3"/>
        <v/>
      </c>
      <c r="F70" s="1328">
        <v>16</v>
      </c>
      <c r="G70" s="1292" t="str">
        <f t="shared" si="5"/>
        <v/>
      </c>
      <c r="H70" s="1292" t="str">
        <f t="shared" si="6"/>
        <v/>
      </c>
      <c r="I70" s="1330"/>
      <c r="S70" s="1184"/>
    </row>
    <row r="71" spans="1:19" ht="14.25">
      <c r="A71" s="1290">
        <v>18</v>
      </c>
      <c r="B71" s="1291" t="s">
        <v>34</v>
      </c>
      <c r="C71" s="1292" t="str">
        <f t="shared" si="4"/>
        <v/>
      </c>
      <c r="D71" s="1260" t="str">
        <f t="shared" si="3"/>
        <v/>
      </c>
      <c r="F71" s="1328">
        <v>17</v>
      </c>
      <c r="G71" s="1292" t="str">
        <f t="shared" si="5"/>
        <v/>
      </c>
      <c r="H71" s="1292" t="str">
        <f t="shared" si="6"/>
        <v/>
      </c>
      <c r="I71" s="1330"/>
      <c r="S71" s="1184"/>
    </row>
    <row r="72" spans="1:19" ht="14.25">
      <c r="A72" s="1290">
        <v>19</v>
      </c>
      <c r="B72" s="1291" t="s">
        <v>35</v>
      </c>
      <c r="C72" s="1292" t="str">
        <f t="shared" si="4"/>
        <v/>
      </c>
      <c r="D72" s="1260" t="str">
        <f t="shared" si="3"/>
        <v/>
      </c>
      <c r="F72" s="1328">
        <v>18</v>
      </c>
      <c r="G72" s="1292" t="str">
        <f t="shared" si="5"/>
        <v/>
      </c>
      <c r="H72" s="1292" t="str">
        <f t="shared" si="6"/>
        <v/>
      </c>
      <c r="I72" s="1330"/>
      <c r="S72" s="1184"/>
    </row>
    <row r="73" spans="1:19" ht="14.25">
      <c r="A73" s="1290">
        <v>20</v>
      </c>
      <c r="B73" s="1291" t="s">
        <v>36</v>
      </c>
      <c r="C73" s="1292" t="str">
        <f>IF(A73=F$6,1,"")</f>
        <v/>
      </c>
      <c r="D73" s="1260" t="str">
        <f t="shared" si="3"/>
        <v/>
      </c>
      <c r="F73" s="1328">
        <v>19</v>
      </c>
      <c r="G73" s="1292" t="str">
        <f t="shared" si="5"/>
        <v/>
      </c>
      <c r="H73" s="1292" t="str">
        <f t="shared" si="6"/>
        <v/>
      </c>
      <c r="I73" s="1330"/>
      <c r="S73" s="1184"/>
    </row>
    <row r="74" spans="1:19" ht="14.25">
      <c r="A74" s="1290">
        <v>21</v>
      </c>
      <c r="B74" s="1291" t="s">
        <v>1098</v>
      </c>
      <c r="C74" s="1292">
        <f>IF(A74=F$6+20,1,IF(C75=1,1,""))</f>
        <v>1</v>
      </c>
      <c r="D74" s="1260" t="str">
        <f t="shared" si="3"/>
        <v>Lo1</v>
      </c>
      <c r="F74" s="1328">
        <v>20</v>
      </c>
      <c r="G74" s="1292" t="str">
        <f t="shared" si="5"/>
        <v/>
      </c>
      <c r="H74" s="1292" t="str">
        <f t="shared" si="6"/>
        <v/>
      </c>
      <c r="I74" s="1330"/>
      <c r="S74" s="1184"/>
    </row>
    <row r="75" spans="1:19" ht="14.25">
      <c r="A75" s="1290">
        <v>22</v>
      </c>
      <c r="B75" s="1291" t="s">
        <v>17</v>
      </c>
      <c r="C75" s="1292">
        <f t="shared" ref="C75:C92" si="7">IF(A75=F$6+20,1,IF(C76=1,1,""))</f>
        <v>1</v>
      </c>
      <c r="D75" s="1260" t="str">
        <f t="shared" si="3"/>
        <v>Lo2</v>
      </c>
      <c r="F75" s="1328">
        <v>21</v>
      </c>
      <c r="G75" s="1292" t="str">
        <f t="shared" si="5"/>
        <v/>
      </c>
      <c r="H75" s="1259"/>
      <c r="I75" s="1330"/>
      <c r="S75" s="1184"/>
    </row>
    <row r="76" spans="1:19" ht="14.25">
      <c r="A76" s="1290">
        <v>23</v>
      </c>
      <c r="B76" s="1291" t="s">
        <v>18</v>
      </c>
      <c r="C76" s="1292">
        <f t="shared" si="7"/>
        <v>1</v>
      </c>
      <c r="D76" s="1260" t="str">
        <f t="shared" si="3"/>
        <v>Lo3</v>
      </c>
      <c r="F76" s="1328">
        <v>22</v>
      </c>
      <c r="G76" s="1292" t="str">
        <f t="shared" si="5"/>
        <v/>
      </c>
      <c r="H76" s="1259"/>
      <c r="I76" s="1330"/>
      <c r="S76" s="1184"/>
    </row>
    <row r="77" spans="1:19" ht="14.25">
      <c r="A77" s="1290">
        <v>24</v>
      </c>
      <c r="B77" s="1291" t="s">
        <v>19</v>
      </c>
      <c r="C77" s="1292">
        <f t="shared" si="7"/>
        <v>1</v>
      </c>
      <c r="D77" s="1260" t="str">
        <f>IF(C77=1,B77,"")</f>
        <v>Lo4</v>
      </c>
      <c r="F77" s="1328">
        <v>23</v>
      </c>
      <c r="G77" s="1292" t="str">
        <f t="shared" si="5"/>
        <v/>
      </c>
      <c r="H77" s="1259"/>
      <c r="I77" s="1330"/>
      <c r="S77" s="1184"/>
    </row>
    <row r="78" spans="1:19" ht="14.25">
      <c r="A78" s="1290">
        <v>25</v>
      </c>
      <c r="B78" s="1291" t="s">
        <v>20</v>
      </c>
      <c r="C78" s="1292">
        <f t="shared" si="7"/>
        <v>1</v>
      </c>
      <c r="D78" s="1260" t="str">
        <f t="shared" ref="D78:D93" si="8">IF(C78=1,B78,"")</f>
        <v>Lo5</v>
      </c>
      <c r="F78" s="1328">
        <v>24</v>
      </c>
      <c r="G78" s="1292" t="str">
        <f t="shared" si="5"/>
        <v/>
      </c>
      <c r="H78" s="1259"/>
      <c r="I78" s="1330"/>
      <c r="S78" s="1184"/>
    </row>
    <row r="79" spans="1:19" ht="14.25">
      <c r="A79" s="1290">
        <v>26</v>
      </c>
      <c r="B79" s="1291" t="s">
        <v>21</v>
      </c>
      <c r="C79" s="1292">
        <f t="shared" si="7"/>
        <v>1</v>
      </c>
      <c r="D79" s="1260" t="str">
        <f t="shared" si="8"/>
        <v>Lo6</v>
      </c>
      <c r="F79" s="1328">
        <v>25</v>
      </c>
      <c r="G79" s="1292" t="str">
        <f t="shared" si="5"/>
        <v/>
      </c>
      <c r="H79" s="1259"/>
      <c r="I79" s="1330"/>
      <c r="S79" s="1184"/>
    </row>
    <row r="80" spans="1:19" ht="14.25">
      <c r="A80" s="1290">
        <v>27</v>
      </c>
      <c r="B80" s="1291" t="s">
        <v>22</v>
      </c>
      <c r="C80" s="1292">
        <f t="shared" si="7"/>
        <v>1</v>
      </c>
      <c r="D80" s="1260" t="str">
        <f t="shared" si="8"/>
        <v>Lo7</v>
      </c>
      <c r="F80" s="1328">
        <v>26</v>
      </c>
      <c r="G80" s="1292" t="str">
        <f t="shared" si="5"/>
        <v/>
      </c>
      <c r="H80" s="1259"/>
      <c r="I80" s="1330"/>
      <c r="S80" s="1184"/>
    </row>
    <row r="81" spans="1:19" ht="14.25">
      <c r="A81" s="1290">
        <v>28</v>
      </c>
      <c r="B81" s="1291" t="s">
        <v>23</v>
      </c>
      <c r="C81" s="1292">
        <f t="shared" si="7"/>
        <v>1</v>
      </c>
      <c r="D81" s="1260" t="str">
        <f t="shared" si="8"/>
        <v>Lo8</v>
      </c>
      <c r="F81" s="1328">
        <v>27</v>
      </c>
      <c r="G81" s="1292" t="str">
        <f t="shared" si="5"/>
        <v/>
      </c>
      <c r="H81" s="1259"/>
      <c r="I81" s="1330"/>
      <c r="S81" s="1184"/>
    </row>
    <row r="82" spans="1:19" ht="14.25">
      <c r="A82" s="1290">
        <v>29</v>
      </c>
      <c r="B82" s="1291" t="s">
        <v>24</v>
      </c>
      <c r="C82" s="1292">
        <f t="shared" si="7"/>
        <v>1</v>
      </c>
      <c r="D82" s="1260" t="str">
        <f t="shared" si="8"/>
        <v>Lo9</v>
      </c>
      <c r="F82" s="1328">
        <v>28</v>
      </c>
      <c r="G82" s="1292" t="str">
        <f t="shared" si="5"/>
        <v/>
      </c>
      <c r="H82" s="1259"/>
      <c r="I82" s="1330"/>
      <c r="S82" s="1184"/>
    </row>
    <row r="83" spans="1:19" ht="14.25">
      <c r="A83" s="1290">
        <v>30</v>
      </c>
      <c r="B83" s="1291" t="s">
        <v>25</v>
      </c>
      <c r="C83" s="1292">
        <f t="shared" si="7"/>
        <v>1</v>
      </c>
      <c r="D83" s="1260" t="str">
        <f t="shared" si="8"/>
        <v>Lo10</v>
      </c>
      <c r="F83" s="1328">
        <v>29</v>
      </c>
      <c r="G83" s="1292" t="str">
        <f t="shared" si="5"/>
        <v/>
      </c>
      <c r="H83" s="1259"/>
      <c r="I83" s="1330"/>
      <c r="S83" s="1184"/>
    </row>
    <row r="84" spans="1:19" ht="14.25">
      <c r="A84" s="1290">
        <v>31</v>
      </c>
      <c r="B84" s="1291" t="s">
        <v>37</v>
      </c>
      <c r="C84" s="1292" t="str">
        <f t="shared" si="7"/>
        <v/>
      </c>
      <c r="D84" s="1260" t="str">
        <f t="shared" si="8"/>
        <v/>
      </c>
      <c r="F84" s="1328">
        <v>30</v>
      </c>
      <c r="G84" s="1292" t="str">
        <f t="shared" si="5"/>
        <v/>
      </c>
      <c r="H84" s="1259"/>
      <c r="I84" s="1330"/>
      <c r="S84" s="1184"/>
    </row>
    <row r="85" spans="1:19" ht="14.25">
      <c r="A85" s="1290">
        <v>32</v>
      </c>
      <c r="B85" s="1291" t="s">
        <v>38</v>
      </c>
      <c r="C85" s="1292" t="str">
        <f t="shared" si="7"/>
        <v/>
      </c>
      <c r="D85" s="1260" t="str">
        <f t="shared" si="8"/>
        <v/>
      </c>
      <c r="F85" s="1328">
        <v>31</v>
      </c>
      <c r="G85" s="1292" t="str">
        <f t="shared" si="5"/>
        <v/>
      </c>
      <c r="H85" s="1259"/>
      <c r="I85" s="1330"/>
      <c r="S85" s="1184"/>
    </row>
    <row r="86" spans="1:19" ht="14.25">
      <c r="A86" s="1290">
        <v>33</v>
      </c>
      <c r="B86" s="1291" t="s">
        <v>39</v>
      </c>
      <c r="C86" s="1292" t="str">
        <f t="shared" si="7"/>
        <v/>
      </c>
      <c r="D86" s="1260" t="str">
        <f t="shared" si="8"/>
        <v/>
      </c>
      <c r="F86" s="1328">
        <v>32</v>
      </c>
      <c r="G86" s="1292" t="str">
        <f t="shared" si="5"/>
        <v/>
      </c>
      <c r="H86" s="1259"/>
      <c r="I86" s="1330"/>
      <c r="S86" s="1184"/>
    </row>
    <row r="87" spans="1:19" ht="14.25">
      <c r="A87" s="1290">
        <v>34</v>
      </c>
      <c r="B87" s="1291" t="s">
        <v>40</v>
      </c>
      <c r="C87" s="1292" t="str">
        <f t="shared" si="7"/>
        <v/>
      </c>
      <c r="D87" s="1260" t="str">
        <f t="shared" si="8"/>
        <v/>
      </c>
      <c r="F87" s="1328">
        <v>33</v>
      </c>
      <c r="G87" s="1292" t="str">
        <f t="shared" si="5"/>
        <v/>
      </c>
      <c r="H87" s="1259"/>
      <c r="I87" s="1330"/>
      <c r="S87" s="1184"/>
    </row>
    <row r="88" spans="1:19" ht="14.25">
      <c r="A88" s="1290">
        <v>35</v>
      </c>
      <c r="B88" s="1291" t="s">
        <v>41</v>
      </c>
      <c r="C88" s="1292" t="str">
        <f t="shared" si="7"/>
        <v/>
      </c>
      <c r="D88" s="1260" t="str">
        <f t="shared" si="8"/>
        <v/>
      </c>
      <c r="F88" s="1328">
        <v>34</v>
      </c>
      <c r="G88" s="1292" t="str">
        <f t="shared" si="5"/>
        <v/>
      </c>
      <c r="H88" s="1259"/>
      <c r="I88" s="1330"/>
      <c r="S88" s="1184"/>
    </row>
    <row r="89" spans="1:19" ht="14.25">
      <c r="A89" s="1290">
        <v>36</v>
      </c>
      <c r="B89" s="1291" t="s">
        <v>42</v>
      </c>
      <c r="C89" s="1292" t="str">
        <f t="shared" si="7"/>
        <v/>
      </c>
      <c r="D89" s="1260" t="str">
        <f t="shared" si="8"/>
        <v/>
      </c>
      <c r="F89" s="1328">
        <v>35</v>
      </c>
      <c r="G89" s="1292" t="str">
        <f t="shared" si="5"/>
        <v/>
      </c>
      <c r="H89" s="1259"/>
      <c r="I89" s="1330"/>
      <c r="S89" s="1184"/>
    </row>
    <row r="90" spans="1:19" ht="14.25">
      <c r="A90" s="1290">
        <v>37</v>
      </c>
      <c r="B90" s="1291" t="s">
        <v>43</v>
      </c>
      <c r="C90" s="1292" t="str">
        <f t="shared" si="7"/>
        <v/>
      </c>
      <c r="D90" s="1260" t="str">
        <f t="shared" si="8"/>
        <v/>
      </c>
      <c r="F90" s="1328">
        <v>36</v>
      </c>
      <c r="G90" s="1292" t="str">
        <f t="shared" si="5"/>
        <v/>
      </c>
      <c r="H90" s="1259"/>
      <c r="I90" s="1330"/>
      <c r="S90" s="1184"/>
    </row>
    <row r="91" spans="1:19" ht="14.25">
      <c r="A91" s="1290">
        <v>38</v>
      </c>
      <c r="B91" s="1291" t="s">
        <v>44</v>
      </c>
      <c r="C91" s="1292" t="str">
        <f t="shared" si="7"/>
        <v/>
      </c>
      <c r="D91" s="1260" t="str">
        <f t="shared" si="8"/>
        <v/>
      </c>
      <c r="F91" s="1328">
        <v>37</v>
      </c>
      <c r="G91" s="1292" t="str">
        <f t="shared" si="5"/>
        <v/>
      </c>
      <c r="H91" s="1259"/>
      <c r="I91" s="1330"/>
      <c r="S91" s="1184"/>
    </row>
    <row r="92" spans="1:19" ht="14.25">
      <c r="A92" s="1290">
        <v>39</v>
      </c>
      <c r="B92" s="1291" t="s">
        <v>45</v>
      </c>
      <c r="C92" s="1292" t="str">
        <f t="shared" si="7"/>
        <v/>
      </c>
      <c r="D92" s="1260" t="str">
        <f t="shared" si="8"/>
        <v/>
      </c>
      <c r="F92" s="1328">
        <v>38</v>
      </c>
      <c r="G92" s="1292" t="str">
        <f t="shared" si="5"/>
        <v/>
      </c>
      <c r="H92" s="1259"/>
      <c r="I92" s="1330"/>
      <c r="S92" s="1184"/>
    </row>
    <row r="93" spans="1:19" ht="15" thickBot="1">
      <c r="A93" s="1293">
        <v>40</v>
      </c>
      <c r="B93" s="1294" t="s">
        <v>46</v>
      </c>
      <c r="C93" s="1295" t="str">
        <f>IF(A93=F$6+20,1,"")</f>
        <v/>
      </c>
      <c r="D93" s="1296" t="str">
        <f t="shared" si="8"/>
        <v/>
      </c>
      <c r="F93" s="1328">
        <v>39</v>
      </c>
      <c r="G93" s="1292" t="str">
        <f t="shared" si="5"/>
        <v/>
      </c>
      <c r="H93" s="1259"/>
      <c r="I93" s="1330"/>
      <c r="S93" s="1184"/>
    </row>
    <row r="94" spans="1:19" ht="13.5" thickBot="1">
      <c r="F94" s="1331">
        <v>40</v>
      </c>
      <c r="G94" s="1295" t="str">
        <f t="shared" si="5"/>
        <v/>
      </c>
      <c r="H94" s="1332"/>
      <c r="I94" s="1333"/>
      <c r="S94" s="1184"/>
    </row>
    <row r="96" spans="1:19">
      <c r="C96" s="1297" t="s">
        <v>1089</v>
      </c>
    </row>
    <row r="97" spans="1:5">
      <c r="A97" s="1280" t="str">
        <f>IF(B97="","",IF(B97&gt;"k","-","+"))</f>
        <v/>
      </c>
      <c r="B97" s="1298"/>
      <c r="C97" s="29"/>
      <c r="D97" s="1232" t="str">
        <f>IF(B97="","",E97)</f>
        <v/>
      </c>
      <c r="E97" s="1232">
        <v>1</v>
      </c>
    </row>
    <row r="98" spans="1:5">
      <c r="A98" s="1280" t="str">
        <f t="shared" ref="A98:A136" si="9">IF(B98="","",IF(B98&gt;"k","-","+"))</f>
        <v/>
      </c>
      <c r="B98" s="1298"/>
      <c r="C98" s="29"/>
      <c r="D98" s="1232" t="str">
        <f t="shared" ref="D98:D136" si="10">IF(B98="","",E98)</f>
        <v/>
      </c>
      <c r="E98" s="1232">
        <v>2</v>
      </c>
    </row>
    <row r="99" spans="1:5">
      <c r="A99" s="1280" t="str">
        <f t="shared" si="9"/>
        <v/>
      </c>
      <c r="B99" s="1298"/>
      <c r="C99" s="29"/>
      <c r="D99" s="1232" t="str">
        <f t="shared" si="10"/>
        <v/>
      </c>
      <c r="E99" s="1232">
        <v>3</v>
      </c>
    </row>
    <row r="100" spans="1:5">
      <c r="A100" s="1280" t="str">
        <f t="shared" si="9"/>
        <v/>
      </c>
      <c r="B100" s="1298"/>
      <c r="C100" s="29"/>
      <c r="D100" s="1232" t="str">
        <f t="shared" si="10"/>
        <v/>
      </c>
      <c r="E100" s="1232">
        <v>4</v>
      </c>
    </row>
    <row r="101" spans="1:5">
      <c r="A101" s="1280" t="str">
        <f t="shared" si="9"/>
        <v/>
      </c>
      <c r="B101" s="1298"/>
      <c r="C101" s="29"/>
      <c r="D101" s="1232" t="str">
        <f t="shared" si="10"/>
        <v/>
      </c>
      <c r="E101" s="1232">
        <v>5</v>
      </c>
    </row>
    <row r="102" spans="1:5">
      <c r="A102" s="1280" t="str">
        <f t="shared" si="9"/>
        <v/>
      </c>
      <c r="B102" s="1298"/>
      <c r="C102" s="29"/>
      <c r="D102" s="1232" t="str">
        <f t="shared" si="10"/>
        <v/>
      </c>
      <c r="E102" s="1232">
        <v>6</v>
      </c>
    </row>
    <row r="103" spans="1:5">
      <c r="A103" s="1280" t="str">
        <f t="shared" si="9"/>
        <v/>
      </c>
      <c r="B103" s="1298"/>
      <c r="C103" s="29"/>
      <c r="D103" s="1232" t="str">
        <f t="shared" si="10"/>
        <v/>
      </c>
      <c r="E103" s="1232">
        <v>7</v>
      </c>
    </row>
    <row r="104" spans="1:5">
      <c r="A104" s="1280" t="str">
        <f t="shared" si="9"/>
        <v/>
      </c>
      <c r="B104" s="1298"/>
      <c r="C104" s="29"/>
      <c r="D104" s="1232" t="str">
        <f t="shared" si="10"/>
        <v/>
      </c>
      <c r="E104" s="1232">
        <v>8</v>
      </c>
    </row>
    <row r="105" spans="1:5">
      <c r="A105" s="1280" t="str">
        <f t="shared" si="9"/>
        <v/>
      </c>
      <c r="B105" s="1298"/>
      <c r="C105" s="29"/>
      <c r="D105" s="1232" t="str">
        <f t="shared" si="10"/>
        <v/>
      </c>
      <c r="E105" s="1232">
        <v>9</v>
      </c>
    </row>
    <row r="106" spans="1:5">
      <c r="A106" s="1280" t="str">
        <f t="shared" si="9"/>
        <v/>
      </c>
      <c r="B106" s="1298"/>
      <c r="C106" s="29"/>
      <c r="D106" s="1232" t="str">
        <f t="shared" si="10"/>
        <v/>
      </c>
      <c r="E106" s="1232">
        <v>10</v>
      </c>
    </row>
    <row r="107" spans="1:5">
      <c r="A107" s="1280" t="str">
        <f t="shared" si="9"/>
        <v/>
      </c>
      <c r="B107" s="1298"/>
      <c r="C107" s="29"/>
      <c r="D107" s="1232" t="str">
        <f t="shared" si="10"/>
        <v/>
      </c>
      <c r="E107" s="1232">
        <v>11</v>
      </c>
    </row>
    <row r="108" spans="1:5">
      <c r="A108" s="1280" t="str">
        <f t="shared" si="9"/>
        <v/>
      </c>
      <c r="B108" s="1298"/>
      <c r="C108" s="29"/>
      <c r="D108" s="1232" t="str">
        <f t="shared" si="10"/>
        <v/>
      </c>
      <c r="E108" s="1232">
        <v>12</v>
      </c>
    </row>
    <row r="109" spans="1:5">
      <c r="A109" s="1280" t="str">
        <f t="shared" si="9"/>
        <v/>
      </c>
      <c r="B109" s="1298"/>
      <c r="C109" s="29"/>
      <c r="D109" s="1232" t="str">
        <f t="shared" si="10"/>
        <v/>
      </c>
      <c r="E109" s="1232">
        <v>13</v>
      </c>
    </row>
    <row r="110" spans="1:5">
      <c r="A110" s="1280" t="str">
        <f t="shared" si="9"/>
        <v/>
      </c>
      <c r="B110" s="1298"/>
      <c r="C110" s="29"/>
      <c r="D110" s="1232" t="str">
        <f t="shared" si="10"/>
        <v/>
      </c>
      <c r="E110" s="1232">
        <v>14</v>
      </c>
    </row>
    <row r="111" spans="1:5">
      <c r="A111" s="1280" t="str">
        <f t="shared" si="9"/>
        <v/>
      </c>
      <c r="B111" s="1298"/>
      <c r="C111" s="29"/>
      <c r="D111" s="1232" t="str">
        <f t="shared" si="10"/>
        <v/>
      </c>
      <c r="E111" s="1232">
        <v>15</v>
      </c>
    </row>
    <row r="112" spans="1:5">
      <c r="A112" s="1280" t="str">
        <f t="shared" si="9"/>
        <v/>
      </c>
      <c r="B112" s="1298"/>
      <c r="C112" s="29"/>
      <c r="D112" s="1232" t="str">
        <f t="shared" si="10"/>
        <v/>
      </c>
      <c r="E112" s="1232">
        <v>16</v>
      </c>
    </row>
    <row r="113" spans="1:5">
      <c r="A113" s="1280" t="str">
        <f t="shared" si="9"/>
        <v/>
      </c>
      <c r="B113" s="1298"/>
      <c r="C113" s="29"/>
      <c r="D113" s="1232" t="str">
        <f t="shared" si="10"/>
        <v/>
      </c>
      <c r="E113" s="1232">
        <v>17</v>
      </c>
    </row>
    <row r="114" spans="1:5">
      <c r="A114" s="1280" t="str">
        <f t="shared" si="9"/>
        <v/>
      </c>
      <c r="B114" s="1298"/>
      <c r="C114" s="29"/>
      <c r="D114" s="1232" t="str">
        <f t="shared" si="10"/>
        <v/>
      </c>
      <c r="E114" s="1232">
        <v>18</v>
      </c>
    </row>
    <row r="115" spans="1:5">
      <c r="A115" s="1280" t="str">
        <f t="shared" si="9"/>
        <v/>
      </c>
      <c r="B115" s="1298"/>
      <c r="C115" s="29"/>
      <c r="D115" s="1232" t="str">
        <f t="shared" si="10"/>
        <v/>
      </c>
      <c r="E115" s="1232">
        <v>19</v>
      </c>
    </row>
    <row r="116" spans="1:5">
      <c r="A116" s="1280" t="str">
        <f t="shared" si="9"/>
        <v/>
      </c>
      <c r="B116" s="1298"/>
      <c r="C116" s="29"/>
      <c r="D116" s="1232" t="str">
        <f t="shared" si="10"/>
        <v/>
      </c>
      <c r="E116" s="1232">
        <v>20</v>
      </c>
    </row>
    <row r="117" spans="1:5">
      <c r="A117" s="1280" t="str">
        <f t="shared" si="9"/>
        <v/>
      </c>
      <c r="B117" s="1298"/>
      <c r="C117" s="29"/>
      <c r="D117" s="1232" t="str">
        <f t="shared" si="10"/>
        <v/>
      </c>
      <c r="E117" s="1232">
        <v>101</v>
      </c>
    </row>
    <row r="118" spans="1:5">
      <c r="A118" s="1280" t="str">
        <f t="shared" si="9"/>
        <v/>
      </c>
      <c r="B118" s="1298"/>
      <c r="C118" s="29"/>
      <c r="D118" s="1232" t="str">
        <f t="shared" si="10"/>
        <v/>
      </c>
      <c r="E118" s="1232">
        <v>102</v>
      </c>
    </row>
    <row r="119" spans="1:5">
      <c r="A119" s="1280" t="str">
        <f t="shared" si="9"/>
        <v/>
      </c>
      <c r="B119" s="1298"/>
      <c r="C119" s="29"/>
      <c r="D119" s="1232" t="str">
        <f t="shared" si="10"/>
        <v/>
      </c>
      <c r="E119" s="1232">
        <v>103</v>
      </c>
    </row>
    <row r="120" spans="1:5">
      <c r="A120" s="1280" t="str">
        <f t="shared" si="9"/>
        <v/>
      </c>
      <c r="B120" s="1298"/>
      <c r="C120" s="29"/>
      <c r="D120" s="1232" t="str">
        <f t="shared" si="10"/>
        <v/>
      </c>
      <c r="E120" s="1232">
        <v>104</v>
      </c>
    </row>
    <row r="121" spans="1:5">
      <c r="A121" s="1280" t="str">
        <f t="shared" si="9"/>
        <v/>
      </c>
      <c r="B121" s="1298"/>
      <c r="C121" s="29"/>
      <c r="D121" s="1232" t="str">
        <f t="shared" si="10"/>
        <v/>
      </c>
      <c r="E121" s="1232">
        <v>105</v>
      </c>
    </row>
    <row r="122" spans="1:5">
      <c r="A122" s="1280" t="str">
        <f t="shared" si="9"/>
        <v/>
      </c>
      <c r="B122" s="1298"/>
      <c r="C122" s="29"/>
      <c r="D122" s="1232" t="str">
        <f t="shared" si="10"/>
        <v/>
      </c>
      <c r="E122" s="1232">
        <v>106</v>
      </c>
    </row>
    <row r="123" spans="1:5">
      <c r="A123" s="1280" t="str">
        <f t="shared" si="9"/>
        <v/>
      </c>
      <c r="B123" s="1298"/>
      <c r="C123" s="29"/>
      <c r="D123" s="1232" t="str">
        <f t="shared" si="10"/>
        <v/>
      </c>
      <c r="E123" s="1232">
        <v>107</v>
      </c>
    </row>
    <row r="124" spans="1:5">
      <c r="A124" s="1280" t="str">
        <f t="shared" si="9"/>
        <v/>
      </c>
      <c r="B124" s="1298"/>
      <c r="C124" s="29"/>
      <c r="D124" s="1232" t="str">
        <f t="shared" si="10"/>
        <v/>
      </c>
      <c r="E124" s="1232">
        <v>108</v>
      </c>
    </row>
    <row r="125" spans="1:5">
      <c r="A125" s="1280" t="str">
        <f t="shared" si="9"/>
        <v/>
      </c>
      <c r="B125" s="1298"/>
      <c r="C125" s="29"/>
      <c r="D125" s="1232" t="str">
        <f t="shared" si="10"/>
        <v/>
      </c>
      <c r="E125" s="1232">
        <v>109</v>
      </c>
    </row>
    <row r="126" spans="1:5">
      <c r="A126" s="1280" t="str">
        <f t="shared" si="9"/>
        <v/>
      </c>
      <c r="B126" s="1298"/>
      <c r="C126" s="29"/>
      <c r="D126" s="1232" t="str">
        <f t="shared" si="10"/>
        <v/>
      </c>
      <c r="E126" s="1232">
        <v>110</v>
      </c>
    </row>
    <row r="127" spans="1:5">
      <c r="A127" s="1280" t="str">
        <f t="shared" si="9"/>
        <v/>
      </c>
      <c r="B127" s="1298"/>
      <c r="C127" s="29"/>
      <c r="D127" s="1232" t="str">
        <f t="shared" si="10"/>
        <v/>
      </c>
      <c r="E127" s="1232">
        <v>111</v>
      </c>
    </row>
    <row r="128" spans="1:5">
      <c r="A128" s="1280" t="str">
        <f t="shared" si="9"/>
        <v/>
      </c>
      <c r="B128" s="1298"/>
      <c r="C128" s="29"/>
      <c r="D128" s="1232" t="str">
        <f t="shared" si="10"/>
        <v/>
      </c>
      <c r="E128" s="1232">
        <v>112</v>
      </c>
    </row>
    <row r="129" spans="1:5">
      <c r="A129" s="1280" t="str">
        <f t="shared" si="9"/>
        <v/>
      </c>
      <c r="B129" s="1298"/>
      <c r="C129" s="29"/>
      <c r="D129" s="1232" t="str">
        <f t="shared" si="10"/>
        <v/>
      </c>
      <c r="E129" s="1232">
        <v>113</v>
      </c>
    </row>
    <row r="130" spans="1:5">
      <c r="A130" s="1280" t="str">
        <f t="shared" si="9"/>
        <v/>
      </c>
      <c r="B130" s="1298"/>
      <c r="C130" s="29"/>
      <c r="D130" s="1232" t="str">
        <f t="shared" si="10"/>
        <v/>
      </c>
      <c r="E130" s="1232">
        <v>114</v>
      </c>
    </row>
    <row r="131" spans="1:5">
      <c r="A131" s="1280" t="str">
        <f t="shared" si="9"/>
        <v/>
      </c>
      <c r="B131" s="1298"/>
      <c r="C131" s="29"/>
      <c r="D131" s="1232" t="str">
        <f t="shared" si="10"/>
        <v/>
      </c>
      <c r="E131" s="1232">
        <v>115</v>
      </c>
    </row>
    <row r="132" spans="1:5">
      <c r="A132" s="1280" t="str">
        <f t="shared" si="9"/>
        <v/>
      </c>
      <c r="B132" s="1298"/>
      <c r="C132" s="29"/>
      <c r="D132" s="1232" t="str">
        <f t="shared" si="10"/>
        <v/>
      </c>
      <c r="E132" s="1232">
        <v>116</v>
      </c>
    </row>
    <row r="133" spans="1:5">
      <c r="A133" s="1280" t="str">
        <f t="shared" si="9"/>
        <v/>
      </c>
      <c r="B133" s="1298"/>
      <c r="C133" s="29"/>
      <c r="D133" s="1232" t="str">
        <f t="shared" si="10"/>
        <v/>
      </c>
      <c r="E133" s="1232">
        <v>117</v>
      </c>
    </row>
    <row r="134" spans="1:5">
      <c r="A134" s="1280" t="str">
        <f t="shared" si="9"/>
        <v/>
      </c>
      <c r="B134" s="1298"/>
      <c r="C134" s="29"/>
      <c r="D134" s="1232" t="str">
        <f t="shared" si="10"/>
        <v/>
      </c>
      <c r="E134" s="1232">
        <v>118</v>
      </c>
    </row>
    <row r="135" spans="1:5">
      <c r="A135" s="1280" t="str">
        <f t="shared" si="9"/>
        <v/>
      </c>
      <c r="B135" s="1298"/>
      <c r="C135" s="29"/>
      <c r="D135" s="1232" t="str">
        <f t="shared" si="10"/>
        <v/>
      </c>
      <c r="E135" s="1232">
        <v>119</v>
      </c>
    </row>
    <row r="136" spans="1:5">
      <c r="A136" s="1280" t="str">
        <f t="shared" si="9"/>
        <v/>
      </c>
      <c r="B136" s="1298"/>
      <c r="C136" s="29"/>
      <c r="D136" s="1232" t="str">
        <f t="shared" si="10"/>
        <v/>
      </c>
      <c r="E136" s="1232">
        <v>120</v>
      </c>
    </row>
  </sheetData>
  <sheetProtection password="CC08" sheet="1" scenarios="1"/>
  <sortState ref="G11:J30">
    <sortCondition ref="J11"/>
  </sortState>
  <mergeCells count="12">
    <mergeCell ref="F54:I54"/>
    <mergeCell ref="X1:AG1"/>
    <mergeCell ref="X2:AG2"/>
    <mergeCell ref="X3:AG3"/>
    <mergeCell ref="X4:AG4"/>
    <mergeCell ref="X5:AG5"/>
    <mergeCell ref="X6:AG6"/>
    <mergeCell ref="A8:C8"/>
    <mergeCell ref="G8:J8"/>
    <mergeCell ref="M8:P8"/>
    <mergeCell ref="R8:U8"/>
    <mergeCell ref="A53:C53"/>
  </mergeCells>
  <pageMargins left="0.75" right="0.75" top="1" bottom="1" header="0.5" footer="0.5"/>
  <pageSetup orientation="portrait" horizontalDpi="200" verticalDpi="200" r:id="rId1"/>
  <headerFooter alignWithMargins="0">
    <oddHeader>&amp;C&amp;"Times New Roman,Bold"&amp;12&amp;A</oddHeader>
    <oddFooter>&amp;L&amp;8&amp;F&amp;CPage &amp;P of &amp;N&amp;R&amp;8&amp;D</oddFooter>
  </headerFooter>
  <drawing r:id="rId2"/>
  <legacyDrawing r:id="rId3"/>
  <controls>
    <control shapeId="144389" r:id="rId4" name="MainMenu"/>
  </controls>
</worksheet>
</file>

<file path=xl/worksheets/sheet42.xml><?xml version="1.0" encoding="utf-8"?>
<worksheet xmlns="http://schemas.openxmlformats.org/spreadsheetml/2006/main" xmlns:r="http://schemas.openxmlformats.org/officeDocument/2006/relationships">
  <sheetPr codeName="Random"/>
  <dimension ref="A1:E5"/>
  <sheetViews>
    <sheetView workbookViewId="0">
      <selection activeCell="A12" sqref="A12"/>
    </sheetView>
  </sheetViews>
  <sheetFormatPr defaultRowHeight="12.75"/>
  <cols>
    <col min="1" max="1" width="39.7109375" customWidth="1"/>
    <col min="2" max="2" width="11.28515625" customWidth="1"/>
  </cols>
  <sheetData>
    <row r="1" spans="1:5" ht="39" thickBot="1">
      <c r="A1" s="876" t="s">
        <v>47</v>
      </c>
      <c r="B1" s="877" t="s">
        <v>48</v>
      </c>
    </row>
    <row r="2" spans="1:5">
      <c r="A2" s="1172" t="s">
        <v>49</v>
      </c>
    </row>
    <row r="3" spans="1:5">
      <c r="A3" s="1172" t="s">
        <v>1393</v>
      </c>
    </row>
    <row r="4" spans="1:5">
      <c r="D4" s="184" t="s">
        <v>50</v>
      </c>
    </row>
    <row r="5" spans="1:5">
      <c r="E5" s="184" t="s">
        <v>51</v>
      </c>
    </row>
  </sheetData>
  <sheetProtection sheet="1" objects="1" scenarios="1"/>
  <protectedRanges>
    <protectedRange sqref="A2:A3 B2:B65536" name="Range1"/>
  </protectedRanges>
  <phoneticPr fontId="5" type="noConversion"/>
  <pageMargins left="0.75" right="0.75" top="1" bottom="1" header="0.5" footer="0.5"/>
  <pageSetup orientation="portrait" r:id="rId1"/>
  <headerFooter alignWithMargins="0"/>
  <drawing r:id="rId2"/>
  <legacyDrawing r:id="rId3"/>
  <controls>
    <control shapeId="67587" r:id="rId4" name="MainMenu"/>
    <control shapeId="67585" r:id="rId5" name="CommandButton1"/>
  </controls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2"/>
  <dimension ref="A1:AO46"/>
  <sheetViews>
    <sheetView showGridLines="0" zoomScaleNormal="100" workbookViewId="0">
      <selection activeCell="V4" sqref="V4"/>
    </sheetView>
  </sheetViews>
  <sheetFormatPr defaultColWidth="8" defaultRowHeight="12.75"/>
  <cols>
    <col min="1" max="18" width="8" style="845" customWidth="1"/>
    <col min="19" max="19" width="7.7109375" style="845" customWidth="1"/>
    <col min="20" max="20" width="8" style="845" customWidth="1"/>
    <col min="21" max="21" width="2.5703125" style="845" customWidth="1"/>
    <col min="22" max="22" width="9.5703125" style="845" customWidth="1"/>
    <col min="23" max="23" width="8" style="845" customWidth="1"/>
    <col min="24" max="24" width="7.5703125" style="845" customWidth="1"/>
    <col min="25" max="25" width="7.7109375" style="845" customWidth="1"/>
    <col min="26" max="26" width="7.5703125" style="845" customWidth="1"/>
    <col min="27" max="31" width="8" style="845" customWidth="1"/>
    <col min="32" max="41" width="8" style="849" customWidth="1"/>
    <col min="42" max="16384" width="8" style="845"/>
  </cols>
  <sheetData>
    <row r="1" spans="1:20">
      <c r="B1" s="860"/>
      <c r="C1" s="861" t="str">
        <f>"Realistic Tolerancing for "&amp;C2</f>
        <v xml:space="preserve">Realistic Tolerancing for </v>
      </c>
    </row>
    <row r="2" spans="1:20">
      <c r="B2" s="860" t="s">
        <v>52</v>
      </c>
      <c r="C2" s="962"/>
      <c r="D2" s="963"/>
      <c r="E2" s="963"/>
      <c r="F2" s="964"/>
    </row>
    <row r="3" spans="1:20">
      <c r="B3" s="860" t="s">
        <v>53</v>
      </c>
      <c r="C3" s="962"/>
      <c r="D3" s="963"/>
      <c r="E3" s="963"/>
      <c r="F3" s="964"/>
    </row>
    <row r="4" spans="1:20" ht="26.25" thickBot="1">
      <c r="A4" s="850" t="s">
        <v>113</v>
      </c>
      <c r="B4" s="850" t="s">
        <v>1052</v>
      </c>
      <c r="C4" s="850" t="s">
        <v>880</v>
      </c>
      <c r="D4" s="878" t="s">
        <v>54</v>
      </c>
      <c r="E4" s="878" t="s">
        <v>55</v>
      </c>
      <c r="F4" s="878" t="s">
        <v>56</v>
      </c>
      <c r="G4" s="851" t="s">
        <v>1062</v>
      </c>
      <c r="H4" s="851" t="s">
        <v>1063</v>
      </c>
    </row>
    <row r="5" spans="1:20" ht="14.25" thickTop="1" thickBot="1">
      <c r="A5" s="845" t="s">
        <v>1064</v>
      </c>
      <c r="B5" s="852"/>
      <c r="C5" s="965"/>
      <c r="D5" s="879" t="str">
        <f t="shared" ref="D5:D46" si="0">IF($B5="","",($T$12*B5+$T$11)-(3*$T$10))</f>
        <v/>
      </c>
      <c r="E5" s="879" t="str">
        <f t="shared" ref="E5:E46" si="1">IF($B5="","",($T$12*B5+$T$11))</f>
        <v/>
      </c>
      <c r="F5" s="879" t="str">
        <f t="shared" ref="F5:F46" si="2">IF($B5="","",($T$12*B5+$T$11)+(3*$T$10))</f>
        <v/>
      </c>
      <c r="G5" s="854"/>
      <c r="H5" s="854"/>
    </row>
    <row r="6" spans="1:20">
      <c r="A6" s="845">
        <v>1</v>
      </c>
      <c r="B6" s="854"/>
      <c r="C6" s="854"/>
      <c r="D6" s="879" t="str">
        <f t="shared" si="0"/>
        <v/>
      </c>
      <c r="E6" s="879" t="str">
        <f t="shared" si="1"/>
        <v/>
      </c>
      <c r="F6" s="879" t="str">
        <f t="shared" si="2"/>
        <v/>
      </c>
      <c r="G6" s="855" t="str">
        <f t="shared" ref="G6:G21" si="3">IF(C6="","",G$5)</f>
        <v/>
      </c>
      <c r="H6" s="855" t="str">
        <f t="shared" ref="H6:H21" si="4">IF(C6="","",H$5)</f>
        <v/>
      </c>
    </row>
    <row r="7" spans="1:20">
      <c r="A7" s="845">
        <f t="shared" ref="A7:A45" si="5">A6+1</f>
        <v>2</v>
      </c>
      <c r="B7" s="854"/>
      <c r="C7" s="854"/>
      <c r="D7" s="879" t="str">
        <f t="shared" si="0"/>
        <v/>
      </c>
      <c r="E7" s="879" t="str">
        <f t="shared" si="1"/>
        <v/>
      </c>
      <c r="F7" s="879" t="str">
        <f t="shared" si="2"/>
        <v/>
      </c>
      <c r="G7" s="855" t="str">
        <f t="shared" si="3"/>
        <v/>
      </c>
      <c r="H7" s="855" t="str">
        <f t="shared" si="4"/>
        <v/>
      </c>
    </row>
    <row r="8" spans="1:20">
      <c r="A8" s="845">
        <f t="shared" si="5"/>
        <v>3</v>
      </c>
      <c r="B8" s="854"/>
      <c r="C8" s="854"/>
      <c r="D8" s="879" t="str">
        <f t="shared" si="0"/>
        <v/>
      </c>
      <c r="E8" s="879" t="str">
        <f t="shared" si="1"/>
        <v/>
      </c>
      <c r="F8" s="879" t="str">
        <f t="shared" si="2"/>
        <v/>
      </c>
      <c r="G8" s="855" t="str">
        <f t="shared" si="3"/>
        <v/>
      </c>
      <c r="H8" s="855" t="str">
        <f t="shared" si="4"/>
        <v/>
      </c>
    </row>
    <row r="9" spans="1:20" ht="15.75">
      <c r="A9" s="845">
        <f t="shared" si="5"/>
        <v>4</v>
      </c>
      <c r="B9" s="854"/>
      <c r="C9" s="854"/>
      <c r="D9" s="879" t="str">
        <f t="shared" si="0"/>
        <v/>
      </c>
      <c r="E9" s="879" t="str">
        <f t="shared" si="1"/>
        <v/>
      </c>
      <c r="F9" s="879" t="str">
        <f t="shared" si="2"/>
        <v/>
      </c>
      <c r="G9" s="855" t="str">
        <f t="shared" si="3"/>
        <v/>
      </c>
      <c r="H9" s="855" t="str">
        <f t="shared" si="4"/>
        <v/>
      </c>
      <c r="S9" s="856" t="s">
        <v>61</v>
      </c>
      <c r="T9" s="857" t="e">
        <f>RSQ(C6:C45,B6:B45)</f>
        <v>#DIV/0!</v>
      </c>
    </row>
    <row r="10" spans="1:20">
      <c r="A10" s="845">
        <f t="shared" si="5"/>
        <v>5</v>
      </c>
      <c r="B10" s="854"/>
      <c r="C10" s="854"/>
      <c r="D10" s="879" t="str">
        <f t="shared" si="0"/>
        <v/>
      </c>
      <c r="E10" s="879" t="str">
        <f t="shared" si="1"/>
        <v/>
      </c>
      <c r="F10" s="879" t="str">
        <f t="shared" si="2"/>
        <v/>
      </c>
      <c r="G10" s="855" t="str">
        <f t="shared" si="3"/>
        <v/>
      </c>
      <c r="H10" s="855" t="str">
        <f t="shared" si="4"/>
        <v/>
      </c>
      <c r="S10" s="856" t="s">
        <v>57</v>
      </c>
      <c r="T10" s="845" t="e">
        <f>STEYX(C6:C45,B6:B45)</f>
        <v>#DIV/0!</v>
      </c>
    </row>
    <row r="11" spans="1:20">
      <c r="A11" s="845">
        <f t="shared" si="5"/>
        <v>6</v>
      </c>
      <c r="B11" s="854"/>
      <c r="C11" s="854"/>
      <c r="D11" s="879" t="str">
        <f t="shared" si="0"/>
        <v/>
      </c>
      <c r="E11" s="879" t="str">
        <f t="shared" si="1"/>
        <v/>
      </c>
      <c r="F11" s="879" t="str">
        <f t="shared" si="2"/>
        <v/>
      </c>
      <c r="G11" s="855" t="str">
        <f t="shared" si="3"/>
        <v/>
      </c>
      <c r="H11" s="855" t="str">
        <f t="shared" si="4"/>
        <v/>
      </c>
      <c r="S11" s="856" t="s">
        <v>393</v>
      </c>
      <c r="T11" s="845" t="e">
        <f>INTERCEPT(C6:C45,B6:B45)</f>
        <v>#DIV/0!</v>
      </c>
    </row>
    <row r="12" spans="1:20">
      <c r="A12" s="845">
        <f t="shared" si="5"/>
        <v>7</v>
      </c>
      <c r="B12" s="854"/>
      <c r="C12" s="854"/>
      <c r="D12" s="879" t="str">
        <f t="shared" si="0"/>
        <v/>
      </c>
      <c r="E12" s="879" t="str">
        <f t="shared" si="1"/>
        <v/>
      </c>
      <c r="F12" s="879" t="str">
        <f t="shared" si="2"/>
        <v/>
      </c>
      <c r="G12" s="855" t="str">
        <f t="shared" si="3"/>
        <v/>
      </c>
      <c r="H12" s="855" t="str">
        <f t="shared" si="4"/>
        <v/>
      </c>
      <c r="S12" s="856" t="s">
        <v>394</v>
      </c>
      <c r="T12" s="845" t="e">
        <f>SLOPE(C6:C45,B6:B45)</f>
        <v>#DIV/0!</v>
      </c>
    </row>
    <row r="13" spans="1:20">
      <c r="A13" s="845">
        <f t="shared" si="5"/>
        <v>8</v>
      </c>
      <c r="B13" s="854"/>
      <c r="C13" s="854"/>
      <c r="D13" s="879" t="str">
        <f t="shared" si="0"/>
        <v/>
      </c>
      <c r="E13" s="879" t="str">
        <f t="shared" si="1"/>
        <v/>
      </c>
      <c r="F13" s="879" t="str">
        <f t="shared" si="2"/>
        <v/>
      </c>
      <c r="G13" s="855" t="str">
        <f t="shared" si="3"/>
        <v/>
      </c>
      <c r="H13" s="855" t="str">
        <f t="shared" si="4"/>
        <v/>
      </c>
    </row>
    <row r="14" spans="1:20">
      <c r="A14" s="845">
        <f t="shared" si="5"/>
        <v>9</v>
      </c>
      <c r="B14" s="854"/>
      <c r="C14" s="854"/>
      <c r="D14" s="879" t="str">
        <f t="shared" si="0"/>
        <v/>
      </c>
      <c r="E14" s="879" t="str">
        <f t="shared" si="1"/>
        <v/>
      </c>
      <c r="F14" s="879" t="str">
        <f t="shared" si="2"/>
        <v/>
      </c>
      <c r="G14" s="855" t="str">
        <f t="shared" si="3"/>
        <v/>
      </c>
      <c r="H14" s="855" t="str">
        <f t="shared" si="4"/>
        <v/>
      </c>
      <c r="S14" s="864" t="s">
        <v>395</v>
      </c>
    </row>
    <row r="15" spans="1:20">
      <c r="A15" s="845">
        <f t="shared" si="5"/>
        <v>10</v>
      </c>
      <c r="B15" s="854"/>
      <c r="C15" s="854"/>
      <c r="D15" s="879" t="str">
        <f t="shared" si="0"/>
        <v/>
      </c>
      <c r="E15" s="879" t="str">
        <f t="shared" si="1"/>
        <v/>
      </c>
      <c r="F15" s="879" t="str">
        <f t="shared" si="2"/>
        <v/>
      </c>
      <c r="G15" s="855" t="str">
        <f t="shared" si="3"/>
        <v/>
      </c>
      <c r="H15" s="855" t="str">
        <f t="shared" si="4"/>
        <v/>
      </c>
    </row>
    <row r="16" spans="1:20">
      <c r="A16" s="845">
        <f t="shared" si="5"/>
        <v>11</v>
      </c>
      <c r="B16" s="854"/>
      <c r="C16" s="854"/>
      <c r="D16" s="879" t="str">
        <f t="shared" si="0"/>
        <v/>
      </c>
      <c r="E16" s="879" t="str">
        <f t="shared" si="1"/>
        <v/>
      </c>
      <c r="F16" s="879" t="str">
        <f t="shared" si="2"/>
        <v/>
      </c>
      <c r="G16" s="855" t="str">
        <f t="shared" si="3"/>
        <v/>
      </c>
      <c r="H16" s="855" t="str">
        <f t="shared" si="4"/>
        <v/>
      </c>
    </row>
    <row r="17" spans="1:19">
      <c r="A17" s="845">
        <f t="shared" si="5"/>
        <v>12</v>
      </c>
      <c r="B17" s="854"/>
      <c r="C17" s="854"/>
      <c r="D17" s="879" t="str">
        <f t="shared" si="0"/>
        <v/>
      </c>
      <c r="E17" s="879" t="str">
        <f t="shared" si="1"/>
        <v/>
      </c>
      <c r="F17" s="879" t="str">
        <f t="shared" si="2"/>
        <v/>
      </c>
      <c r="G17" s="855" t="str">
        <f t="shared" si="3"/>
        <v/>
      </c>
      <c r="H17" s="855" t="str">
        <f t="shared" si="4"/>
        <v/>
      </c>
    </row>
    <row r="18" spans="1:19">
      <c r="A18" s="845">
        <f t="shared" si="5"/>
        <v>13</v>
      </c>
      <c r="B18" s="854"/>
      <c r="C18" s="854"/>
      <c r="D18" s="879" t="str">
        <f t="shared" si="0"/>
        <v/>
      </c>
      <c r="E18" s="879" t="str">
        <f t="shared" si="1"/>
        <v/>
      </c>
      <c r="F18" s="879" t="str">
        <f t="shared" si="2"/>
        <v/>
      </c>
      <c r="G18" s="855" t="str">
        <f t="shared" si="3"/>
        <v/>
      </c>
      <c r="H18" s="855" t="str">
        <f t="shared" si="4"/>
        <v/>
      </c>
    </row>
    <row r="19" spans="1:19">
      <c r="A19" s="845">
        <f t="shared" si="5"/>
        <v>14</v>
      </c>
      <c r="B19" s="854"/>
      <c r="C19" s="854"/>
      <c r="D19" s="879" t="str">
        <f t="shared" si="0"/>
        <v/>
      </c>
      <c r="E19" s="879" t="str">
        <f t="shared" si="1"/>
        <v/>
      </c>
      <c r="F19" s="879" t="str">
        <f t="shared" si="2"/>
        <v/>
      </c>
      <c r="G19" s="855" t="str">
        <f t="shared" si="3"/>
        <v/>
      </c>
      <c r="H19" s="855" t="str">
        <f t="shared" si="4"/>
        <v/>
      </c>
    </row>
    <row r="20" spans="1:19">
      <c r="A20" s="845">
        <f t="shared" si="5"/>
        <v>15</v>
      </c>
      <c r="B20" s="854"/>
      <c r="C20" s="854"/>
      <c r="D20" s="879" t="str">
        <f t="shared" si="0"/>
        <v/>
      </c>
      <c r="E20" s="879" t="str">
        <f t="shared" si="1"/>
        <v/>
      </c>
      <c r="F20" s="879" t="str">
        <f t="shared" si="2"/>
        <v/>
      </c>
      <c r="G20" s="855" t="str">
        <f t="shared" si="3"/>
        <v/>
      </c>
      <c r="H20" s="855" t="str">
        <f t="shared" si="4"/>
        <v/>
      </c>
    </row>
    <row r="21" spans="1:19">
      <c r="A21" s="845">
        <f t="shared" si="5"/>
        <v>16</v>
      </c>
      <c r="B21" s="854"/>
      <c r="C21" s="854"/>
      <c r="D21" s="879" t="str">
        <f t="shared" si="0"/>
        <v/>
      </c>
      <c r="E21" s="879" t="str">
        <f t="shared" si="1"/>
        <v/>
      </c>
      <c r="F21" s="879" t="str">
        <f t="shared" si="2"/>
        <v/>
      </c>
      <c r="G21" s="855" t="str">
        <f t="shared" si="3"/>
        <v/>
      </c>
      <c r="H21" s="855" t="str">
        <f t="shared" si="4"/>
        <v/>
      </c>
    </row>
    <row r="22" spans="1:19">
      <c r="A22" s="845">
        <f t="shared" si="5"/>
        <v>17</v>
      </c>
      <c r="B22" s="854"/>
      <c r="C22" s="854"/>
      <c r="D22" s="879" t="str">
        <f t="shared" ref="D22:D31" si="6">IF($B22="","",($T$12*B22+$T$11)-(3*$T$10))</f>
        <v/>
      </c>
      <c r="E22" s="879" t="str">
        <f t="shared" ref="E22:E31" si="7">IF($B22="","",($T$12*B22+$T$11))</f>
        <v/>
      </c>
      <c r="F22" s="879" t="str">
        <f t="shared" ref="F22:F31" si="8">IF($B22="","",($T$12*B22+$T$11)+(3*$T$10))</f>
        <v/>
      </c>
      <c r="G22" s="855" t="str">
        <f t="shared" ref="G22:G31" si="9">IF(C22="","",G$5)</f>
        <v/>
      </c>
      <c r="H22" s="855" t="str">
        <f t="shared" ref="H22:H31" si="10">IF(C22="","",H$5)</f>
        <v/>
      </c>
    </row>
    <row r="23" spans="1:19">
      <c r="A23" s="845">
        <f t="shared" si="5"/>
        <v>18</v>
      </c>
      <c r="B23" s="854"/>
      <c r="C23" s="854"/>
      <c r="D23" s="879" t="str">
        <f t="shared" si="6"/>
        <v/>
      </c>
      <c r="E23" s="879" t="str">
        <f t="shared" si="7"/>
        <v/>
      </c>
      <c r="F23" s="879" t="str">
        <f t="shared" si="8"/>
        <v/>
      </c>
      <c r="G23" s="855" t="str">
        <f t="shared" si="9"/>
        <v/>
      </c>
      <c r="H23" s="855" t="str">
        <f t="shared" si="10"/>
        <v/>
      </c>
    </row>
    <row r="24" spans="1:19">
      <c r="A24" s="845">
        <f t="shared" si="5"/>
        <v>19</v>
      </c>
      <c r="B24" s="854"/>
      <c r="C24" s="854"/>
      <c r="D24" s="879" t="str">
        <f t="shared" si="6"/>
        <v/>
      </c>
      <c r="E24" s="879" t="str">
        <f t="shared" si="7"/>
        <v/>
      </c>
      <c r="F24" s="879" t="str">
        <f t="shared" si="8"/>
        <v/>
      </c>
      <c r="G24" s="855" t="str">
        <f t="shared" si="9"/>
        <v/>
      </c>
      <c r="H24" s="855" t="str">
        <f t="shared" si="10"/>
        <v/>
      </c>
    </row>
    <row r="25" spans="1:19">
      <c r="A25" s="845">
        <f t="shared" si="5"/>
        <v>20</v>
      </c>
      <c r="B25" s="854"/>
      <c r="C25" s="854"/>
      <c r="D25" s="879" t="str">
        <f t="shared" si="6"/>
        <v/>
      </c>
      <c r="E25" s="879" t="str">
        <f t="shared" si="7"/>
        <v/>
      </c>
      <c r="F25" s="879" t="str">
        <f t="shared" si="8"/>
        <v/>
      </c>
      <c r="G25" s="855" t="str">
        <f t="shared" si="9"/>
        <v/>
      </c>
      <c r="H25" s="855" t="str">
        <f t="shared" si="10"/>
        <v/>
      </c>
      <c r="K25" s="859" t="s">
        <v>58</v>
      </c>
      <c r="P25" s="859" t="s">
        <v>59</v>
      </c>
    </row>
    <row r="26" spans="1:19">
      <c r="A26" s="845">
        <f t="shared" si="5"/>
        <v>21</v>
      </c>
      <c r="B26" s="854"/>
      <c r="C26" s="854"/>
      <c r="D26" s="879" t="str">
        <f t="shared" si="6"/>
        <v/>
      </c>
      <c r="E26" s="879" t="str">
        <f t="shared" si="7"/>
        <v/>
      </c>
      <c r="F26" s="879" t="str">
        <f t="shared" si="8"/>
        <v/>
      </c>
      <c r="G26" s="855" t="str">
        <f t="shared" si="9"/>
        <v/>
      </c>
      <c r="H26" s="855" t="str">
        <f t="shared" si="10"/>
        <v/>
      </c>
      <c r="M26" s="860" t="str">
        <f>"LSL_"&amp;C3</f>
        <v>LSL_</v>
      </c>
      <c r="N26" s="880">
        <f>G5</f>
        <v>0</v>
      </c>
      <c r="P26" s="861"/>
      <c r="Q26" s="861"/>
      <c r="R26" s="862" t="str">
        <f>"LSL_"&amp;C2</f>
        <v>LSL_</v>
      </c>
      <c r="S26" s="863" t="e">
        <f>(N26-T11+(3*T10))/T12</f>
        <v>#DIV/0!</v>
      </c>
    </row>
    <row r="27" spans="1:19">
      <c r="A27" s="845">
        <f t="shared" si="5"/>
        <v>22</v>
      </c>
      <c r="B27" s="854"/>
      <c r="C27" s="854"/>
      <c r="D27" s="879" t="str">
        <f t="shared" si="6"/>
        <v/>
      </c>
      <c r="E27" s="879" t="str">
        <f t="shared" si="7"/>
        <v/>
      </c>
      <c r="F27" s="879" t="str">
        <f t="shared" si="8"/>
        <v/>
      </c>
      <c r="G27" s="855" t="str">
        <f t="shared" si="9"/>
        <v/>
      </c>
      <c r="H27" s="855" t="str">
        <f t="shared" si="10"/>
        <v/>
      </c>
      <c r="M27" s="860" t="str">
        <f>"USL_"&amp;C3</f>
        <v>USL_</v>
      </c>
      <c r="N27" s="880">
        <f>H5</f>
        <v>0</v>
      </c>
      <c r="P27" s="861"/>
      <c r="Q27" s="861"/>
      <c r="R27" s="862" t="str">
        <f>"USL_"&amp;C2</f>
        <v>USL_</v>
      </c>
      <c r="S27" s="863" t="e">
        <f>(N27-T11-(3*T10))/T12</f>
        <v>#DIV/0!</v>
      </c>
    </row>
    <row r="28" spans="1:19">
      <c r="A28" s="845">
        <f t="shared" si="5"/>
        <v>23</v>
      </c>
      <c r="B28" s="854"/>
      <c r="C28" s="854"/>
      <c r="D28" s="879" t="str">
        <f t="shared" si="6"/>
        <v/>
      </c>
      <c r="E28" s="879" t="str">
        <f t="shared" si="7"/>
        <v/>
      </c>
      <c r="F28" s="879" t="str">
        <f t="shared" si="8"/>
        <v/>
      </c>
      <c r="G28" s="855" t="str">
        <f t="shared" si="9"/>
        <v/>
      </c>
      <c r="H28" s="855" t="str">
        <f t="shared" si="10"/>
        <v/>
      </c>
    </row>
    <row r="29" spans="1:19">
      <c r="A29" s="845">
        <f t="shared" si="5"/>
        <v>24</v>
      </c>
      <c r="B29" s="854"/>
      <c r="C29" s="854"/>
      <c r="D29" s="879" t="str">
        <f t="shared" si="6"/>
        <v/>
      </c>
      <c r="E29" s="879" t="str">
        <f t="shared" si="7"/>
        <v/>
      </c>
      <c r="F29" s="879" t="str">
        <f t="shared" si="8"/>
        <v/>
      </c>
      <c r="G29" s="855" t="str">
        <f t="shared" si="9"/>
        <v/>
      </c>
      <c r="H29" s="855" t="str">
        <f t="shared" si="10"/>
        <v/>
      </c>
    </row>
    <row r="30" spans="1:19">
      <c r="A30" s="845">
        <f t="shared" si="5"/>
        <v>25</v>
      </c>
      <c r="B30" s="854"/>
      <c r="C30" s="854"/>
      <c r="D30" s="879" t="str">
        <f t="shared" si="6"/>
        <v/>
      </c>
      <c r="E30" s="879" t="str">
        <f t="shared" si="7"/>
        <v/>
      </c>
      <c r="F30" s="879" t="str">
        <f t="shared" si="8"/>
        <v/>
      </c>
      <c r="G30" s="855" t="str">
        <f t="shared" si="9"/>
        <v/>
      </c>
      <c r="H30" s="855" t="str">
        <f t="shared" si="10"/>
        <v/>
      </c>
      <c r="N30" s="865"/>
    </row>
    <row r="31" spans="1:19">
      <c r="A31" s="845">
        <f t="shared" si="5"/>
        <v>26</v>
      </c>
      <c r="B31" s="854"/>
      <c r="C31" s="854"/>
      <c r="D31" s="879" t="str">
        <f t="shared" si="6"/>
        <v/>
      </c>
      <c r="E31" s="879" t="str">
        <f t="shared" si="7"/>
        <v/>
      </c>
      <c r="F31" s="879" t="str">
        <f t="shared" si="8"/>
        <v/>
      </c>
      <c r="G31" s="855" t="str">
        <f t="shared" si="9"/>
        <v/>
      </c>
      <c r="H31" s="855" t="str">
        <f t="shared" si="10"/>
        <v/>
      </c>
      <c r="N31" s="865"/>
    </row>
    <row r="32" spans="1:19">
      <c r="A32" s="845">
        <f t="shared" si="5"/>
        <v>27</v>
      </c>
      <c r="B32" s="854"/>
      <c r="C32" s="854"/>
      <c r="D32" s="879" t="str">
        <f t="shared" ref="D32:D41" si="11">IF($B32="","",($T$12*B32+$T$11)-(3*$T$10))</f>
        <v/>
      </c>
      <c r="E32" s="879" t="str">
        <f t="shared" ref="E32:E41" si="12">IF($B32="","",($T$12*B32+$T$11))</f>
        <v/>
      </c>
      <c r="F32" s="879" t="str">
        <f t="shared" ref="F32:F41" si="13">IF($B32="","",($T$12*B32+$T$11)+(3*$T$10))</f>
        <v/>
      </c>
      <c r="G32" s="855" t="str">
        <f t="shared" ref="G32:G41" si="14">IF(C32="","",G$5)</f>
        <v/>
      </c>
      <c r="H32" s="855" t="str">
        <f t="shared" ref="H32:H41" si="15">IF(C32="","",H$5)</f>
        <v/>
      </c>
    </row>
    <row r="33" spans="1:11">
      <c r="A33" s="845">
        <f t="shared" si="5"/>
        <v>28</v>
      </c>
      <c r="B33" s="854"/>
      <c r="C33" s="854"/>
      <c r="D33" s="879" t="str">
        <f t="shared" si="11"/>
        <v/>
      </c>
      <c r="E33" s="879" t="str">
        <f t="shared" si="12"/>
        <v/>
      </c>
      <c r="F33" s="879" t="str">
        <f t="shared" si="13"/>
        <v/>
      </c>
      <c r="G33" s="855" t="str">
        <f t="shared" si="14"/>
        <v/>
      </c>
      <c r="H33" s="855" t="str">
        <f t="shared" si="15"/>
        <v/>
      </c>
    </row>
    <row r="34" spans="1:11">
      <c r="A34" s="845">
        <f t="shared" si="5"/>
        <v>29</v>
      </c>
      <c r="B34" s="854"/>
      <c r="C34" s="854"/>
      <c r="D34" s="879" t="str">
        <f t="shared" si="11"/>
        <v/>
      </c>
      <c r="E34" s="879" t="str">
        <f t="shared" si="12"/>
        <v/>
      </c>
      <c r="F34" s="879" t="str">
        <f t="shared" si="13"/>
        <v/>
      </c>
      <c r="G34" s="855" t="str">
        <f t="shared" si="14"/>
        <v/>
      </c>
      <c r="H34" s="855" t="str">
        <f t="shared" si="15"/>
        <v/>
      </c>
    </row>
    <row r="35" spans="1:11">
      <c r="A35" s="845">
        <f t="shared" si="5"/>
        <v>30</v>
      </c>
      <c r="B35" s="854"/>
      <c r="C35" s="854"/>
      <c r="D35" s="879" t="str">
        <f t="shared" si="11"/>
        <v/>
      </c>
      <c r="E35" s="879" t="str">
        <f t="shared" si="12"/>
        <v/>
      </c>
      <c r="F35" s="879" t="str">
        <f t="shared" si="13"/>
        <v/>
      </c>
      <c r="G35" s="855" t="str">
        <f t="shared" si="14"/>
        <v/>
      </c>
      <c r="H35" s="855" t="str">
        <f t="shared" si="15"/>
        <v/>
      </c>
      <c r="K35" s="859" t="s">
        <v>60</v>
      </c>
    </row>
    <row r="36" spans="1:11">
      <c r="A36" s="845">
        <f t="shared" si="5"/>
        <v>31</v>
      </c>
      <c r="B36" s="854"/>
      <c r="C36" s="854"/>
      <c r="D36" s="879" t="str">
        <f t="shared" si="11"/>
        <v/>
      </c>
      <c r="E36" s="879" t="str">
        <f t="shared" si="12"/>
        <v/>
      </c>
      <c r="F36" s="879" t="str">
        <f t="shared" si="13"/>
        <v/>
      </c>
      <c r="G36" s="855" t="str">
        <f t="shared" si="14"/>
        <v/>
      </c>
      <c r="H36" s="855" t="str">
        <f t="shared" si="15"/>
        <v/>
      </c>
    </row>
    <row r="37" spans="1:11">
      <c r="A37" s="845">
        <f t="shared" si="5"/>
        <v>32</v>
      </c>
      <c r="B37" s="854"/>
      <c r="C37" s="854"/>
      <c r="D37" s="879" t="str">
        <f t="shared" si="11"/>
        <v/>
      </c>
      <c r="E37" s="879" t="str">
        <f t="shared" si="12"/>
        <v/>
      </c>
      <c r="F37" s="879" t="str">
        <f t="shared" si="13"/>
        <v/>
      </c>
      <c r="G37" s="855" t="str">
        <f t="shared" si="14"/>
        <v/>
      </c>
      <c r="H37" s="855" t="str">
        <f t="shared" si="15"/>
        <v/>
      </c>
    </row>
    <row r="38" spans="1:11">
      <c r="A38" s="845">
        <f t="shared" si="5"/>
        <v>33</v>
      </c>
      <c r="B38" s="854"/>
      <c r="C38" s="854"/>
      <c r="D38" s="879" t="str">
        <f t="shared" si="11"/>
        <v/>
      </c>
      <c r="E38" s="879" t="str">
        <f t="shared" si="12"/>
        <v/>
      </c>
      <c r="F38" s="879" t="str">
        <f t="shared" si="13"/>
        <v/>
      </c>
      <c r="G38" s="855" t="str">
        <f t="shared" si="14"/>
        <v/>
      </c>
      <c r="H38" s="855" t="str">
        <f t="shared" si="15"/>
        <v/>
      </c>
    </row>
    <row r="39" spans="1:11">
      <c r="A39" s="845">
        <f t="shared" si="5"/>
        <v>34</v>
      </c>
      <c r="B39" s="854"/>
      <c r="C39" s="854"/>
      <c r="D39" s="879" t="str">
        <f t="shared" si="11"/>
        <v/>
      </c>
      <c r="E39" s="879" t="str">
        <f t="shared" si="12"/>
        <v/>
      </c>
      <c r="F39" s="879" t="str">
        <f t="shared" si="13"/>
        <v/>
      </c>
      <c r="G39" s="855" t="str">
        <f t="shared" si="14"/>
        <v/>
      </c>
      <c r="H39" s="855" t="str">
        <f t="shared" si="15"/>
        <v/>
      </c>
    </row>
    <row r="40" spans="1:11">
      <c r="A40" s="845">
        <f t="shared" si="5"/>
        <v>35</v>
      </c>
      <c r="B40" s="854"/>
      <c r="C40" s="854"/>
      <c r="D40" s="879" t="str">
        <f t="shared" si="11"/>
        <v/>
      </c>
      <c r="E40" s="879" t="str">
        <f t="shared" si="12"/>
        <v/>
      </c>
      <c r="F40" s="879" t="str">
        <f t="shared" si="13"/>
        <v/>
      </c>
      <c r="G40" s="855" t="str">
        <f t="shared" si="14"/>
        <v/>
      </c>
      <c r="H40" s="855" t="str">
        <f t="shared" si="15"/>
        <v/>
      </c>
    </row>
    <row r="41" spans="1:11">
      <c r="A41" s="845">
        <f t="shared" si="5"/>
        <v>36</v>
      </c>
      <c r="B41" s="854"/>
      <c r="C41" s="854"/>
      <c r="D41" s="879" t="str">
        <f t="shared" si="11"/>
        <v/>
      </c>
      <c r="E41" s="879" t="str">
        <f t="shared" si="12"/>
        <v/>
      </c>
      <c r="F41" s="879" t="str">
        <f t="shared" si="13"/>
        <v/>
      </c>
      <c r="G41" s="855" t="str">
        <f t="shared" si="14"/>
        <v/>
      </c>
      <c r="H41" s="855" t="str">
        <f t="shared" si="15"/>
        <v/>
      </c>
    </row>
    <row r="42" spans="1:11">
      <c r="A42" s="845">
        <f t="shared" si="5"/>
        <v>37</v>
      </c>
      <c r="B42" s="854"/>
      <c r="C42" s="854"/>
      <c r="D42" s="879" t="str">
        <f t="shared" ref="D42:D45" si="16">IF($B42="","",($T$12*B42+$T$11)-(3*$T$10))</f>
        <v/>
      </c>
      <c r="E42" s="879" t="str">
        <f t="shared" ref="E42:E45" si="17">IF($B42="","",($T$12*B42+$T$11))</f>
        <v/>
      </c>
      <c r="F42" s="879" t="str">
        <f t="shared" ref="F42:F45" si="18">IF($B42="","",($T$12*B42+$T$11)+(3*$T$10))</f>
        <v/>
      </c>
      <c r="G42" s="855" t="str">
        <f t="shared" ref="G42:G45" si="19">IF(C42="","",G$5)</f>
        <v/>
      </c>
      <c r="H42" s="855" t="str">
        <f t="shared" ref="H42:H45" si="20">IF(C42="","",H$5)</f>
        <v/>
      </c>
    </row>
    <row r="43" spans="1:11">
      <c r="A43" s="845">
        <f t="shared" si="5"/>
        <v>38</v>
      </c>
      <c r="B43" s="854"/>
      <c r="C43" s="854"/>
      <c r="D43" s="879" t="str">
        <f t="shared" si="16"/>
        <v/>
      </c>
      <c r="E43" s="879" t="str">
        <f t="shared" si="17"/>
        <v/>
      </c>
      <c r="F43" s="879" t="str">
        <f t="shared" si="18"/>
        <v/>
      </c>
      <c r="G43" s="855" t="str">
        <f t="shared" si="19"/>
        <v/>
      </c>
      <c r="H43" s="855" t="str">
        <f t="shared" si="20"/>
        <v/>
      </c>
    </row>
    <row r="44" spans="1:11">
      <c r="A44" s="845">
        <f t="shared" si="5"/>
        <v>39</v>
      </c>
      <c r="B44" s="854"/>
      <c r="C44" s="854"/>
      <c r="D44" s="879" t="str">
        <f t="shared" si="16"/>
        <v/>
      </c>
      <c r="E44" s="879" t="str">
        <f t="shared" si="17"/>
        <v/>
      </c>
      <c r="F44" s="879" t="str">
        <f t="shared" si="18"/>
        <v/>
      </c>
      <c r="G44" s="855" t="str">
        <f t="shared" si="19"/>
        <v/>
      </c>
      <c r="H44" s="855" t="str">
        <f t="shared" si="20"/>
        <v/>
      </c>
    </row>
    <row r="45" spans="1:11" ht="13.5" thickBot="1">
      <c r="A45" s="845">
        <f t="shared" si="5"/>
        <v>40</v>
      </c>
      <c r="B45" s="854"/>
      <c r="C45" s="854"/>
      <c r="D45" s="879" t="str">
        <f t="shared" si="16"/>
        <v/>
      </c>
      <c r="E45" s="879" t="str">
        <f t="shared" si="17"/>
        <v/>
      </c>
      <c r="F45" s="879" t="str">
        <f t="shared" si="18"/>
        <v/>
      </c>
      <c r="G45" s="855" t="str">
        <f t="shared" si="19"/>
        <v/>
      </c>
      <c r="H45" s="855" t="str">
        <f t="shared" si="20"/>
        <v/>
      </c>
    </row>
    <row r="46" spans="1:11" ht="13.5" thickBot="1">
      <c r="A46" s="845" t="s">
        <v>1065</v>
      </c>
      <c r="B46" s="852"/>
      <c r="C46" s="853"/>
      <c r="D46" s="879" t="str">
        <f t="shared" si="0"/>
        <v/>
      </c>
      <c r="E46" s="879" t="str">
        <f t="shared" si="1"/>
        <v/>
      </c>
      <c r="F46" s="879" t="str">
        <f t="shared" si="2"/>
        <v/>
      </c>
      <c r="G46" s="855" t="str">
        <f>IF(B46="","",G$5)</f>
        <v/>
      </c>
      <c r="H46" s="855" t="str">
        <f>IF(B46="","",H$5)</f>
        <v/>
      </c>
    </row>
  </sheetData>
  <sheetProtection password="CC08" sheet="1" scenarios="1"/>
  <phoneticPr fontId="100" type="noConversion"/>
  <printOptions horizontalCentered="1"/>
  <pageMargins left="0.75" right="0.75" top="1" bottom="1" header="0.5" footer="0.5"/>
  <pageSetup orientation="portrait" r:id="rId1"/>
  <headerFooter alignWithMargins="0">
    <oddHeader>&amp;A</oddHeader>
    <oddFooter>&amp;L&amp;F&amp;CPage &amp;P of &amp;N&amp;R&amp;D</oddFooter>
  </headerFooter>
  <colBreaks count="1" manualBreakCount="1">
    <brk id="20" max="1048575" man="1"/>
  </colBreaks>
  <drawing r:id="rId2"/>
  <legacyDrawing r:id="rId3"/>
  <oleObjects>
    <oleObject progId="Equation" shapeId="68610" r:id="rId4"/>
    <oleObject progId="Equation" shapeId="68611" r:id="rId5"/>
  </oleObjects>
  <controls>
    <control shapeId="68613" r:id="rId6" name="MainMenu"/>
    <control shapeId="68614" r:id="rId7" name="AddRows"/>
  </controls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1"/>
  <dimension ref="A1:AO257"/>
  <sheetViews>
    <sheetView showGridLines="0" zoomScaleNormal="100" workbookViewId="0">
      <selection activeCell="K1" sqref="K1"/>
    </sheetView>
  </sheetViews>
  <sheetFormatPr defaultRowHeight="12.75"/>
  <cols>
    <col min="1" max="1" width="9.140625" style="1178"/>
    <col min="2" max="3" width="9.140625" style="1200"/>
    <col min="4" max="17" width="9.140625" style="1178"/>
    <col min="18" max="18" width="8.85546875" style="1178" bestFit="1" customWidth="1"/>
    <col min="19" max="19" width="7.7109375" style="1178" customWidth="1"/>
    <col min="20" max="20" width="9.140625" style="1178"/>
    <col min="21" max="21" width="2.5703125" style="1178" customWidth="1"/>
    <col min="22" max="22" width="9.5703125" style="1178" customWidth="1"/>
    <col min="23" max="23" width="9.140625" style="1178"/>
    <col min="24" max="24" width="7.5703125" style="1178" customWidth="1"/>
    <col min="25" max="25" width="7.7109375" style="1178" customWidth="1"/>
    <col min="26" max="26" width="7.5703125" style="1178" customWidth="1"/>
    <col min="27" max="31" width="9.140625" style="1178"/>
    <col min="32" max="41" width="9.140625" style="1184"/>
    <col min="42" max="273" width="9.140625" style="1178"/>
    <col min="274" max="274" width="8.85546875" style="1178" bestFit="1" customWidth="1"/>
    <col min="275" max="275" width="7.7109375" style="1178" customWidth="1"/>
    <col min="276" max="276" width="9.140625" style="1178"/>
    <col min="277" max="277" width="2.5703125" style="1178" customWidth="1"/>
    <col min="278" max="278" width="9.5703125" style="1178" customWidth="1"/>
    <col min="279" max="279" width="9.140625" style="1178"/>
    <col min="280" max="280" width="7.5703125" style="1178" customWidth="1"/>
    <col min="281" max="281" width="7.7109375" style="1178" customWidth="1"/>
    <col min="282" max="282" width="7.5703125" style="1178" customWidth="1"/>
    <col min="283" max="529" width="9.140625" style="1178"/>
    <col min="530" max="530" width="8.85546875" style="1178" bestFit="1" customWidth="1"/>
    <col min="531" max="531" width="7.7109375" style="1178" customWidth="1"/>
    <col min="532" max="532" width="9.140625" style="1178"/>
    <col min="533" max="533" width="2.5703125" style="1178" customWidth="1"/>
    <col min="534" max="534" width="9.5703125" style="1178" customWidth="1"/>
    <col min="535" max="535" width="9.140625" style="1178"/>
    <col min="536" max="536" width="7.5703125" style="1178" customWidth="1"/>
    <col min="537" max="537" width="7.7109375" style="1178" customWidth="1"/>
    <col min="538" max="538" width="7.5703125" style="1178" customWidth="1"/>
    <col min="539" max="785" width="9.140625" style="1178"/>
    <col min="786" max="786" width="8.85546875" style="1178" bestFit="1" customWidth="1"/>
    <col min="787" max="787" width="7.7109375" style="1178" customWidth="1"/>
    <col min="788" max="788" width="9.140625" style="1178"/>
    <col min="789" max="789" width="2.5703125" style="1178" customWidth="1"/>
    <col min="790" max="790" width="9.5703125" style="1178" customWidth="1"/>
    <col min="791" max="791" width="9.140625" style="1178"/>
    <col min="792" max="792" width="7.5703125" style="1178" customWidth="1"/>
    <col min="793" max="793" width="7.7109375" style="1178" customWidth="1"/>
    <col min="794" max="794" width="7.5703125" style="1178" customWidth="1"/>
    <col min="795" max="1041" width="9.140625" style="1178"/>
    <col min="1042" max="1042" width="8.85546875" style="1178" bestFit="1" customWidth="1"/>
    <col min="1043" max="1043" width="7.7109375" style="1178" customWidth="1"/>
    <col min="1044" max="1044" width="9.140625" style="1178"/>
    <col min="1045" max="1045" width="2.5703125" style="1178" customWidth="1"/>
    <col min="1046" max="1046" width="9.5703125" style="1178" customWidth="1"/>
    <col min="1047" max="1047" width="9.140625" style="1178"/>
    <col min="1048" max="1048" width="7.5703125" style="1178" customWidth="1"/>
    <col min="1049" max="1049" width="7.7109375" style="1178" customWidth="1"/>
    <col min="1050" max="1050" width="7.5703125" style="1178" customWidth="1"/>
    <col min="1051" max="1297" width="9.140625" style="1178"/>
    <col min="1298" max="1298" width="8.85546875" style="1178" bestFit="1" customWidth="1"/>
    <col min="1299" max="1299" width="7.7109375" style="1178" customWidth="1"/>
    <col min="1300" max="1300" width="9.140625" style="1178"/>
    <col min="1301" max="1301" width="2.5703125" style="1178" customWidth="1"/>
    <col min="1302" max="1302" width="9.5703125" style="1178" customWidth="1"/>
    <col min="1303" max="1303" width="9.140625" style="1178"/>
    <col min="1304" max="1304" width="7.5703125" style="1178" customWidth="1"/>
    <col min="1305" max="1305" width="7.7109375" style="1178" customWidth="1"/>
    <col min="1306" max="1306" width="7.5703125" style="1178" customWidth="1"/>
    <col min="1307" max="1553" width="9.140625" style="1178"/>
    <col min="1554" max="1554" width="8.85546875" style="1178" bestFit="1" customWidth="1"/>
    <col min="1555" max="1555" width="7.7109375" style="1178" customWidth="1"/>
    <col min="1556" max="1556" width="9.140625" style="1178"/>
    <col min="1557" max="1557" width="2.5703125" style="1178" customWidth="1"/>
    <col min="1558" max="1558" width="9.5703125" style="1178" customWidth="1"/>
    <col min="1559" max="1559" width="9.140625" style="1178"/>
    <col min="1560" max="1560" width="7.5703125" style="1178" customWidth="1"/>
    <col min="1561" max="1561" width="7.7109375" style="1178" customWidth="1"/>
    <col min="1562" max="1562" width="7.5703125" style="1178" customWidth="1"/>
    <col min="1563" max="1809" width="9.140625" style="1178"/>
    <col min="1810" max="1810" width="8.85546875" style="1178" bestFit="1" customWidth="1"/>
    <col min="1811" max="1811" width="7.7109375" style="1178" customWidth="1"/>
    <col min="1812" max="1812" width="9.140625" style="1178"/>
    <col min="1813" max="1813" width="2.5703125" style="1178" customWidth="1"/>
    <col min="1814" max="1814" width="9.5703125" style="1178" customWidth="1"/>
    <col min="1815" max="1815" width="9.140625" style="1178"/>
    <col min="1816" max="1816" width="7.5703125" style="1178" customWidth="1"/>
    <col min="1817" max="1817" width="7.7109375" style="1178" customWidth="1"/>
    <col min="1818" max="1818" width="7.5703125" style="1178" customWidth="1"/>
    <col min="1819" max="2065" width="9.140625" style="1178"/>
    <col min="2066" max="2066" width="8.85546875" style="1178" bestFit="1" customWidth="1"/>
    <col min="2067" max="2067" width="7.7109375" style="1178" customWidth="1"/>
    <col min="2068" max="2068" width="9.140625" style="1178"/>
    <col min="2069" max="2069" width="2.5703125" style="1178" customWidth="1"/>
    <col min="2070" max="2070" width="9.5703125" style="1178" customWidth="1"/>
    <col min="2071" max="2071" width="9.140625" style="1178"/>
    <col min="2072" max="2072" width="7.5703125" style="1178" customWidth="1"/>
    <col min="2073" max="2073" width="7.7109375" style="1178" customWidth="1"/>
    <col min="2074" max="2074" width="7.5703125" style="1178" customWidth="1"/>
    <col min="2075" max="2321" width="9.140625" style="1178"/>
    <col min="2322" max="2322" width="8.85546875" style="1178" bestFit="1" customWidth="1"/>
    <col min="2323" max="2323" width="7.7109375" style="1178" customWidth="1"/>
    <col min="2324" max="2324" width="9.140625" style="1178"/>
    <col min="2325" max="2325" width="2.5703125" style="1178" customWidth="1"/>
    <col min="2326" max="2326" width="9.5703125" style="1178" customWidth="1"/>
    <col min="2327" max="2327" width="9.140625" style="1178"/>
    <col min="2328" max="2328" width="7.5703125" style="1178" customWidth="1"/>
    <col min="2329" max="2329" width="7.7109375" style="1178" customWidth="1"/>
    <col min="2330" max="2330" width="7.5703125" style="1178" customWidth="1"/>
    <col min="2331" max="2577" width="9.140625" style="1178"/>
    <col min="2578" max="2578" width="8.85546875" style="1178" bestFit="1" customWidth="1"/>
    <col min="2579" max="2579" width="7.7109375" style="1178" customWidth="1"/>
    <col min="2580" max="2580" width="9.140625" style="1178"/>
    <col min="2581" max="2581" width="2.5703125" style="1178" customWidth="1"/>
    <col min="2582" max="2582" width="9.5703125" style="1178" customWidth="1"/>
    <col min="2583" max="2583" width="9.140625" style="1178"/>
    <col min="2584" max="2584" width="7.5703125" style="1178" customWidth="1"/>
    <col min="2585" max="2585" width="7.7109375" style="1178" customWidth="1"/>
    <col min="2586" max="2586" width="7.5703125" style="1178" customWidth="1"/>
    <col min="2587" max="2833" width="9.140625" style="1178"/>
    <col min="2834" max="2834" width="8.85546875" style="1178" bestFit="1" customWidth="1"/>
    <col min="2835" max="2835" width="7.7109375" style="1178" customWidth="1"/>
    <col min="2836" max="2836" width="9.140625" style="1178"/>
    <col min="2837" max="2837" width="2.5703125" style="1178" customWidth="1"/>
    <col min="2838" max="2838" width="9.5703125" style="1178" customWidth="1"/>
    <col min="2839" max="2839" width="9.140625" style="1178"/>
    <col min="2840" max="2840" width="7.5703125" style="1178" customWidth="1"/>
    <col min="2841" max="2841" width="7.7109375" style="1178" customWidth="1"/>
    <col min="2842" max="2842" width="7.5703125" style="1178" customWidth="1"/>
    <col min="2843" max="3089" width="9.140625" style="1178"/>
    <col min="3090" max="3090" width="8.85546875" style="1178" bestFit="1" customWidth="1"/>
    <col min="3091" max="3091" width="7.7109375" style="1178" customWidth="1"/>
    <col min="3092" max="3092" width="9.140625" style="1178"/>
    <col min="3093" max="3093" width="2.5703125" style="1178" customWidth="1"/>
    <col min="3094" max="3094" width="9.5703125" style="1178" customWidth="1"/>
    <col min="3095" max="3095" width="9.140625" style="1178"/>
    <col min="3096" max="3096" width="7.5703125" style="1178" customWidth="1"/>
    <col min="3097" max="3097" width="7.7109375" style="1178" customWidth="1"/>
    <col min="3098" max="3098" width="7.5703125" style="1178" customWidth="1"/>
    <col min="3099" max="3345" width="9.140625" style="1178"/>
    <col min="3346" max="3346" width="8.85546875" style="1178" bestFit="1" customWidth="1"/>
    <col min="3347" max="3347" width="7.7109375" style="1178" customWidth="1"/>
    <col min="3348" max="3348" width="9.140625" style="1178"/>
    <col min="3349" max="3349" width="2.5703125" style="1178" customWidth="1"/>
    <col min="3350" max="3350" width="9.5703125" style="1178" customWidth="1"/>
    <col min="3351" max="3351" width="9.140625" style="1178"/>
    <col min="3352" max="3352" width="7.5703125" style="1178" customWidth="1"/>
    <col min="3353" max="3353" width="7.7109375" style="1178" customWidth="1"/>
    <col min="3354" max="3354" width="7.5703125" style="1178" customWidth="1"/>
    <col min="3355" max="3601" width="9.140625" style="1178"/>
    <col min="3602" max="3602" width="8.85546875" style="1178" bestFit="1" customWidth="1"/>
    <col min="3603" max="3603" width="7.7109375" style="1178" customWidth="1"/>
    <col min="3604" max="3604" width="9.140625" style="1178"/>
    <col min="3605" max="3605" width="2.5703125" style="1178" customWidth="1"/>
    <col min="3606" max="3606" width="9.5703125" style="1178" customWidth="1"/>
    <col min="3607" max="3607" width="9.140625" style="1178"/>
    <col min="3608" max="3608" width="7.5703125" style="1178" customWidth="1"/>
    <col min="3609" max="3609" width="7.7109375" style="1178" customWidth="1"/>
    <col min="3610" max="3610" width="7.5703125" style="1178" customWidth="1"/>
    <col min="3611" max="3857" width="9.140625" style="1178"/>
    <col min="3858" max="3858" width="8.85546875" style="1178" bestFit="1" customWidth="1"/>
    <col min="3859" max="3859" width="7.7109375" style="1178" customWidth="1"/>
    <col min="3860" max="3860" width="9.140625" style="1178"/>
    <col min="3861" max="3861" width="2.5703125" style="1178" customWidth="1"/>
    <col min="3862" max="3862" width="9.5703125" style="1178" customWidth="1"/>
    <col min="3863" max="3863" width="9.140625" style="1178"/>
    <col min="3864" max="3864" width="7.5703125" style="1178" customWidth="1"/>
    <col min="3865" max="3865" width="7.7109375" style="1178" customWidth="1"/>
    <col min="3866" max="3866" width="7.5703125" style="1178" customWidth="1"/>
    <col min="3867" max="4113" width="9.140625" style="1178"/>
    <col min="4114" max="4114" width="8.85546875" style="1178" bestFit="1" customWidth="1"/>
    <col min="4115" max="4115" width="7.7109375" style="1178" customWidth="1"/>
    <col min="4116" max="4116" width="9.140625" style="1178"/>
    <col min="4117" max="4117" width="2.5703125" style="1178" customWidth="1"/>
    <col min="4118" max="4118" width="9.5703125" style="1178" customWidth="1"/>
    <col min="4119" max="4119" width="9.140625" style="1178"/>
    <col min="4120" max="4120" width="7.5703125" style="1178" customWidth="1"/>
    <col min="4121" max="4121" width="7.7109375" style="1178" customWidth="1"/>
    <col min="4122" max="4122" width="7.5703125" style="1178" customWidth="1"/>
    <col min="4123" max="4369" width="9.140625" style="1178"/>
    <col min="4370" max="4370" width="8.85546875" style="1178" bestFit="1" customWidth="1"/>
    <col min="4371" max="4371" width="7.7109375" style="1178" customWidth="1"/>
    <col min="4372" max="4372" width="9.140625" style="1178"/>
    <col min="4373" max="4373" width="2.5703125" style="1178" customWidth="1"/>
    <col min="4374" max="4374" width="9.5703125" style="1178" customWidth="1"/>
    <col min="4375" max="4375" width="9.140625" style="1178"/>
    <col min="4376" max="4376" width="7.5703125" style="1178" customWidth="1"/>
    <col min="4377" max="4377" width="7.7109375" style="1178" customWidth="1"/>
    <col min="4378" max="4378" width="7.5703125" style="1178" customWidth="1"/>
    <col min="4379" max="4625" width="9.140625" style="1178"/>
    <col min="4626" max="4626" width="8.85546875" style="1178" bestFit="1" customWidth="1"/>
    <col min="4627" max="4627" width="7.7109375" style="1178" customWidth="1"/>
    <col min="4628" max="4628" width="9.140625" style="1178"/>
    <col min="4629" max="4629" width="2.5703125" style="1178" customWidth="1"/>
    <col min="4630" max="4630" width="9.5703125" style="1178" customWidth="1"/>
    <col min="4631" max="4631" width="9.140625" style="1178"/>
    <col min="4632" max="4632" width="7.5703125" style="1178" customWidth="1"/>
    <col min="4633" max="4633" width="7.7109375" style="1178" customWidth="1"/>
    <col min="4634" max="4634" width="7.5703125" style="1178" customWidth="1"/>
    <col min="4635" max="4881" width="9.140625" style="1178"/>
    <col min="4882" max="4882" width="8.85546875" style="1178" bestFit="1" customWidth="1"/>
    <col min="4883" max="4883" width="7.7109375" style="1178" customWidth="1"/>
    <col min="4884" max="4884" width="9.140625" style="1178"/>
    <col min="4885" max="4885" width="2.5703125" style="1178" customWidth="1"/>
    <col min="4886" max="4886" width="9.5703125" style="1178" customWidth="1"/>
    <col min="4887" max="4887" width="9.140625" style="1178"/>
    <col min="4888" max="4888" width="7.5703125" style="1178" customWidth="1"/>
    <col min="4889" max="4889" width="7.7109375" style="1178" customWidth="1"/>
    <col min="4890" max="4890" width="7.5703125" style="1178" customWidth="1"/>
    <col min="4891" max="5137" width="9.140625" style="1178"/>
    <col min="5138" max="5138" width="8.85546875" style="1178" bestFit="1" customWidth="1"/>
    <col min="5139" max="5139" width="7.7109375" style="1178" customWidth="1"/>
    <col min="5140" max="5140" width="9.140625" style="1178"/>
    <col min="5141" max="5141" width="2.5703125" style="1178" customWidth="1"/>
    <col min="5142" max="5142" width="9.5703125" style="1178" customWidth="1"/>
    <col min="5143" max="5143" width="9.140625" style="1178"/>
    <col min="5144" max="5144" width="7.5703125" style="1178" customWidth="1"/>
    <col min="5145" max="5145" width="7.7109375" style="1178" customWidth="1"/>
    <col min="5146" max="5146" width="7.5703125" style="1178" customWidth="1"/>
    <col min="5147" max="5393" width="9.140625" style="1178"/>
    <col min="5394" max="5394" width="8.85546875" style="1178" bestFit="1" customWidth="1"/>
    <col min="5395" max="5395" width="7.7109375" style="1178" customWidth="1"/>
    <col min="5396" max="5396" width="9.140625" style="1178"/>
    <col min="5397" max="5397" width="2.5703125" style="1178" customWidth="1"/>
    <col min="5398" max="5398" width="9.5703125" style="1178" customWidth="1"/>
    <col min="5399" max="5399" width="9.140625" style="1178"/>
    <col min="5400" max="5400" width="7.5703125" style="1178" customWidth="1"/>
    <col min="5401" max="5401" width="7.7109375" style="1178" customWidth="1"/>
    <col min="5402" max="5402" width="7.5703125" style="1178" customWidth="1"/>
    <col min="5403" max="5649" width="9.140625" style="1178"/>
    <col min="5650" max="5650" width="8.85546875" style="1178" bestFit="1" customWidth="1"/>
    <col min="5651" max="5651" width="7.7109375" style="1178" customWidth="1"/>
    <col min="5652" max="5652" width="9.140625" style="1178"/>
    <col min="5653" max="5653" width="2.5703125" style="1178" customWidth="1"/>
    <col min="5654" max="5654" width="9.5703125" style="1178" customWidth="1"/>
    <col min="5655" max="5655" width="9.140625" style="1178"/>
    <col min="5656" max="5656" width="7.5703125" style="1178" customWidth="1"/>
    <col min="5657" max="5657" width="7.7109375" style="1178" customWidth="1"/>
    <col min="5658" max="5658" width="7.5703125" style="1178" customWidth="1"/>
    <col min="5659" max="5905" width="9.140625" style="1178"/>
    <col min="5906" max="5906" width="8.85546875" style="1178" bestFit="1" customWidth="1"/>
    <col min="5907" max="5907" width="7.7109375" style="1178" customWidth="1"/>
    <col min="5908" max="5908" width="9.140625" style="1178"/>
    <col min="5909" max="5909" width="2.5703125" style="1178" customWidth="1"/>
    <col min="5910" max="5910" width="9.5703125" style="1178" customWidth="1"/>
    <col min="5911" max="5911" width="9.140625" style="1178"/>
    <col min="5912" max="5912" width="7.5703125" style="1178" customWidth="1"/>
    <col min="5913" max="5913" width="7.7109375" style="1178" customWidth="1"/>
    <col min="5914" max="5914" width="7.5703125" style="1178" customWidth="1"/>
    <col min="5915" max="6161" width="9.140625" style="1178"/>
    <col min="6162" max="6162" width="8.85546875" style="1178" bestFit="1" customWidth="1"/>
    <col min="6163" max="6163" width="7.7109375" style="1178" customWidth="1"/>
    <col min="6164" max="6164" width="9.140625" style="1178"/>
    <col min="6165" max="6165" width="2.5703125" style="1178" customWidth="1"/>
    <col min="6166" max="6166" width="9.5703125" style="1178" customWidth="1"/>
    <col min="6167" max="6167" width="9.140625" style="1178"/>
    <col min="6168" max="6168" width="7.5703125" style="1178" customWidth="1"/>
    <col min="6169" max="6169" width="7.7109375" style="1178" customWidth="1"/>
    <col min="6170" max="6170" width="7.5703125" style="1178" customWidth="1"/>
    <col min="6171" max="6417" width="9.140625" style="1178"/>
    <col min="6418" max="6418" width="8.85546875" style="1178" bestFit="1" customWidth="1"/>
    <col min="6419" max="6419" width="7.7109375" style="1178" customWidth="1"/>
    <col min="6420" max="6420" width="9.140625" style="1178"/>
    <col min="6421" max="6421" width="2.5703125" style="1178" customWidth="1"/>
    <col min="6422" max="6422" width="9.5703125" style="1178" customWidth="1"/>
    <col min="6423" max="6423" width="9.140625" style="1178"/>
    <col min="6424" max="6424" width="7.5703125" style="1178" customWidth="1"/>
    <col min="6425" max="6425" width="7.7109375" style="1178" customWidth="1"/>
    <col min="6426" max="6426" width="7.5703125" style="1178" customWidth="1"/>
    <col min="6427" max="6673" width="9.140625" style="1178"/>
    <col min="6674" max="6674" width="8.85546875" style="1178" bestFit="1" customWidth="1"/>
    <col min="6675" max="6675" width="7.7109375" style="1178" customWidth="1"/>
    <col min="6676" max="6676" width="9.140625" style="1178"/>
    <col min="6677" max="6677" width="2.5703125" style="1178" customWidth="1"/>
    <col min="6678" max="6678" width="9.5703125" style="1178" customWidth="1"/>
    <col min="6679" max="6679" width="9.140625" style="1178"/>
    <col min="6680" max="6680" width="7.5703125" style="1178" customWidth="1"/>
    <col min="6681" max="6681" width="7.7109375" style="1178" customWidth="1"/>
    <col min="6682" max="6682" width="7.5703125" style="1178" customWidth="1"/>
    <col min="6683" max="6929" width="9.140625" style="1178"/>
    <col min="6930" max="6930" width="8.85546875" style="1178" bestFit="1" customWidth="1"/>
    <col min="6931" max="6931" width="7.7109375" style="1178" customWidth="1"/>
    <col min="6932" max="6932" width="9.140625" style="1178"/>
    <col min="6933" max="6933" width="2.5703125" style="1178" customWidth="1"/>
    <col min="6934" max="6934" width="9.5703125" style="1178" customWidth="1"/>
    <col min="6935" max="6935" width="9.140625" style="1178"/>
    <col min="6936" max="6936" width="7.5703125" style="1178" customWidth="1"/>
    <col min="6937" max="6937" width="7.7109375" style="1178" customWidth="1"/>
    <col min="6938" max="6938" width="7.5703125" style="1178" customWidth="1"/>
    <col min="6939" max="7185" width="9.140625" style="1178"/>
    <col min="7186" max="7186" width="8.85546875" style="1178" bestFit="1" customWidth="1"/>
    <col min="7187" max="7187" width="7.7109375" style="1178" customWidth="1"/>
    <col min="7188" max="7188" width="9.140625" style="1178"/>
    <col min="7189" max="7189" width="2.5703125" style="1178" customWidth="1"/>
    <col min="7190" max="7190" width="9.5703125" style="1178" customWidth="1"/>
    <col min="7191" max="7191" width="9.140625" style="1178"/>
    <col min="7192" max="7192" width="7.5703125" style="1178" customWidth="1"/>
    <col min="7193" max="7193" width="7.7109375" style="1178" customWidth="1"/>
    <col min="7194" max="7194" width="7.5703125" style="1178" customWidth="1"/>
    <col min="7195" max="7441" width="9.140625" style="1178"/>
    <col min="7442" max="7442" width="8.85546875" style="1178" bestFit="1" customWidth="1"/>
    <col min="7443" max="7443" width="7.7109375" style="1178" customWidth="1"/>
    <col min="7444" max="7444" width="9.140625" style="1178"/>
    <col min="7445" max="7445" width="2.5703125" style="1178" customWidth="1"/>
    <col min="7446" max="7446" width="9.5703125" style="1178" customWidth="1"/>
    <col min="7447" max="7447" width="9.140625" style="1178"/>
    <col min="7448" max="7448" width="7.5703125" style="1178" customWidth="1"/>
    <col min="7449" max="7449" width="7.7109375" style="1178" customWidth="1"/>
    <col min="7450" max="7450" width="7.5703125" style="1178" customWidth="1"/>
    <col min="7451" max="7697" width="9.140625" style="1178"/>
    <col min="7698" max="7698" width="8.85546875" style="1178" bestFit="1" customWidth="1"/>
    <col min="7699" max="7699" width="7.7109375" style="1178" customWidth="1"/>
    <col min="7700" max="7700" width="9.140625" style="1178"/>
    <col min="7701" max="7701" width="2.5703125" style="1178" customWidth="1"/>
    <col min="7702" max="7702" width="9.5703125" style="1178" customWidth="1"/>
    <col min="7703" max="7703" width="9.140625" style="1178"/>
    <col min="7704" max="7704" width="7.5703125" style="1178" customWidth="1"/>
    <col min="7705" max="7705" width="7.7109375" style="1178" customWidth="1"/>
    <col min="7706" max="7706" width="7.5703125" style="1178" customWidth="1"/>
    <col min="7707" max="7953" width="9.140625" style="1178"/>
    <col min="7954" max="7954" width="8.85546875" style="1178" bestFit="1" customWidth="1"/>
    <col min="7955" max="7955" width="7.7109375" style="1178" customWidth="1"/>
    <col min="7956" max="7956" width="9.140625" style="1178"/>
    <col min="7957" max="7957" width="2.5703125" style="1178" customWidth="1"/>
    <col min="7958" max="7958" width="9.5703125" style="1178" customWidth="1"/>
    <col min="7959" max="7959" width="9.140625" style="1178"/>
    <col min="7960" max="7960" width="7.5703125" style="1178" customWidth="1"/>
    <col min="7961" max="7961" width="7.7109375" style="1178" customWidth="1"/>
    <col min="7962" max="7962" width="7.5703125" style="1178" customWidth="1"/>
    <col min="7963" max="8209" width="9.140625" style="1178"/>
    <col min="8210" max="8210" width="8.85546875" style="1178" bestFit="1" customWidth="1"/>
    <col min="8211" max="8211" width="7.7109375" style="1178" customWidth="1"/>
    <col min="8212" max="8212" width="9.140625" style="1178"/>
    <col min="8213" max="8213" width="2.5703125" style="1178" customWidth="1"/>
    <col min="8214" max="8214" width="9.5703125" style="1178" customWidth="1"/>
    <col min="8215" max="8215" width="9.140625" style="1178"/>
    <col min="8216" max="8216" width="7.5703125" style="1178" customWidth="1"/>
    <col min="8217" max="8217" width="7.7109375" style="1178" customWidth="1"/>
    <col min="8218" max="8218" width="7.5703125" style="1178" customWidth="1"/>
    <col min="8219" max="8465" width="9.140625" style="1178"/>
    <col min="8466" max="8466" width="8.85546875" style="1178" bestFit="1" customWidth="1"/>
    <col min="8467" max="8467" width="7.7109375" style="1178" customWidth="1"/>
    <col min="8468" max="8468" width="9.140625" style="1178"/>
    <col min="8469" max="8469" width="2.5703125" style="1178" customWidth="1"/>
    <col min="8470" max="8470" width="9.5703125" style="1178" customWidth="1"/>
    <col min="8471" max="8471" width="9.140625" style="1178"/>
    <col min="8472" max="8472" width="7.5703125" style="1178" customWidth="1"/>
    <col min="8473" max="8473" width="7.7109375" style="1178" customWidth="1"/>
    <col min="8474" max="8474" width="7.5703125" style="1178" customWidth="1"/>
    <col min="8475" max="8721" width="9.140625" style="1178"/>
    <col min="8722" max="8722" width="8.85546875" style="1178" bestFit="1" customWidth="1"/>
    <col min="8723" max="8723" width="7.7109375" style="1178" customWidth="1"/>
    <col min="8724" max="8724" width="9.140625" style="1178"/>
    <col min="8725" max="8725" width="2.5703125" style="1178" customWidth="1"/>
    <col min="8726" max="8726" width="9.5703125" style="1178" customWidth="1"/>
    <col min="8727" max="8727" width="9.140625" style="1178"/>
    <col min="8728" max="8728" width="7.5703125" style="1178" customWidth="1"/>
    <col min="8729" max="8729" width="7.7109375" style="1178" customWidth="1"/>
    <col min="8730" max="8730" width="7.5703125" style="1178" customWidth="1"/>
    <col min="8731" max="8977" width="9.140625" style="1178"/>
    <col min="8978" max="8978" width="8.85546875" style="1178" bestFit="1" customWidth="1"/>
    <col min="8979" max="8979" width="7.7109375" style="1178" customWidth="1"/>
    <col min="8980" max="8980" width="9.140625" style="1178"/>
    <col min="8981" max="8981" width="2.5703125" style="1178" customWidth="1"/>
    <col min="8982" max="8982" width="9.5703125" style="1178" customWidth="1"/>
    <col min="8983" max="8983" width="9.140625" style="1178"/>
    <col min="8984" max="8984" width="7.5703125" style="1178" customWidth="1"/>
    <col min="8985" max="8985" width="7.7109375" style="1178" customWidth="1"/>
    <col min="8986" max="8986" width="7.5703125" style="1178" customWidth="1"/>
    <col min="8987" max="9233" width="9.140625" style="1178"/>
    <col min="9234" max="9234" width="8.85546875" style="1178" bestFit="1" customWidth="1"/>
    <col min="9235" max="9235" width="7.7109375" style="1178" customWidth="1"/>
    <col min="9236" max="9236" width="9.140625" style="1178"/>
    <col min="9237" max="9237" width="2.5703125" style="1178" customWidth="1"/>
    <col min="9238" max="9238" width="9.5703125" style="1178" customWidth="1"/>
    <col min="9239" max="9239" width="9.140625" style="1178"/>
    <col min="9240" max="9240" width="7.5703125" style="1178" customWidth="1"/>
    <col min="9241" max="9241" width="7.7109375" style="1178" customWidth="1"/>
    <col min="9242" max="9242" width="7.5703125" style="1178" customWidth="1"/>
    <col min="9243" max="9489" width="9.140625" style="1178"/>
    <col min="9490" max="9490" width="8.85546875" style="1178" bestFit="1" customWidth="1"/>
    <col min="9491" max="9491" width="7.7109375" style="1178" customWidth="1"/>
    <col min="9492" max="9492" width="9.140625" style="1178"/>
    <col min="9493" max="9493" width="2.5703125" style="1178" customWidth="1"/>
    <col min="9494" max="9494" width="9.5703125" style="1178" customWidth="1"/>
    <col min="9495" max="9495" width="9.140625" style="1178"/>
    <col min="9496" max="9496" width="7.5703125" style="1178" customWidth="1"/>
    <col min="9497" max="9497" width="7.7109375" style="1178" customWidth="1"/>
    <col min="9498" max="9498" width="7.5703125" style="1178" customWidth="1"/>
    <col min="9499" max="9745" width="9.140625" style="1178"/>
    <col min="9746" max="9746" width="8.85546875" style="1178" bestFit="1" customWidth="1"/>
    <col min="9747" max="9747" width="7.7109375" style="1178" customWidth="1"/>
    <col min="9748" max="9748" width="9.140625" style="1178"/>
    <col min="9749" max="9749" width="2.5703125" style="1178" customWidth="1"/>
    <col min="9750" max="9750" width="9.5703125" style="1178" customWidth="1"/>
    <col min="9751" max="9751" width="9.140625" style="1178"/>
    <col min="9752" max="9752" width="7.5703125" style="1178" customWidth="1"/>
    <col min="9753" max="9753" width="7.7109375" style="1178" customWidth="1"/>
    <col min="9754" max="9754" width="7.5703125" style="1178" customWidth="1"/>
    <col min="9755" max="10001" width="9.140625" style="1178"/>
    <col min="10002" max="10002" width="8.85546875" style="1178" bestFit="1" customWidth="1"/>
    <col min="10003" max="10003" width="7.7109375" style="1178" customWidth="1"/>
    <col min="10004" max="10004" width="9.140625" style="1178"/>
    <col min="10005" max="10005" width="2.5703125" style="1178" customWidth="1"/>
    <col min="10006" max="10006" width="9.5703125" style="1178" customWidth="1"/>
    <col min="10007" max="10007" width="9.140625" style="1178"/>
    <col min="10008" max="10008" width="7.5703125" style="1178" customWidth="1"/>
    <col min="10009" max="10009" width="7.7109375" style="1178" customWidth="1"/>
    <col min="10010" max="10010" width="7.5703125" style="1178" customWidth="1"/>
    <col min="10011" max="10257" width="9.140625" style="1178"/>
    <col min="10258" max="10258" width="8.85546875" style="1178" bestFit="1" customWidth="1"/>
    <col min="10259" max="10259" width="7.7109375" style="1178" customWidth="1"/>
    <col min="10260" max="10260" width="9.140625" style="1178"/>
    <col min="10261" max="10261" width="2.5703125" style="1178" customWidth="1"/>
    <col min="10262" max="10262" width="9.5703125" style="1178" customWidth="1"/>
    <col min="10263" max="10263" width="9.140625" style="1178"/>
    <col min="10264" max="10264" width="7.5703125" style="1178" customWidth="1"/>
    <col min="10265" max="10265" width="7.7109375" style="1178" customWidth="1"/>
    <col min="10266" max="10266" width="7.5703125" style="1178" customWidth="1"/>
    <col min="10267" max="10513" width="9.140625" style="1178"/>
    <col min="10514" max="10514" width="8.85546875" style="1178" bestFit="1" customWidth="1"/>
    <col min="10515" max="10515" width="7.7109375" style="1178" customWidth="1"/>
    <col min="10516" max="10516" width="9.140625" style="1178"/>
    <col min="10517" max="10517" width="2.5703125" style="1178" customWidth="1"/>
    <col min="10518" max="10518" width="9.5703125" style="1178" customWidth="1"/>
    <col min="10519" max="10519" width="9.140625" style="1178"/>
    <col min="10520" max="10520" width="7.5703125" style="1178" customWidth="1"/>
    <col min="10521" max="10521" width="7.7109375" style="1178" customWidth="1"/>
    <col min="10522" max="10522" width="7.5703125" style="1178" customWidth="1"/>
    <col min="10523" max="10769" width="9.140625" style="1178"/>
    <col min="10770" max="10770" width="8.85546875" style="1178" bestFit="1" customWidth="1"/>
    <col min="10771" max="10771" width="7.7109375" style="1178" customWidth="1"/>
    <col min="10772" max="10772" width="9.140625" style="1178"/>
    <col min="10773" max="10773" width="2.5703125" style="1178" customWidth="1"/>
    <col min="10774" max="10774" width="9.5703125" style="1178" customWidth="1"/>
    <col min="10775" max="10775" width="9.140625" style="1178"/>
    <col min="10776" max="10776" width="7.5703125" style="1178" customWidth="1"/>
    <col min="10777" max="10777" width="7.7109375" style="1178" customWidth="1"/>
    <col min="10778" max="10778" width="7.5703125" style="1178" customWidth="1"/>
    <col min="10779" max="11025" width="9.140625" style="1178"/>
    <col min="11026" max="11026" width="8.85546875" style="1178" bestFit="1" customWidth="1"/>
    <col min="11027" max="11027" width="7.7109375" style="1178" customWidth="1"/>
    <col min="11028" max="11028" width="9.140625" style="1178"/>
    <col min="11029" max="11029" width="2.5703125" style="1178" customWidth="1"/>
    <col min="11030" max="11030" width="9.5703125" style="1178" customWidth="1"/>
    <col min="11031" max="11031" width="9.140625" style="1178"/>
    <col min="11032" max="11032" width="7.5703125" style="1178" customWidth="1"/>
    <col min="11033" max="11033" width="7.7109375" style="1178" customWidth="1"/>
    <col min="11034" max="11034" width="7.5703125" style="1178" customWidth="1"/>
    <col min="11035" max="11281" width="9.140625" style="1178"/>
    <col min="11282" max="11282" width="8.85546875" style="1178" bestFit="1" customWidth="1"/>
    <col min="11283" max="11283" width="7.7109375" style="1178" customWidth="1"/>
    <col min="11284" max="11284" width="9.140625" style="1178"/>
    <col min="11285" max="11285" width="2.5703125" style="1178" customWidth="1"/>
    <col min="11286" max="11286" width="9.5703125" style="1178" customWidth="1"/>
    <col min="11287" max="11287" width="9.140625" style="1178"/>
    <col min="11288" max="11288" width="7.5703125" style="1178" customWidth="1"/>
    <col min="11289" max="11289" width="7.7109375" style="1178" customWidth="1"/>
    <col min="11290" max="11290" width="7.5703125" style="1178" customWidth="1"/>
    <col min="11291" max="11537" width="9.140625" style="1178"/>
    <col min="11538" max="11538" width="8.85546875" style="1178" bestFit="1" customWidth="1"/>
    <col min="11539" max="11539" width="7.7109375" style="1178" customWidth="1"/>
    <col min="11540" max="11540" width="9.140625" style="1178"/>
    <col min="11541" max="11541" width="2.5703125" style="1178" customWidth="1"/>
    <col min="11542" max="11542" width="9.5703125" style="1178" customWidth="1"/>
    <col min="11543" max="11543" width="9.140625" style="1178"/>
    <col min="11544" max="11544" width="7.5703125" style="1178" customWidth="1"/>
    <col min="11545" max="11545" width="7.7109375" style="1178" customWidth="1"/>
    <col min="11546" max="11546" width="7.5703125" style="1178" customWidth="1"/>
    <col min="11547" max="11793" width="9.140625" style="1178"/>
    <col min="11794" max="11794" width="8.85546875" style="1178" bestFit="1" customWidth="1"/>
    <col min="11795" max="11795" width="7.7109375" style="1178" customWidth="1"/>
    <col min="11796" max="11796" width="9.140625" style="1178"/>
    <col min="11797" max="11797" width="2.5703125" style="1178" customWidth="1"/>
    <col min="11798" max="11798" width="9.5703125" style="1178" customWidth="1"/>
    <col min="11799" max="11799" width="9.140625" style="1178"/>
    <col min="11800" max="11800" width="7.5703125" style="1178" customWidth="1"/>
    <col min="11801" max="11801" width="7.7109375" style="1178" customWidth="1"/>
    <col min="11802" max="11802" width="7.5703125" style="1178" customWidth="1"/>
    <col min="11803" max="12049" width="9.140625" style="1178"/>
    <col min="12050" max="12050" width="8.85546875" style="1178" bestFit="1" customWidth="1"/>
    <col min="12051" max="12051" width="7.7109375" style="1178" customWidth="1"/>
    <col min="12052" max="12052" width="9.140625" style="1178"/>
    <col min="12053" max="12053" width="2.5703125" style="1178" customWidth="1"/>
    <col min="12054" max="12054" width="9.5703125" style="1178" customWidth="1"/>
    <col min="12055" max="12055" width="9.140625" style="1178"/>
    <col min="12056" max="12056" width="7.5703125" style="1178" customWidth="1"/>
    <col min="12057" max="12057" width="7.7109375" style="1178" customWidth="1"/>
    <col min="12058" max="12058" width="7.5703125" style="1178" customWidth="1"/>
    <col min="12059" max="12305" width="9.140625" style="1178"/>
    <col min="12306" max="12306" width="8.85546875" style="1178" bestFit="1" customWidth="1"/>
    <col min="12307" max="12307" width="7.7109375" style="1178" customWidth="1"/>
    <col min="12308" max="12308" width="9.140625" style="1178"/>
    <col min="12309" max="12309" width="2.5703125" style="1178" customWidth="1"/>
    <col min="12310" max="12310" width="9.5703125" style="1178" customWidth="1"/>
    <col min="12311" max="12311" width="9.140625" style="1178"/>
    <col min="12312" max="12312" width="7.5703125" style="1178" customWidth="1"/>
    <col min="12313" max="12313" width="7.7109375" style="1178" customWidth="1"/>
    <col min="12314" max="12314" width="7.5703125" style="1178" customWidth="1"/>
    <col min="12315" max="12561" width="9.140625" style="1178"/>
    <col min="12562" max="12562" width="8.85546875" style="1178" bestFit="1" customWidth="1"/>
    <col min="12563" max="12563" width="7.7109375" style="1178" customWidth="1"/>
    <col min="12564" max="12564" width="9.140625" style="1178"/>
    <col min="12565" max="12565" width="2.5703125" style="1178" customWidth="1"/>
    <col min="12566" max="12566" width="9.5703125" style="1178" customWidth="1"/>
    <col min="12567" max="12567" width="9.140625" style="1178"/>
    <col min="12568" max="12568" width="7.5703125" style="1178" customWidth="1"/>
    <col min="12569" max="12569" width="7.7109375" style="1178" customWidth="1"/>
    <col min="12570" max="12570" width="7.5703125" style="1178" customWidth="1"/>
    <col min="12571" max="12817" width="9.140625" style="1178"/>
    <col min="12818" max="12818" width="8.85546875" style="1178" bestFit="1" customWidth="1"/>
    <col min="12819" max="12819" width="7.7109375" style="1178" customWidth="1"/>
    <col min="12820" max="12820" width="9.140625" style="1178"/>
    <col min="12821" max="12821" width="2.5703125" style="1178" customWidth="1"/>
    <col min="12822" max="12822" width="9.5703125" style="1178" customWidth="1"/>
    <col min="12823" max="12823" width="9.140625" style="1178"/>
    <col min="12824" max="12824" width="7.5703125" style="1178" customWidth="1"/>
    <col min="12825" max="12825" width="7.7109375" style="1178" customWidth="1"/>
    <col min="12826" max="12826" width="7.5703125" style="1178" customWidth="1"/>
    <col min="12827" max="13073" width="9.140625" style="1178"/>
    <col min="13074" max="13074" width="8.85546875" style="1178" bestFit="1" customWidth="1"/>
    <col min="13075" max="13075" width="7.7109375" style="1178" customWidth="1"/>
    <col min="13076" max="13076" width="9.140625" style="1178"/>
    <col min="13077" max="13077" width="2.5703125" style="1178" customWidth="1"/>
    <col min="13078" max="13078" width="9.5703125" style="1178" customWidth="1"/>
    <col min="13079" max="13079" width="9.140625" style="1178"/>
    <col min="13080" max="13080" width="7.5703125" style="1178" customWidth="1"/>
    <col min="13081" max="13081" width="7.7109375" style="1178" customWidth="1"/>
    <col min="13082" max="13082" width="7.5703125" style="1178" customWidth="1"/>
    <col min="13083" max="13329" width="9.140625" style="1178"/>
    <col min="13330" max="13330" width="8.85546875" style="1178" bestFit="1" customWidth="1"/>
    <col min="13331" max="13331" width="7.7109375" style="1178" customWidth="1"/>
    <col min="13332" max="13332" width="9.140625" style="1178"/>
    <col min="13333" max="13333" width="2.5703125" style="1178" customWidth="1"/>
    <col min="13334" max="13334" width="9.5703125" style="1178" customWidth="1"/>
    <col min="13335" max="13335" width="9.140625" style="1178"/>
    <col min="13336" max="13336" width="7.5703125" style="1178" customWidth="1"/>
    <col min="13337" max="13337" width="7.7109375" style="1178" customWidth="1"/>
    <col min="13338" max="13338" width="7.5703125" style="1178" customWidth="1"/>
    <col min="13339" max="13585" width="9.140625" style="1178"/>
    <col min="13586" max="13586" width="8.85546875" style="1178" bestFit="1" customWidth="1"/>
    <col min="13587" max="13587" width="7.7109375" style="1178" customWidth="1"/>
    <col min="13588" max="13588" width="9.140625" style="1178"/>
    <col min="13589" max="13589" width="2.5703125" style="1178" customWidth="1"/>
    <col min="13590" max="13590" width="9.5703125" style="1178" customWidth="1"/>
    <col min="13591" max="13591" width="9.140625" style="1178"/>
    <col min="13592" max="13592" width="7.5703125" style="1178" customWidth="1"/>
    <col min="13593" max="13593" width="7.7109375" style="1178" customWidth="1"/>
    <col min="13594" max="13594" width="7.5703125" style="1178" customWidth="1"/>
    <col min="13595" max="13841" width="9.140625" style="1178"/>
    <col min="13842" max="13842" width="8.85546875" style="1178" bestFit="1" customWidth="1"/>
    <col min="13843" max="13843" width="7.7109375" style="1178" customWidth="1"/>
    <col min="13844" max="13844" width="9.140625" style="1178"/>
    <col min="13845" max="13845" width="2.5703125" style="1178" customWidth="1"/>
    <col min="13846" max="13846" width="9.5703125" style="1178" customWidth="1"/>
    <col min="13847" max="13847" width="9.140625" style="1178"/>
    <col min="13848" max="13848" width="7.5703125" style="1178" customWidth="1"/>
    <col min="13849" max="13849" width="7.7109375" style="1178" customWidth="1"/>
    <col min="13850" max="13850" width="7.5703125" style="1178" customWidth="1"/>
    <col min="13851" max="14097" width="9.140625" style="1178"/>
    <col min="14098" max="14098" width="8.85546875" style="1178" bestFit="1" customWidth="1"/>
    <col min="14099" max="14099" width="7.7109375" style="1178" customWidth="1"/>
    <col min="14100" max="14100" width="9.140625" style="1178"/>
    <col min="14101" max="14101" width="2.5703125" style="1178" customWidth="1"/>
    <col min="14102" max="14102" width="9.5703125" style="1178" customWidth="1"/>
    <col min="14103" max="14103" width="9.140625" style="1178"/>
    <col min="14104" max="14104" width="7.5703125" style="1178" customWidth="1"/>
    <col min="14105" max="14105" width="7.7109375" style="1178" customWidth="1"/>
    <col min="14106" max="14106" width="7.5703125" style="1178" customWidth="1"/>
    <col min="14107" max="14353" width="9.140625" style="1178"/>
    <col min="14354" max="14354" width="8.85546875" style="1178" bestFit="1" customWidth="1"/>
    <col min="14355" max="14355" width="7.7109375" style="1178" customWidth="1"/>
    <col min="14356" max="14356" width="9.140625" style="1178"/>
    <col min="14357" max="14357" width="2.5703125" style="1178" customWidth="1"/>
    <col min="14358" max="14358" width="9.5703125" style="1178" customWidth="1"/>
    <col min="14359" max="14359" width="9.140625" style="1178"/>
    <col min="14360" max="14360" width="7.5703125" style="1178" customWidth="1"/>
    <col min="14361" max="14361" width="7.7109375" style="1178" customWidth="1"/>
    <col min="14362" max="14362" width="7.5703125" style="1178" customWidth="1"/>
    <col min="14363" max="14609" width="9.140625" style="1178"/>
    <col min="14610" max="14610" width="8.85546875" style="1178" bestFit="1" customWidth="1"/>
    <col min="14611" max="14611" width="7.7109375" style="1178" customWidth="1"/>
    <col min="14612" max="14612" width="9.140625" style="1178"/>
    <col min="14613" max="14613" width="2.5703125" style="1178" customWidth="1"/>
    <col min="14614" max="14614" width="9.5703125" style="1178" customWidth="1"/>
    <col min="14615" max="14615" width="9.140625" style="1178"/>
    <col min="14616" max="14616" width="7.5703125" style="1178" customWidth="1"/>
    <col min="14617" max="14617" width="7.7109375" style="1178" customWidth="1"/>
    <col min="14618" max="14618" width="7.5703125" style="1178" customWidth="1"/>
    <col min="14619" max="14865" width="9.140625" style="1178"/>
    <col min="14866" max="14866" width="8.85546875" style="1178" bestFit="1" customWidth="1"/>
    <col min="14867" max="14867" width="7.7109375" style="1178" customWidth="1"/>
    <col min="14868" max="14868" width="9.140625" style="1178"/>
    <col min="14869" max="14869" width="2.5703125" style="1178" customWidth="1"/>
    <col min="14870" max="14870" width="9.5703125" style="1178" customWidth="1"/>
    <col min="14871" max="14871" width="9.140625" style="1178"/>
    <col min="14872" max="14872" width="7.5703125" style="1178" customWidth="1"/>
    <col min="14873" max="14873" width="7.7109375" style="1178" customWidth="1"/>
    <col min="14874" max="14874" width="7.5703125" style="1178" customWidth="1"/>
    <col min="14875" max="15121" width="9.140625" style="1178"/>
    <col min="15122" max="15122" width="8.85546875" style="1178" bestFit="1" customWidth="1"/>
    <col min="15123" max="15123" width="7.7109375" style="1178" customWidth="1"/>
    <col min="15124" max="15124" width="9.140625" style="1178"/>
    <col min="15125" max="15125" width="2.5703125" style="1178" customWidth="1"/>
    <col min="15126" max="15126" width="9.5703125" style="1178" customWidth="1"/>
    <col min="15127" max="15127" width="9.140625" style="1178"/>
    <col min="15128" max="15128" width="7.5703125" style="1178" customWidth="1"/>
    <col min="15129" max="15129" width="7.7109375" style="1178" customWidth="1"/>
    <col min="15130" max="15130" width="7.5703125" style="1178" customWidth="1"/>
    <col min="15131" max="15377" width="9.140625" style="1178"/>
    <col min="15378" max="15378" width="8.85546875" style="1178" bestFit="1" customWidth="1"/>
    <col min="15379" max="15379" width="7.7109375" style="1178" customWidth="1"/>
    <col min="15380" max="15380" width="9.140625" style="1178"/>
    <col min="15381" max="15381" width="2.5703125" style="1178" customWidth="1"/>
    <col min="15382" max="15382" width="9.5703125" style="1178" customWidth="1"/>
    <col min="15383" max="15383" width="9.140625" style="1178"/>
    <col min="15384" max="15384" width="7.5703125" style="1178" customWidth="1"/>
    <col min="15385" max="15385" width="7.7109375" style="1178" customWidth="1"/>
    <col min="15386" max="15386" width="7.5703125" style="1178" customWidth="1"/>
    <col min="15387" max="15633" width="9.140625" style="1178"/>
    <col min="15634" max="15634" width="8.85546875" style="1178" bestFit="1" customWidth="1"/>
    <col min="15635" max="15635" width="7.7109375" style="1178" customWidth="1"/>
    <col min="15636" max="15636" width="9.140625" style="1178"/>
    <col min="15637" max="15637" width="2.5703125" style="1178" customWidth="1"/>
    <col min="15638" max="15638" width="9.5703125" style="1178" customWidth="1"/>
    <col min="15639" max="15639" width="9.140625" style="1178"/>
    <col min="15640" max="15640" width="7.5703125" style="1178" customWidth="1"/>
    <col min="15641" max="15641" width="7.7109375" style="1178" customWidth="1"/>
    <col min="15642" max="15642" width="7.5703125" style="1178" customWidth="1"/>
    <col min="15643" max="15889" width="9.140625" style="1178"/>
    <col min="15890" max="15890" width="8.85546875" style="1178" bestFit="1" customWidth="1"/>
    <col min="15891" max="15891" width="7.7109375" style="1178" customWidth="1"/>
    <col min="15892" max="15892" width="9.140625" style="1178"/>
    <col min="15893" max="15893" width="2.5703125" style="1178" customWidth="1"/>
    <col min="15894" max="15894" width="9.5703125" style="1178" customWidth="1"/>
    <col min="15895" max="15895" width="9.140625" style="1178"/>
    <col min="15896" max="15896" width="7.5703125" style="1178" customWidth="1"/>
    <col min="15897" max="15897" width="7.7109375" style="1178" customWidth="1"/>
    <col min="15898" max="15898" width="7.5703125" style="1178" customWidth="1"/>
    <col min="15899" max="16145" width="9.140625" style="1178"/>
    <col min="16146" max="16146" width="8.85546875" style="1178" bestFit="1" customWidth="1"/>
    <col min="16147" max="16147" width="7.7109375" style="1178" customWidth="1"/>
    <col min="16148" max="16148" width="9.140625" style="1178"/>
    <col min="16149" max="16149" width="2.5703125" style="1178" customWidth="1"/>
    <col min="16150" max="16150" width="9.5703125" style="1178" customWidth="1"/>
    <col min="16151" max="16151" width="9.140625" style="1178"/>
    <col min="16152" max="16152" width="7.5703125" style="1178" customWidth="1"/>
    <col min="16153" max="16153" width="7.7109375" style="1178" customWidth="1"/>
    <col min="16154" max="16154" width="7.5703125" style="1178" customWidth="1"/>
    <col min="16155" max="16384" width="9.140625" style="1178"/>
  </cols>
  <sheetData>
    <row r="1" spans="1:10">
      <c r="B1" s="1279"/>
      <c r="C1" s="1299" t="str">
        <f>"Tool Wear Targets for "&amp;C2</f>
        <v xml:space="preserve">Tool Wear Targets for </v>
      </c>
    </row>
    <row r="2" spans="1:10">
      <c r="B2" s="1279" t="s">
        <v>62</v>
      </c>
      <c r="C2" s="1614"/>
      <c r="D2" s="1615"/>
      <c r="E2" s="1615"/>
      <c r="F2" s="1616"/>
    </row>
    <row r="3" spans="1:10" ht="14.25">
      <c r="B3" s="1279" t="s">
        <v>53</v>
      </c>
      <c r="C3" s="1614" t="s">
        <v>880</v>
      </c>
      <c r="D3" s="1615"/>
      <c r="E3" s="1615"/>
      <c r="F3" s="1616"/>
      <c r="G3" s="1335" t="s">
        <v>65</v>
      </c>
      <c r="H3" s="1269"/>
    </row>
    <row r="4" spans="1:10" ht="26.25" thickBot="1">
      <c r="A4" s="1336" t="s">
        <v>113</v>
      </c>
      <c r="B4" s="1336" t="s">
        <v>1052</v>
      </c>
      <c r="C4" s="1336" t="s">
        <v>880</v>
      </c>
      <c r="D4" s="1337" t="s">
        <v>54</v>
      </c>
      <c r="E4" s="1337" t="s">
        <v>55</v>
      </c>
      <c r="F4" s="1337" t="s">
        <v>56</v>
      </c>
      <c r="G4" s="1338" t="s">
        <v>1062</v>
      </c>
      <c r="H4" s="1338" t="s">
        <v>1063</v>
      </c>
      <c r="I4" s="1339" t="s">
        <v>63</v>
      </c>
      <c r="J4" s="1339" t="s">
        <v>64</v>
      </c>
    </row>
    <row r="5" spans="1:10" ht="14.25" thickTop="1" thickBot="1">
      <c r="A5" s="1178" t="s">
        <v>1064</v>
      </c>
      <c r="B5" s="1340"/>
      <c r="C5" s="1352"/>
      <c r="D5" s="1341" t="str">
        <f t="shared" ref="D5:D118" si="0">IF($B5="","",($R$38*B5+$R$37)-(3*$R$36))</f>
        <v/>
      </c>
      <c r="E5" s="1341" t="str">
        <f t="shared" ref="E5:E118" si="1">IF($B5="","",($R$38*B5+$R$37))</f>
        <v/>
      </c>
      <c r="F5" s="1341" t="str">
        <f t="shared" ref="F5:F118" si="2">IF($B5="","",($R$38*B5+$R$37)+(3*$R$36))</f>
        <v/>
      </c>
      <c r="G5" s="1342"/>
      <c r="H5" s="1269"/>
      <c r="I5" s="1178" t="e">
        <f>R30</f>
        <v>#DIV/0!</v>
      </c>
      <c r="J5" s="1178" t="e">
        <f>R31</f>
        <v>#DIV/0!</v>
      </c>
    </row>
    <row r="6" spans="1:10">
      <c r="A6" s="1178">
        <v>1</v>
      </c>
      <c r="B6" s="1269"/>
      <c r="C6" s="1269"/>
      <c r="D6" s="1341" t="str">
        <f t="shared" si="0"/>
        <v/>
      </c>
      <c r="E6" s="1341" t="str">
        <f t="shared" si="1"/>
        <v/>
      </c>
      <c r="F6" s="1341" t="str">
        <f t="shared" si="2"/>
        <v/>
      </c>
      <c r="G6" s="1343" t="str">
        <f t="shared" ref="G6:G109" si="3">IF(C6="","",G$5)</f>
        <v/>
      </c>
      <c r="H6" s="1343" t="str">
        <f>IF(C6="","",H$5)</f>
        <v/>
      </c>
      <c r="I6" s="1178" t="e">
        <f>I5</f>
        <v>#DIV/0!</v>
      </c>
      <c r="J6" s="1178" t="e">
        <f>J5</f>
        <v>#DIV/0!</v>
      </c>
    </row>
    <row r="7" spans="1:10">
      <c r="A7" s="1178">
        <f>A6+1</f>
        <v>2</v>
      </c>
      <c r="B7" s="1269"/>
      <c r="C7" s="1269"/>
      <c r="D7" s="1341" t="str">
        <f t="shared" si="0"/>
        <v/>
      </c>
      <c r="E7" s="1341" t="str">
        <f t="shared" si="1"/>
        <v/>
      </c>
      <c r="F7" s="1341" t="str">
        <f t="shared" si="2"/>
        <v/>
      </c>
      <c r="G7" s="1343" t="str">
        <f t="shared" si="3"/>
        <v/>
      </c>
      <c r="H7" s="1343" t="str">
        <f t="shared" ref="H7:H110" si="4">IF(C7="","",H$5)</f>
        <v/>
      </c>
      <c r="I7" s="1178" t="e">
        <f t="shared" ref="I7:J22" si="5">I6</f>
        <v>#DIV/0!</v>
      </c>
      <c r="J7" s="1178" t="e">
        <f t="shared" si="5"/>
        <v>#DIV/0!</v>
      </c>
    </row>
    <row r="8" spans="1:10">
      <c r="A8" s="1178">
        <f t="shared" ref="A8:A111" si="6">A7+1</f>
        <v>3</v>
      </c>
      <c r="B8" s="1269"/>
      <c r="C8" s="1269"/>
      <c r="D8" s="1341" t="str">
        <f t="shared" si="0"/>
        <v/>
      </c>
      <c r="E8" s="1341" t="str">
        <f t="shared" si="1"/>
        <v/>
      </c>
      <c r="F8" s="1341" t="str">
        <f t="shared" si="2"/>
        <v/>
      </c>
      <c r="G8" s="1343" t="str">
        <f t="shared" si="3"/>
        <v/>
      </c>
      <c r="H8" s="1343" t="str">
        <f t="shared" si="4"/>
        <v/>
      </c>
      <c r="I8" s="1178" t="e">
        <f t="shared" si="5"/>
        <v>#DIV/0!</v>
      </c>
      <c r="J8" s="1178" t="e">
        <f t="shared" si="5"/>
        <v>#DIV/0!</v>
      </c>
    </row>
    <row r="9" spans="1:10">
      <c r="A9" s="1178">
        <f t="shared" si="6"/>
        <v>4</v>
      </c>
      <c r="B9" s="1269"/>
      <c r="C9" s="1269"/>
      <c r="D9" s="1341" t="str">
        <f t="shared" si="0"/>
        <v/>
      </c>
      <c r="E9" s="1341" t="str">
        <f t="shared" si="1"/>
        <v/>
      </c>
      <c r="F9" s="1341" t="str">
        <f t="shared" si="2"/>
        <v/>
      </c>
      <c r="G9" s="1343" t="str">
        <f t="shared" si="3"/>
        <v/>
      </c>
      <c r="H9" s="1343" t="str">
        <f t="shared" si="4"/>
        <v/>
      </c>
      <c r="I9" s="1178" t="e">
        <f t="shared" si="5"/>
        <v>#DIV/0!</v>
      </c>
      <c r="J9" s="1178" t="e">
        <f t="shared" si="5"/>
        <v>#DIV/0!</v>
      </c>
    </row>
    <row r="10" spans="1:10">
      <c r="A10" s="1178">
        <f t="shared" si="6"/>
        <v>5</v>
      </c>
      <c r="B10" s="1269"/>
      <c r="C10" s="1269"/>
      <c r="D10" s="1341" t="str">
        <f t="shared" si="0"/>
        <v/>
      </c>
      <c r="E10" s="1341" t="str">
        <f t="shared" si="1"/>
        <v/>
      </c>
      <c r="F10" s="1341" t="str">
        <f t="shared" si="2"/>
        <v/>
      </c>
      <c r="G10" s="1343" t="str">
        <f t="shared" si="3"/>
        <v/>
      </c>
      <c r="H10" s="1343" t="str">
        <f t="shared" si="4"/>
        <v/>
      </c>
      <c r="I10" s="1178" t="e">
        <f t="shared" si="5"/>
        <v>#DIV/0!</v>
      </c>
      <c r="J10" s="1178" t="e">
        <f t="shared" si="5"/>
        <v>#DIV/0!</v>
      </c>
    </row>
    <row r="11" spans="1:10">
      <c r="A11" s="1178">
        <f t="shared" si="6"/>
        <v>6</v>
      </c>
      <c r="B11" s="1269"/>
      <c r="C11" s="1269"/>
      <c r="D11" s="1341" t="str">
        <f t="shared" si="0"/>
        <v/>
      </c>
      <c r="E11" s="1341" t="str">
        <f t="shared" si="1"/>
        <v/>
      </c>
      <c r="F11" s="1341" t="str">
        <f t="shared" si="2"/>
        <v/>
      </c>
      <c r="G11" s="1343" t="str">
        <f t="shared" si="3"/>
        <v/>
      </c>
      <c r="H11" s="1343" t="str">
        <f t="shared" si="4"/>
        <v/>
      </c>
      <c r="I11" s="1178" t="e">
        <f t="shared" si="5"/>
        <v>#DIV/0!</v>
      </c>
      <c r="J11" s="1178" t="e">
        <f t="shared" si="5"/>
        <v>#DIV/0!</v>
      </c>
    </row>
    <row r="12" spans="1:10">
      <c r="A12" s="1178">
        <f t="shared" si="6"/>
        <v>7</v>
      </c>
      <c r="B12" s="1269"/>
      <c r="C12" s="1269"/>
      <c r="D12" s="1341" t="str">
        <f t="shared" si="0"/>
        <v/>
      </c>
      <c r="E12" s="1341" t="str">
        <f t="shared" si="1"/>
        <v/>
      </c>
      <c r="F12" s="1341" t="str">
        <f t="shared" si="2"/>
        <v/>
      </c>
      <c r="G12" s="1343" t="str">
        <f t="shared" si="3"/>
        <v/>
      </c>
      <c r="H12" s="1343" t="str">
        <f t="shared" si="4"/>
        <v/>
      </c>
      <c r="I12" s="1178" t="e">
        <f t="shared" si="5"/>
        <v>#DIV/0!</v>
      </c>
      <c r="J12" s="1178" t="e">
        <f t="shared" si="5"/>
        <v>#DIV/0!</v>
      </c>
    </row>
    <row r="13" spans="1:10">
      <c r="A13" s="1178">
        <f t="shared" si="6"/>
        <v>8</v>
      </c>
      <c r="B13" s="1269"/>
      <c r="C13" s="1269"/>
      <c r="D13" s="1341" t="str">
        <f t="shared" si="0"/>
        <v/>
      </c>
      <c r="E13" s="1341" t="str">
        <f t="shared" si="1"/>
        <v/>
      </c>
      <c r="F13" s="1341" t="str">
        <f t="shared" si="2"/>
        <v/>
      </c>
      <c r="G13" s="1343" t="str">
        <f t="shared" si="3"/>
        <v/>
      </c>
      <c r="H13" s="1343" t="str">
        <f t="shared" si="4"/>
        <v/>
      </c>
      <c r="I13" s="1178" t="e">
        <f t="shared" si="5"/>
        <v>#DIV/0!</v>
      </c>
      <c r="J13" s="1178" t="e">
        <f t="shared" si="5"/>
        <v>#DIV/0!</v>
      </c>
    </row>
    <row r="14" spans="1:10">
      <c r="A14" s="1178">
        <f t="shared" si="6"/>
        <v>9</v>
      </c>
      <c r="B14" s="1269"/>
      <c r="C14" s="1269"/>
      <c r="D14" s="1341" t="str">
        <f t="shared" si="0"/>
        <v/>
      </c>
      <c r="E14" s="1341" t="str">
        <f t="shared" si="1"/>
        <v/>
      </c>
      <c r="F14" s="1341" t="str">
        <f t="shared" si="2"/>
        <v/>
      </c>
      <c r="G14" s="1343" t="str">
        <f t="shared" si="3"/>
        <v/>
      </c>
      <c r="H14" s="1343" t="str">
        <f t="shared" si="4"/>
        <v/>
      </c>
      <c r="I14" s="1178" t="e">
        <f t="shared" si="5"/>
        <v>#DIV/0!</v>
      </c>
      <c r="J14" s="1178" t="e">
        <f t="shared" si="5"/>
        <v>#DIV/0!</v>
      </c>
    </row>
    <row r="15" spans="1:10">
      <c r="A15" s="1178">
        <f t="shared" si="6"/>
        <v>10</v>
      </c>
      <c r="B15" s="1269"/>
      <c r="C15" s="1269"/>
      <c r="D15" s="1341" t="str">
        <f t="shared" si="0"/>
        <v/>
      </c>
      <c r="E15" s="1341" t="str">
        <f t="shared" si="1"/>
        <v/>
      </c>
      <c r="F15" s="1341" t="str">
        <f t="shared" si="2"/>
        <v/>
      </c>
      <c r="G15" s="1343" t="str">
        <f t="shared" si="3"/>
        <v/>
      </c>
      <c r="H15" s="1343" t="str">
        <f t="shared" si="4"/>
        <v/>
      </c>
      <c r="I15" s="1178" t="e">
        <f t="shared" si="5"/>
        <v>#DIV/0!</v>
      </c>
      <c r="J15" s="1178" t="e">
        <f t="shared" si="5"/>
        <v>#DIV/0!</v>
      </c>
    </row>
    <row r="16" spans="1:10">
      <c r="A16" s="1178">
        <f t="shared" si="6"/>
        <v>11</v>
      </c>
      <c r="B16" s="1269"/>
      <c r="C16" s="1269"/>
      <c r="D16" s="1341" t="str">
        <f t="shared" si="0"/>
        <v/>
      </c>
      <c r="E16" s="1341" t="str">
        <f t="shared" si="1"/>
        <v/>
      </c>
      <c r="F16" s="1341" t="str">
        <f t="shared" si="2"/>
        <v/>
      </c>
      <c r="G16" s="1343" t="str">
        <f t="shared" si="3"/>
        <v/>
      </c>
      <c r="H16" s="1343" t="str">
        <f t="shared" si="4"/>
        <v/>
      </c>
      <c r="I16" s="1178" t="e">
        <f t="shared" si="5"/>
        <v>#DIV/0!</v>
      </c>
      <c r="J16" s="1178" t="e">
        <f t="shared" si="5"/>
        <v>#DIV/0!</v>
      </c>
    </row>
    <row r="17" spans="1:41">
      <c r="A17" s="1178">
        <f t="shared" si="6"/>
        <v>12</v>
      </c>
      <c r="B17" s="1269"/>
      <c r="C17" s="1269"/>
      <c r="D17" s="1341" t="str">
        <f t="shared" si="0"/>
        <v/>
      </c>
      <c r="E17" s="1341" t="str">
        <f t="shared" si="1"/>
        <v/>
      </c>
      <c r="F17" s="1341" t="str">
        <f t="shared" si="2"/>
        <v/>
      </c>
      <c r="G17" s="1343" t="str">
        <f t="shared" si="3"/>
        <v/>
      </c>
      <c r="H17" s="1343" t="str">
        <f t="shared" si="4"/>
        <v/>
      </c>
      <c r="I17" s="1178" t="e">
        <f t="shared" si="5"/>
        <v>#DIV/0!</v>
      </c>
      <c r="J17" s="1178" t="e">
        <f t="shared" si="5"/>
        <v>#DIV/0!</v>
      </c>
    </row>
    <row r="18" spans="1:41">
      <c r="A18" s="1178">
        <f t="shared" si="6"/>
        <v>13</v>
      </c>
      <c r="B18" s="1269"/>
      <c r="C18" s="1269"/>
      <c r="D18" s="1341" t="str">
        <f t="shared" si="0"/>
        <v/>
      </c>
      <c r="E18" s="1341" t="str">
        <f t="shared" si="1"/>
        <v/>
      </c>
      <c r="F18" s="1341" t="str">
        <f t="shared" si="2"/>
        <v/>
      </c>
      <c r="G18" s="1343" t="str">
        <f t="shared" si="3"/>
        <v/>
      </c>
      <c r="H18" s="1343" t="str">
        <f t="shared" si="4"/>
        <v/>
      </c>
      <c r="I18" s="1178" t="e">
        <f t="shared" si="5"/>
        <v>#DIV/0!</v>
      </c>
      <c r="J18" s="1178" t="e">
        <f t="shared" si="5"/>
        <v>#DIV/0!</v>
      </c>
    </row>
    <row r="19" spans="1:41">
      <c r="A19" s="1178">
        <f t="shared" si="6"/>
        <v>14</v>
      </c>
      <c r="B19" s="1269"/>
      <c r="C19" s="1269"/>
      <c r="D19" s="1341" t="str">
        <f t="shared" si="0"/>
        <v/>
      </c>
      <c r="E19" s="1341" t="str">
        <f t="shared" si="1"/>
        <v/>
      </c>
      <c r="F19" s="1341" t="str">
        <f t="shared" si="2"/>
        <v/>
      </c>
      <c r="G19" s="1343" t="str">
        <f t="shared" si="3"/>
        <v/>
      </c>
      <c r="H19" s="1343" t="str">
        <f t="shared" si="4"/>
        <v/>
      </c>
      <c r="I19" s="1178" t="e">
        <f t="shared" si="5"/>
        <v>#DIV/0!</v>
      </c>
      <c r="J19" s="1178" t="e">
        <f t="shared" si="5"/>
        <v>#DIV/0!</v>
      </c>
    </row>
    <row r="20" spans="1:41">
      <c r="A20" s="1178">
        <f t="shared" si="6"/>
        <v>15</v>
      </c>
      <c r="B20" s="1269"/>
      <c r="C20" s="1269"/>
      <c r="D20" s="1341" t="str">
        <f t="shared" si="0"/>
        <v/>
      </c>
      <c r="E20" s="1341" t="str">
        <f t="shared" si="1"/>
        <v/>
      </c>
      <c r="F20" s="1341" t="str">
        <f t="shared" si="2"/>
        <v/>
      </c>
      <c r="G20" s="1343" t="str">
        <f t="shared" si="3"/>
        <v/>
      </c>
      <c r="H20" s="1343" t="str">
        <f t="shared" si="4"/>
        <v/>
      </c>
      <c r="I20" s="1178" t="e">
        <f t="shared" si="5"/>
        <v>#DIV/0!</v>
      </c>
      <c r="J20" s="1178" t="e">
        <f t="shared" si="5"/>
        <v>#DIV/0!</v>
      </c>
    </row>
    <row r="21" spans="1:41">
      <c r="A21" s="1178">
        <f t="shared" si="6"/>
        <v>16</v>
      </c>
      <c r="B21" s="1269"/>
      <c r="C21" s="1269"/>
      <c r="D21" s="1341" t="str">
        <f t="shared" si="0"/>
        <v/>
      </c>
      <c r="E21" s="1341" t="str">
        <f t="shared" si="1"/>
        <v/>
      </c>
      <c r="F21" s="1341" t="str">
        <f t="shared" si="2"/>
        <v/>
      </c>
      <c r="G21" s="1343" t="str">
        <f t="shared" si="3"/>
        <v/>
      </c>
      <c r="H21" s="1343" t="str">
        <f t="shared" si="4"/>
        <v/>
      </c>
      <c r="I21" s="1178" t="e">
        <f t="shared" si="5"/>
        <v>#DIV/0!</v>
      </c>
      <c r="J21" s="1178" t="e">
        <f t="shared" si="5"/>
        <v>#DIV/0!</v>
      </c>
    </row>
    <row r="22" spans="1:41">
      <c r="A22" s="1178">
        <f t="shared" si="6"/>
        <v>17</v>
      </c>
      <c r="B22" s="1269"/>
      <c r="C22" s="1269"/>
      <c r="D22" s="1341" t="str">
        <f t="shared" ref="D22:D31" si="7">IF($B22="","",($R$38*B22+$R$37)-(3*$R$36))</f>
        <v/>
      </c>
      <c r="E22" s="1341" t="str">
        <f t="shared" ref="E22:E31" si="8">IF($B22="","",($R$38*B22+$R$37))</f>
        <v/>
      </c>
      <c r="F22" s="1341" t="str">
        <f t="shared" ref="F22:F31" si="9">IF($B22="","",($R$38*B22+$R$37)+(3*$R$36))</f>
        <v/>
      </c>
      <c r="G22" s="1343" t="str">
        <f t="shared" ref="G22:G31" si="10">IF(C22="","",G$5)</f>
        <v/>
      </c>
      <c r="H22" s="1343" t="str">
        <f t="shared" ref="H22:H31" si="11">IF(C22="","",H$5)</f>
        <v/>
      </c>
      <c r="I22" s="1178" t="e">
        <f t="shared" si="5"/>
        <v>#DIV/0!</v>
      </c>
      <c r="J22" s="1178" t="e">
        <f t="shared" si="5"/>
        <v>#DIV/0!</v>
      </c>
    </row>
    <row r="23" spans="1:41">
      <c r="A23" s="1178">
        <f t="shared" si="6"/>
        <v>18</v>
      </c>
      <c r="B23" s="1269"/>
      <c r="C23" s="1269"/>
      <c r="D23" s="1341" t="str">
        <f t="shared" si="7"/>
        <v/>
      </c>
      <c r="E23" s="1341" t="str">
        <f t="shared" si="8"/>
        <v/>
      </c>
      <c r="F23" s="1341" t="str">
        <f t="shared" si="9"/>
        <v/>
      </c>
      <c r="G23" s="1343" t="str">
        <f t="shared" si="10"/>
        <v/>
      </c>
      <c r="H23" s="1343" t="str">
        <f t="shared" si="11"/>
        <v/>
      </c>
      <c r="I23" s="1178" t="e">
        <f t="shared" ref="I23:J38" si="12">I22</f>
        <v>#DIV/0!</v>
      </c>
      <c r="J23" s="1178" t="e">
        <f t="shared" si="12"/>
        <v>#DIV/0!</v>
      </c>
    </row>
    <row r="24" spans="1:41">
      <c r="A24" s="1178">
        <f t="shared" si="6"/>
        <v>19</v>
      </c>
      <c r="B24" s="1269"/>
      <c r="C24" s="1269"/>
      <c r="D24" s="1341" t="str">
        <f t="shared" si="7"/>
        <v/>
      </c>
      <c r="E24" s="1341" t="str">
        <f t="shared" si="8"/>
        <v/>
      </c>
      <c r="F24" s="1341" t="str">
        <f t="shared" si="9"/>
        <v/>
      </c>
      <c r="G24" s="1343" t="str">
        <f t="shared" si="10"/>
        <v/>
      </c>
      <c r="H24" s="1343" t="str">
        <f t="shared" si="11"/>
        <v/>
      </c>
      <c r="I24" s="1178" t="e">
        <f t="shared" si="12"/>
        <v>#DIV/0!</v>
      </c>
      <c r="J24" s="1178" t="e">
        <f t="shared" si="12"/>
        <v>#DIV/0!</v>
      </c>
    </row>
    <row r="25" spans="1:41">
      <c r="A25" s="1178">
        <f t="shared" si="6"/>
        <v>20</v>
      </c>
      <c r="B25" s="1269"/>
      <c r="C25" s="1269"/>
      <c r="D25" s="1341" t="str">
        <f t="shared" si="7"/>
        <v/>
      </c>
      <c r="E25" s="1341" t="str">
        <f t="shared" si="8"/>
        <v/>
      </c>
      <c r="F25" s="1341" t="str">
        <f t="shared" si="9"/>
        <v/>
      </c>
      <c r="G25" s="1343" t="str">
        <f t="shared" si="10"/>
        <v/>
      </c>
      <c r="H25" s="1343" t="str">
        <f t="shared" si="11"/>
        <v/>
      </c>
      <c r="I25" s="1178" t="e">
        <f t="shared" si="12"/>
        <v>#DIV/0!</v>
      </c>
      <c r="J25" s="1178" t="e">
        <f t="shared" si="12"/>
        <v>#DIV/0!</v>
      </c>
    </row>
    <row r="26" spans="1:41">
      <c r="A26" s="1178">
        <f t="shared" si="6"/>
        <v>21</v>
      </c>
      <c r="B26" s="1269"/>
      <c r="C26" s="1269"/>
      <c r="D26" s="1341" t="str">
        <f t="shared" si="7"/>
        <v/>
      </c>
      <c r="E26" s="1341" t="str">
        <f t="shared" si="8"/>
        <v/>
      </c>
      <c r="F26" s="1341" t="str">
        <f t="shared" si="9"/>
        <v/>
      </c>
      <c r="G26" s="1343" t="str">
        <f t="shared" si="10"/>
        <v/>
      </c>
      <c r="H26" s="1343" t="str">
        <f t="shared" si="11"/>
        <v/>
      </c>
      <c r="I26" s="1178" t="e">
        <f t="shared" si="12"/>
        <v>#DIV/0!</v>
      </c>
      <c r="J26" s="1178" t="e">
        <f t="shared" si="12"/>
        <v>#DIV/0!</v>
      </c>
    </row>
    <row r="27" spans="1:41">
      <c r="A27" s="1178">
        <f t="shared" si="6"/>
        <v>22</v>
      </c>
      <c r="B27" s="1269"/>
      <c r="C27" s="1269"/>
      <c r="D27" s="1341" t="str">
        <f t="shared" si="7"/>
        <v/>
      </c>
      <c r="E27" s="1341" t="str">
        <f t="shared" si="8"/>
        <v/>
      </c>
      <c r="F27" s="1341" t="str">
        <f t="shared" si="9"/>
        <v/>
      </c>
      <c r="G27" s="1343" t="str">
        <f t="shared" si="10"/>
        <v/>
      </c>
      <c r="H27" s="1343" t="str">
        <f t="shared" si="11"/>
        <v/>
      </c>
      <c r="I27" s="1178" t="e">
        <f t="shared" si="12"/>
        <v>#DIV/0!</v>
      </c>
      <c r="J27" s="1178" t="e">
        <f t="shared" si="12"/>
        <v>#DIV/0!</v>
      </c>
    </row>
    <row r="28" spans="1:41">
      <c r="A28" s="1178">
        <f t="shared" si="6"/>
        <v>23</v>
      </c>
      <c r="B28" s="1269"/>
      <c r="C28" s="1269"/>
      <c r="D28" s="1341" t="str">
        <f t="shared" si="7"/>
        <v/>
      </c>
      <c r="E28" s="1341" t="str">
        <f t="shared" si="8"/>
        <v/>
      </c>
      <c r="F28" s="1341" t="str">
        <f t="shared" si="9"/>
        <v/>
      </c>
      <c r="G28" s="1343" t="str">
        <f t="shared" si="10"/>
        <v/>
      </c>
      <c r="H28" s="1343" t="str">
        <f t="shared" si="11"/>
        <v/>
      </c>
      <c r="I28" s="1178" t="e">
        <f t="shared" si="12"/>
        <v>#DIV/0!</v>
      </c>
      <c r="J28" s="1178" t="e">
        <f t="shared" si="12"/>
        <v>#DIV/0!</v>
      </c>
      <c r="M28" s="1344" t="s">
        <v>58</v>
      </c>
      <c r="P28" s="1344" t="s">
        <v>59</v>
      </c>
      <c r="AE28" s="1184"/>
      <c r="AO28" s="1178"/>
    </row>
    <row r="29" spans="1:41">
      <c r="A29" s="1178">
        <f t="shared" si="6"/>
        <v>24</v>
      </c>
      <c r="B29" s="1269"/>
      <c r="C29" s="1269"/>
      <c r="D29" s="1341" t="str">
        <f t="shared" si="7"/>
        <v/>
      </c>
      <c r="E29" s="1341" t="str">
        <f t="shared" si="8"/>
        <v/>
      </c>
      <c r="F29" s="1341" t="str">
        <f t="shared" si="9"/>
        <v/>
      </c>
      <c r="G29" s="1343" t="str">
        <f t="shared" si="10"/>
        <v/>
      </c>
      <c r="H29" s="1343" t="str">
        <f t="shared" si="11"/>
        <v/>
      </c>
      <c r="I29" s="1178" t="e">
        <f t="shared" si="12"/>
        <v>#DIV/0!</v>
      </c>
      <c r="J29" s="1178" t="e">
        <f t="shared" si="12"/>
        <v>#DIV/0!</v>
      </c>
      <c r="N29" s="1279" t="str">
        <f>"LSL_"&amp;C3</f>
        <v>LSL_Y</v>
      </c>
      <c r="O29" s="1345">
        <f>G5</f>
        <v>0</v>
      </c>
      <c r="P29" s="1299"/>
      <c r="Q29" s="1241" t="s">
        <v>441</v>
      </c>
      <c r="R29" s="1346" t="e">
        <f>ROUNDDOWN((O30-R37-(3*R36))/R38,0)</f>
        <v>#DIV/0!</v>
      </c>
      <c r="AE29" s="1184"/>
      <c r="AO29" s="1178"/>
    </row>
    <row r="30" spans="1:41" ht="14.25">
      <c r="A30" s="1178">
        <f t="shared" si="6"/>
        <v>25</v>
      </c>
      <c r="B30" s="1269"/>
      <c r="C30" s="1269"/>
      <c r="D30" s="1341" t="str">
        <f t="shared" si="7"/>
        <v/>
      </c>
      <c r="E30" s="1341" t="str">
        <f t="shared" si="8"/>
        <v/>
      </c>
      <c r="F30" s="1341" t="str">
        <f t="shared" si="9"/>
        <v/>
      </c>
      <c r="G30" s="1343" t="str">
        <f t="shared" si="10"/>
        <v/>
      </c>
      <c r="H30" s="1343" t="str">
        <f t="shared" si="11"/>
        <v/>
      </c>
      <c r="I30" s="1178" t="e">
        <f t="shared" si="12"/>
        <v>#DIV/0!</v>
      </c>
      <c r="J30" s="1178" t="e">
        <f t="shared" si="12"/>
        <v>#DIV/0!</v>
      </c>
      <c r="N30" s="1279" t="str">
        <f>"USL_"&amp;C3</f>
        <v>USL_Y</v>
      </c>
      <c r="O30" s="1347">
        <f>H5</f>
        <v>0</v>
      </c>
      <c r="P30" s="1299"/>
      <c r="Q30" s="1299" t="s">
        <v>66</v>
      </c>
      <c r="R30" s="1299" t="e">
        <f>G5 +4*R36</f>
        <v>#DIV/0!</v>
      </c>
      <c r="AE30" s="1184"/>
      <c r="AO30" s="1178"/>
    </row>
    <row r="31" spans="1:41" ht="14.25">
      <c r="A31" s="1178">
        <f t="shared" si="6"/>
        <v>26</v>
      </c>
      <c r="B31" s="1269"/>
      <c r="C31" s="1269"/>
      <c r="D31" s="1341" t="str">
        <f t="shared" si="7"/>
        <v/>
      </c>
      <c r="E31" s="1341" t="str">
        <f t="shared" si="8"/>
        <v/>
      </c>
      <c r="F31" s="1341" t="str">
        <f t="shared" si="9"/>
        <v/>
      </c>
      <c r="G31" s="1343" t="str">
        <f t="shared" si="10"/>
        <v/>
      </c>
      <c r="H31" s="1343" t="str">
        <f t="shared" si="11"/>
        <v/>
      </c>
      <c r="I31" s="1178" t="e">
        <f t="shared" si="12"/>
        <v>#DIV/0!</v>
      </c>
      <c r="J31" s="1178" t="e">
        <f t="shared" si="12"/>
        <v>#DIV/0!</v>
      </c>
      <c r="Q31" s="1299" t="s">
        <v>67</v>
      </c>
      <c r="R31" s="1348" t="e">
        <f>H5 -4*R36</f>
        <v>#DIV/0!</v>
      </c>
      <c r="AE31" s="1184"/>
      <c r="AO31" s="1178"/>
    </row>
    <row r="32" spans="1:41">
      <c r="A32" s="1178">
        <f t="shared" si="6"/>
        <v>27</v>
      </c>
      <c r="B32" s="1269"/>
      <c r="C32" s="1269"/>
      <c r="D32" s="1341" t="str">
        <f t="shared" ref="D32:D41" si="13">IF($B32="","",($R$38*B32+$R$37)-(3*$R$36))</f>
        <v/>
      </c>
      <c r="E32" s="1341" t="str">
        <f t="shared" ref="E32:E41" si="14">IF($B32="","",($R$38*B32+$R$37))</f>
        <v/>
      </c>
      <c r="F32" s="1341" t="str">
        <f t="shared" ref="F32:F41" si="15">IF($B32="","",($R$38*B32+$R$37)+(3*$R$36))</f>
        <v/>
      </c>
      <c r="G32" s="1343" t="str">
        <f t="shared" ref="G32:G41" si="16">IF(C32="","",G$5)</f>
        <v/>
      </c>
      <c r="H32" s="1343" t="str">
        <f t="shared" ref="H32:H41" si="17">IF(C32="","",H$5)</f>
        <v/>
      </c>
      <c r="I32" s="1178" t="e">
        <f t="shared" si="12"/>
        <v>#DIV/0!</v>
      </c>
      <c r="J32" s="1178" t="e">
        <f t="shared" si="12"/>
        <v>#DIV/0!</v>
      </c>
    </row>
    <row r="33" spans="1:18">
      <c r="A33" s="1178">
        <f t="shared" si="6"/>
        <v>28</v>
      </c>
      <c r="B33" s="1269"/>
      <c r="C33" s="1269"/>
      <c r="D33" s="1341" t="str">
        <f t="shared" si="13"/>
        <v/>
      </c>
      <c r="E33" s="1341" t="str">
        <f t="shared" si="14"/>
        <v/>
      </c>
      <c r="F33" s="1341" t="str">
        <f t="shared" si="15"/>
        <v/>
      </c>
      <c r="G33" s="1343" t="str">
        <f t="shared" si="16"/>
        <v/>
      </c>
      <c r="H33" s="1343" t="str">
        <f t="shared" si="17"/>
        <v/>
      </c>
      <c r="I33" s="1178" t="e">
        <f t="shared" si="12"/>
        <v>#DIV/0!</v>
      </c>
      <c r="J33" s="1178" t="e">
        <f t="shared" si="12"/>
        <v>#DIV/0!</v>
      </c>
      <c r="O33" s="1349"/>
    </row>
    <row r="34" spans="1:18">
      <c r="A34" s="1178">
        <f t="shared" si="6"/>
        <v>29</v>
      </c>
      <c r="B34" s="1269"/>
      <c r="C34" s="1269"/>
      <c r="D34" s="1341" t="str">
        <f t="shared" si="13"/>
        <v/>
      </c>
      <c r="E34" s="1341" t="str">
        <f t="shared" si="14"/>
        <v/>
      </c>
      <c r="F34" s="1341" t="str">
        <f t="shared" si="15"/>
        <v/>
      </c>
      <c r="G34" s="1343" t="str">
        <f t="shared" si="16"/>
        <v/>
      </c>
      <c r="H34" s="1343" t="str">
        <f t="shared" si="17"/>
        <v/>
      </c>
      <c r="I34" s="1178" t="e">
        <f t="shared" si="12"/>
        <v>#DIV/0!</v>
      </c>
      <c r="J34" s="1178" t="e">
        <f t="shared" si="12"/>
        <v>#DIV/0!</v>
      </c>
      <c r="O34" s="1349"/>
    </row>
    <row r="35" spans="1:18" ht="15.75">
      <c r="A35" s="1178">
        <f t="shared" si="6"/>
        <v>30</v>
      </c>
      <c r="B35" s="1269"/>
      <c r="C35" s="1269"/>
      <c r="D35" s="1341" t="str">
        <f t="shared" si="13"/>
        <v/>
      </c>
      <c r="E35" s="1341" t="str">
        <f t="shared" si="14"/>
        <v/>
      </c>
      <c r="F35" s="1341" t="str">
        <f t="shared" si="15"/>
        <v/>
      </c>
      <c r="G35" s="1343" t="str">
        <f t="shared" si="16"/>
        <v/>
      </c>
      <c r="H35" s="1343" t="str">
        <f t="shared" si="17"/>
        <v/>
      </c>
      <c r="I35" s="1178" t="e">
        <f t="shared" si="12"/>
        <v>#DIV/0!</v>
      </c>
      <c r="J35" s="1178" t="e">
        <f t="shared" si="12"/>
        <v>#DIV/0!</v>
      </c>
      <c r="L35" s="1344" t="s">
        <v>60</v>
      </c>
      <c r="N35" s="1350" t="s">
        <v>395</v>
      </c>
      <c r="Q35" s="1240" t="s">
        <v>61</v>
      </c>
      <c r="R35" s="1351" t="e">
        <f>RSQ(C6:C256,B6:B256)</f>
        <v>#DIV/0!</v>
      </c>
    </row>
    <row r="36" spans="1:18">
      <c r="A36" s="1178">
        <f t="shared" si="6"/>
        <v>31</v>
      </c>
      <c r="B36" s="1269"/>
      <c r="C36" s="1269"/>
      <c r="D36" s="1341" t="str">
        <f t="shared" si="13"/>
        <v/>
      </c>
      <c r="E36" s="1341" t="str">
        <f t="shared" si="14"/>
        <v/>
      </c>
      <c r="F36" s="1341" t="str">
        <f t="shared" si="15"/>
        <v/>
      </c>
      <c r="G36" s="1343" t="str">
        <f t="shared" si="16"/>
        <v/>
      </c>
      <c r="H36" s="1343" t="str">
        <f t="shared" si="17"/>
        <v/>
      </c>
      <c r="I36" s="1178" t="e">
        <f t="shared" si="12"/>
        <v>#DIV/0!</v>
      </c>
      <c r="J36" s="1178" t="e">
        <f t="shared" si="12"/>
        <v>#DIV/0!</v>
      </c>
      <c r="Q36" s="1240" t="s">
        <v>57</v>
      </c>
      <c r="R36" s="1178" t="e">
        <f>STEYX(C6:C256,B6:B256)</f>
        <v>#DIV/0!</v>
      </c>
    </row>
    <row r="37" spans="1:18">
      <c r="A37" s="1178">
        <f t="shared" si="6"/>
        <v>32</v>
      </c>
      <c r="B37" s="1269"/>
      <c r="C37" s="1269"/>
      <c r="D37" s="1341" t="str">
        <f t="shared" si="13"/>
        <v/>
      </c>
      <c r="E37" s="1341" t="str">
        <f t="shared" si="14"/>
        <v/>
      </c>
      <c r="F37" s="1341" t="str">
        <f t="shared" si="15"/>
        <v/>
      </c>
      <c r="G37" s="1343" t="str">
        <f t="shared" si="16"/>
        <v/>
      </c>
      <c r="H37" s="1343" t="str">
        <f t="shared" si="17"/>
        <v/>
      </c>
      <c r="I37" s="1178" t="e">
        <f t="shared" si="12"/>
        <v>#DIV/0!</v>
      </c>
      <c r="J37" s="1178" t="e">
        <f t="shared" si="12"/>
        <v>#DIV/0!</v>
      </c>
      <c r="Q37" s="1240" t="s">
        <v>393</v>
      </c>
      <c r="R37" s="1178" t="e">
        <f>INTERCEPT(C6:C256,B6:B256)</f>
        <v>#DIV/0!</v>
      </c>
    </row>
    <row r="38" spans="1:18">
      <c r="A38" s="1178">
        <f t="shared" si="6"/>
        <v>33</v>
      </c>
      <c r="B38" s="1269"/>
      <c r="C38" s="1269"/>
      <c r="D38" s="1341" t="str">
        <f t="shared" si="13"/>
        <v/>
      </c>
      <c r="E38" s="1341" t="str">
        <f t="shared" si="14"/>
        <v/>
      </c>
      <c r="F38" s="1341" t="str">
        <f t="shared" si="15"/>
        <v/>
      </c>
      <c r="G38" s="1343" t="str">
        <f t="shared" si="16"/>
        <v/>
      </c>
      <c r="H38" s="1343" t="str">
        <f t="shared" si="17"/>
        <v/>
      </c>
      <c r="I38" s="1178" t="e">
        <f t="shared" si="12"/>
        <v>#DIV/0!</v>
      </c>
      <c r="J38" s="1178" t="e">
        <f t="shared" si="12"/>
        <v>#DIV/0!</v>
      </c>
      <c r="Q38" s="1240" t="s">
        <v>394</v>
      </c>
      <c r="R38" s="1178" t="e">
        <f>SLOPE(C6:C256,B6:B256)</f>
        <v>#DIV/0!</v>
      </c>
    </row>
    <row r="39" spans="1:18">
      <c r="A39" s="1178">
        <f t="shared" si="6"/>
        <v>34</v>
      </c>
      <c r="B39" s="1269"/>
      <c r="C39" s="1269"/>
      <c r="D39" s="1341" t="str">
        <f t="shared" si="13"/>
        <v/>
      </c>
      <c r="E39" s="1341" t="str">
        <f t="shared" si="14"/>
        <v/>
      </c>
      <c r="F39" s="1341" t="str">
        <f t="shared" si="15"/>
        <v/>
      </c>
      <c r="G39" s="1343" t="str">
        <f t="shared" si="16"/>
        <v/>
      </c>
      <c r="H39" s="1343" t="str">
        <f t="shared" si="17"/>
        <v/>
      </c>
      <c r="I39" s="1178" t="e">
        <f t="shared" ref="I39:J54" si="18">I38</f>
        <v>#DIV/0!</v>
      </c>
      <c r="J39" s="1178" t="e">
        <f t="shared" si="18"/>
        <v>#DIV/0!</v>
      </c>
    </row>
    <row r="40" spans="1:18">
      <c r="A40" s="1178">
        <f t="shared" si="6"/>
        <v>35</v>
      </c>
      <c r="B40" s="1269"/>
      <c r="C40" s="1269"/>
      <c r="D40" s="1341" t="str">
        <f t="shared" si="13"/>
        <v/>
      </c>
      <c r="E40" s="1341" t="str">
        <f t="shared" si="14"/>
        <v/>
      </c>
      <c r="F40" s="1341" t="str">
        <f t="shared" si="15"/>
        <v/>
      </c>
      <c r="G40" s="1343" t="str">
        <f t="shared" si="16"/>
        <v/>
      </c>
      <c r="H40" s="1343" t="str">
        <f t="shared" si="17"/>
        <v/>
      </c>
      <c r="I40" s="1178" t="e">
        <f t="shared" si="18"/>
        <v>#DIV/0!</v>
      </c>
      <c r="J40" s="1178" t="e">
        <f t="shared" si="18"/>
        <v>#DIV/0!</v>
      </c>
    </row>
    <row r="41" spans="1:18">
      <c r="A41" s="1178">
        <f t="shared" si="6"/>
        <v>36</v>
      </c>
      <c r="B41" s="1269"/>
      <c r="C41" s="1269"/>
      <c r="D41" s="1341" t="str">
        <f t="shared" si="13"/>
        <v/>
      </c>
      <c r="E41" s="1341" t="str">
        <f t="shared" si="14"/>
        <v/>
      </c>
      <c r="F41" s="1341" t="str">
        <f t="shared" si="15"/>
        <v/>
      </c>
      <c r="G41" s="1343" t="str">
        <f t="shared" si="16"/>
        <v/>
      </c>
      <c r="H41" s="1343" t="str">
        <f t="shared" si="17"/>
        <v/>
      </c>
      <c r="I41" s="1178" t="e">
        <f t="shared" si="18"/>
        <v>#DIV/0!</v>
      </c>
      <c r="J41" s="1178" t="e">
        <f t="shared" si="18"/>
        <v>#DIV/0!</v>
      </c>
    </row>
    <row r="42" spans="1:18">
      <c r="A42" s="1178">
        <f t="shared" si="6"/>
        <v>37</v>
      </c>
      <c r="B42" s="1269"/>
      <c r="C42" s="1269"/>
      <c r="D42" s="1341" t="str">
        <f t="shared" ref="D42:D51" si="19">IF($B42="","",($R$38*B42+$R$37)-(3*$R$36))</f>
        <v/>
      </c>
      <c r="E42" s="1341" t="str">
        <f t="shared" ref="E42:E51" si="20">IF($B42="","",($R$38*B42+$R$37))</f>
        <v/>
      </c>
      <c r="F42" s="1341" t="str">
        <f t="shared" ref="F42:F51" si="21">IF($B42="","",($R$38*B42+$R$37)+(3*$R$36))</f>
        <v/>
      </c>
      <c r="G42" s="1343" t="str">
        <f t="shared" ref="G42:G51" si="22">IF(C42="","",G$5)</f>
        <v/>
      </c>
      <c r="H42" s="1343" t="str">
        <f t="shared" ref="H42:H51" si="23">IF(C42="","",H$5)</f>
        <v/>
      </c>
      <c r="I42" s="1178" t="e">
        <f t="shared" si="18"/>
        <v>#DIV/0!</v>
      </c>
      <c r="J42" s="1178" t="e">
        <f t="shared" si="18"/>
        <v>#DIV/0!</v>
      </c>
    </row>
    <row r="43" spans="1:18">
      <c r="A43" s="1178">
        <f t="shared" si="6"/>
        <v>38</v>
      </c>
      <c r="B43" s="1269"/>
      <c r="C43" s="1269"/>
      <c r="D43" s="1341" t="str">
        <f t="shared" si="19"/>
        <v/>
      </c>
      <c r="E43" s="1341" t="str">
        <f t="shared" si="20"/>
        <v/>
      </c>
      <c r="F43" s="1341" t="str">
        <f t="shared" si="21"/>
        <v/>
      </c>
      <c r="G43" s="1343" t="str">
        <f t="shared" si="22"/>
        <v/>
      </c>
      <c r="H43" s="1343" t="str">
        <f t="shared" si="23"/>
        <v/>
      </c>
      <c r="I43" s="1178" t="e">
        <f t="shared" si="18"/>
        <v>#DIV/0!</v>
      </c>
      <c r="J43" s="1178" t="e">
        <f t="shared" si="18"/>
        <v>#DIV/0!</v>
      </c>
    </row>
    <row r="44" spans="1:18">
      <c r="A44" s="1178">
        <f t="shared" si="6"/>
        <v>39</v>
      </c>
      <c r="B44" s="1269"/>
      <c r="C44" s="1269"/>
      <c r="D44" s="1341" t="str">
        <f t="shared" si="19"/>
        <v/>
      </c>
      <c r="E44" s="1341" t="str">
        <f t="shared" si="20"/>
        <v/>
      </c>
      <c r="F44" s="1341" t="str">
        <f t="shared" si="21"/>
        <v/>
      </c>
      <c r="G44" s="1343" t="str">
        <f t="shared" si="22"/>
        <v/>
      </c>
      <c r="H44" s="1343" t="str">
        <f t="shared" si="23"/>
        <v/>
      </c>
      <c r="I44" s="1178" t="e">
        <f t="shared" si="18"/>
        <v>#DIV/0!</v>
      </c>
      <c r="J44" s="1178" t="e">
        <f t="shared" si="18"/>
        <v>#DIV/0!</v>
      </c>
    </row>
    <row r="45" spans="1:18">
      <c r="A45" s="1178">
        <f t="shared" si="6"/>
        <v>40</v>
      </c>
      <c r="B45" s="1269"/>
      <c r="C45" s="1269"/>
      <c r="D45" s="1341" t="str">
        <f t="shared" si="19"/>
        <v/>
      </c>
      <c r="E45" s="1341" t="str">
        <f t="shared" si="20"/>
        <v/>
      </c>
      <c r="F45" s="1341" t="str">
        <f t="shared" si="21"/>
        <v/>
      </c>
      <c r="G45" s="1343" t="str">
        <f t="shared" si="22"/>
        <v/>
      </c>
      <c r="H45" s="1343" t="str">
        <f t="shared" si="23"/>
        <v/>
      </c>
      <c r="I45" s="1178" t="e">
        <f t="shared" si="18"/>
        <v>#DIV/0!</v>
      </c>
      <c r="J45" s="1178" t="e">
        <f t="shared" si="18"/>
        <v>#DIV/0!</v>
      </c>
    </row>
    <row r="46" spans="1:18">
      <c r="A46" s="1178">
        <f t="shared" si="6"/>
        <v>41</v>
      </c>
      <c r="B46" s="1269"/>
      <c r="C46" s="1269"/>
      <c r="D46" s="1341" t="str">
        <f t="shared" si="19"/>
        <v/>
      </c>
      <c r="E46" s="1341" t="str">
        <f t="shared" si="20"/>
        <v/>
      </c>
      <c r="F46" s="1341" t="str">
        <f t="shared" si="21"/>
        <v/>
      </c>
      <c r="G46" s="1343" t="str">
        <f t="shared" si="22"/>
        <v/>
      </c>
      <c r="H46" s="1343" t="str">
        <f t="shared" si="23"/>
        <v/>
      </c>
      <c r="I46" s="1178" t="e">
        <f t="shared" si="18"/>
        <v>#DIV/0!</v>
      </c>
      <c r="J46" s="1178" t="e">
        <f t="shared" si="18"/>
        <v>#DIV/0!</v>
      </c>
    </row>
    <row r="47" spans="1:18">
      <c r="A47" s="1178">
        <f t="shared" si="6"/>
        <v>42</v>
      </c>
      <c r="B47" s="1269"/>
      <c r="C47" s="1269"/>
      <c r="D47" s="1341" t="str">
        <f t="shared" si="19"/>
        <v/>
      </c>
      <c r="E47" s="1341" t="str">
        <f t="shared" si="20"/>
        <v/>
      </c>
      <c r="F47" s="1341" t="str">
        <f t="shared" si="21"/>
        <v/>
      </c>
      <c r="G47" s="1343" t="str">
        <f t="shared" si="22"/>
        <v/>
      </c>
      <c r="H47" s="1343" t="str">
        <f t="shared" si="23"/>
        <v/>
      </c>
      <c r="I47" s="1178" t="e">
        <f t="shared" si="18"/>
        <v>#DIV/0!</v>
      </c>
      <c r="J47" s="1178" t="e">
        <f t="shared" si="18"/>
        <v>#DIV/0!</v>
      </c>
    </row>
    <row r="48" spans="1:18">
      <c r="A48" s="1178">
        <f t="shared" si="6"/>
        <v>43</v>
      </c>
      <c r="B48" s="1269"/>
      <c r="C48" s="1269"/>
      <c r="D48" s="1341" t="str">
        <f t="shared" si="19"/>
        <v/>
      </c>
      <c r="E48" s="1341" t="str">
        <f t="shared" si="20"/>
        <v/>
      </c>
      <c r="F48" s="1341" t="str">
        <f t="shared" si="21"/>
        <v/>
      </c>
      <c r="G48" s="1343" t="str">
        <f t="shared" si="22"/>
        <v/>
      </c>
      <c r="H48" s="1343" t="str">
        <f t="shared" si="23"/>
        <v/>
      </c>
      <c r="I48" s="1178" t="e">
        <f t="shared" si="18"/>
        <v>#DIV/0!</v>
      </c>
      <c r="J48" s="1178" t="e">
        <f t="shared" si="18"/>
        <v>#DIV/0!</v>
      </c>
    </row>
    <row r="49" spans="1:10">
      <c r="A49" s="1178">
        <f t="shared" si="6"/>
        <v>44</v>
      </c>
      <c r="B49" s="1269"/>
      <c r="C49" s="1269"/>
      <c r="D49" s="1341" t="str">
        <f t="shared" si="19"/>
        <v/>
      </c>
      <c r="E49" s="1341" t="str">
        <f t="shared" si="20"/>
        <v/>
      </c>
      <c r="F49" s="1341" t="str">
        <f t="shared" si="21"/>
        <v/>
      </c>
      <c r="G49" s="1343" t="str">
        <f t="shared" si="22"/>
        <v/>
      </c>
      <c r="H49" s="1343" t="str">
        <f t="shared" si="23"/>
        <v/>
      </c>
      <c r="I49" s="1178" t="e">
        <f t="shared" si="18"/>
        <v>#DIV/0!</v>
      </c>
      <c r="J49" s="1178" t="e">
        <f t="shared" si="18"/>
        <v>#DIV/0!</v>
      </c>
    </row>
    <row r="50" spans="1:10">
      <c r="A50" s="1178">
        <f t="shared" si="6"/>
        <v>45</v>
      </c>
      <c r="B50" s="1269"/>
      <c r="C50" s="1269"/>
      <c r="D50" s="1341" t="str">
        <f t="shared" si="19"/>
        <v/>
      </c>
      <c r="E50" s="1341" t="str">
        <f t="shared" si="20"/>
        <v/>
      </c>
      <c r="F50" s="1341" t="str">
        <f t="shared" si="21"/>
        <v/>
      </c>
      <c r="G50" s="1343" t="str">
        <f t="shared" si="22"/>
        <v/>
      </c>
      <c r="H50" s="1343" t="str">
        <f t="shared" si="23"/>
        <v/>
      </c>
      <c r="I50" s="1178" t="e">
        <f t="shared" si="18"/>
        <v>#DIV/0!</v>
      </c>
      <c r="J50" s="1178" t="e">
        <f t="shared" si="18"/>
        <v>#DIV/0!</v>
      </c>
    </row>
    <row r="51" spans="1:10">
      <c r="A51" s="1178">
        <f t="shared" si="6"/>
        <v>46</v>
      </c>
      <c r="B51" s="1269"/>
      <c r="C51" s="1269"/>
      <c r="D51" s="1341" t="str">
        <f t="shared" si="19"/>
        <v/>
      </c>
      <c r="E51" s="1341" t="str">
        <f t="shared" si="20"/>
        <v/>
      </c>
      <c r="F51" s="1341" t="str">
        <f t="shared" si="21"/>
        <v/>
      </c>
      <c r="G51" s="1343" t="str">
        <f t="shared" si="22"/>
        <v/>
      </c>
      <c r="H51" s="1343" t="str">
        <f t="shared" si="23"/>
        <v/>
      </c>
      <c r="I51" s="1178" t="e">
        <f t="shared" si="18"/>
        <v>#DIV/0!</v>
      </c>
      <c r="J51" s="1178" t="e">
        <f t="shared" si="18"/>
        <v>#DIV/0!</v>
      </c>
    </row>
    <row r="52" spans="1:10">
      <c r="A52" s="1178">
        <f t="shared" si="6"/>
        <v>47</v>
      </c>
      <c r="B52" s="1269"/>
      <c r="C52" s="1269"/>
      <c r="D52" s="1341" t="str">
        <f t="shared" ref="D52:D61" si="24">IF($B52="","",($R$38*B52+$R$37)-(3*$R$36))</f>
        <v/>
      </c>
      <c r="E52" s="1341" t="str">
        <f t="shared" ref="E52:E61" si="25">IF($B52="","",($R$38*B52+$R$37))</f>
        <v/>
      </c>
      <c r="F52" s="1341" t="str">
        <f t="shared" ref="F52:F61" si="26">IF($B52="","",($R$38*B52+$R$37)+(3*$R$36))</f>
        <v/>
      </c>
      <c r="G52" s="1343" t="str">
        <f t="shared" ref="G52:G61" si="27">IF(C52="","",G$5)</f>
        <v/>
      </c>
      <c r="H52" s="1343" t="str">
        <f t="shared" ref="H52:H61" si="28">IF(C52="","",H$5)</f>
        <v/>
      </c>
      <c r="I52" s="1178" t="e">
        <f t="shared" si="18"/>
        <v>#DIV/0!</v>
      </c>
      <c r="J52" s="1178" t="e">
        <f t="shared" si="18"/>
        <v>#DIV/0!</v>
      </c>
    </row>
    <row r="53" spans="1:10">
      <c r="A53" s="1178">
        <f t="shared" si="6"/>
        <v>48</v>
      </c>
      <c r="B53" s="1269"/>
      <c r="C53" s="1269"/>
      <c r="D53" s="1341" t="str">
        <f t="shared" si="24"/>
        <v/>
      </c>
      <c r="E53" s="1341" t="str">
        <f t="shared" si="25"/>
        <v/>
      </c>
      <c r="F53" s="1341" t="str">
        <f t="shared" si="26"/>
        <v/>
      </c>
      <c r="G53" s="1343" t="str">
        <f t="shared" si="27"/>
        <v/>
      </c>
      <c r="H53" s="1343" t="str">
        <f t="shared" si="28"/>
        <v/>
      </c>
      <c r="I53" s="1178" t="e">
        <f t="shared" si="18"/>
        <v>#DIV/0!</v>
      </c>
      <c r="J53" s="1178" t="e">
        <f t="shared" si="18"/>
        <v>#DIV/0!</v>
      </c>
    </row>
    <row r="54" spans="1:10">
      <c r="A54" s="1178">
        <f t="shared" si="6"/>
        <v>49</v>
      </c>
      <c r="B54" s="1269"/>
      <c r="C54" s="1269"/>
      <c r="D54" s="1341" t="str">
        <f t="shared" si="24"/>
        <v/>
      </c>
      <c r="E54" s="1341" t="str">
        <f t="shared" si="25"/>
        <v/>
      </c>
      <c r="F54" s="1341" t="str">
        <f t="shared" si="26"/>
        <v/>
      </c>
      <c r="G54" s="1343" t="str">
        <f t="shared" si="27"/>
        <v/>
      </c>
      <c r="H54" s="1343" t="str">
        <f t="shared" si="28"/>
        <v/>
      </c>
      <c r="I54" s="1178" t="e">
        <f t="shared" si="18"/>
        <v>#DIV/0!</v>
      </c>
      <c r="J54" s="1178" t="e">
        <f t="shared" si="18"/>
        <v>#DIV/0!</v>
      </c>
    </row>
    <row r="55" spans="1:10">
      <c r="A55" s="1178">
        <f t="shared" si="6"/>
        <v>50</v>
      </c>
      <c r="B55" s="1269"/>
      <c r="C55" s="1269"/>
      <c r="D55" s="1341" t="str">
        <f t="shared" si="24"/>
        <v/>
      </c>
      <c r="E55" s="1341" t="str">
        <f t="shared" si="25"/>
        <v/>
      </c>
      <c r="F55" s="1341" t="str">
        <f t="shared" si="26"/>
        <v/>
      </c>
      <c r="G55" s="1343" t="str">
        <f t="shared" si="27"/>
        <v/>
      </c>
      <c r="H55" s="1343" t="str">
        <f t="shared" si="28"/>
        <v/>
      </c>
      <c r="I55" s="1178" t="e">
        <f t="shared" ref="I55:J70" si="29">I54</f>
        <v>#DIV/0!</v>
      </c>
      <c r="J55" s="1178" t="e">
        <f t="shared" si="29"/>
        <v>#DIV/0!</v>
      </c>
    </row>
    <row r="56" spans="1:10">
      <c r="A56" s="1178">
        <f t="shared" si="6"/>
        <v>51</v>
      </c>
      <c r="B56" s="1269"/>
      <c r="C56" s="1269"/>
      <c r="D56" s="1341" t="str">
        <f t="shared" si="24"/>
        <v/>
      </c>
      <c r="E56" s="1341" t="str">
        <f t="shared" si="25"/>
        <v/>
      </c>
      <c r="F56" s="1341" t="str">
        <f t="shared" si="26"/>
        <v/>
      </c>
      <c r="G56" s="1343" t="str">
        <f t="shared" si="27"/>
        <v/>
      </c>
      <c r="H56" s="1343" t="str">
        <f t="shared" si="28"/>
        <v/>
      </c>
      <c r="I56" s="1178" t="e">
        <f t="shared" si="29"/>
        <v>#DIV/0!</v>
      </c>
      <c r="J56" s="1178" t="e">
        <f t="shared" si="29"/>
        <v>#DIV/0!</v>
      </c>
    </row>
    <row r="57" spans="1:10">
      <c r="A57" s="1178">
        <f t="shared" si="6"/>
        <v>52</v>
      </c>
      <c r="B57" s="1269"/>
      <c r="C57" s="1269"/>
      <c r="D57" s="1341" t="str">
        <f t="shared" si="24"/>
        <v/>
      </c>
      <c r="E57" s="1341" t="str">
        <f t="shared" si="25"/>
        <v/>
      </c>
      <c r="F57" s="1341" t="str">
        <f t="shared" si="26"/>
        <v/>
      </c>
      <c r="G57" s="1343" t="str">
        <f t="shared" si="27"/>
        <v/>
      </c>
      <c r="H57" s="1343" t="str">
        <f t="shared" si="28"/>
        <v/>
      </c>
      <c r="I57" s="1178" t="e">
        <f t="shared" si="29"/>
        <v>#DIV/0!</v>
      </c>
      <c r="J57" s="1178" t="e">
        <f t="shared" si="29"/>
        <v>#DIV/0!</v>
      </c>
    </row>
    <row r="58" spans="1:10">
      <c r="A58" s="1178">
        <f t="shared" si="6"/>
        <v>53</v>
      </c>
      <c r="B58" s="1269"/>
      <c r="C58" s="1269"/>
      <c r="D58" s="1341" t="str">
        <f t="shared" si="24"/>
        <v/>
      </c>
      <c r="E58" s="1341" t="str">
        <f t="shared" si="25"/>
        <v/>
      </c>
      <c r="F58" s="1341" t="str">
        <f t="shared" si="26"/>
        <v/>
      </c>
      <c r="G58" s="1343" t="str">
        <f t="shared" si="27"/>
        <v/>
      </c>
      <c r="H58" s="1343" t="str">
        <f t="shared" si="28"/>
        <v/>
      </c>
      <c r="I58" s="1178" t="e">
        <f t="shared" si="29"/>
        <v>#DIV/0!</v>
      </c>
      <c r="J58" s="1178" t="e">
        <f t="shared" si="29"/>
        <v>#DIV/0!</v>
      </c>
    </row>
    <row r="59" spans="1:10">
      <c r="A59" s="1178">
        <f t="shared" si="6"/>
        <v>54</v>
      </c>
      <c r="B59" s="1269"/>
      <c r="C59" s="1269"/>
      <c r="D59" s="1341" t="str">
        <f t="shared" si="24"/>
        <v/>
      </c>
      <c r="E59" s="1341" t="str">
        <f t="shared" si="25"/>
        <v/>
      </c>
      <c r="F59" s="1341" t="str">
        <f t="shared" si="26"/>
        <v/>
      </c>
      <c r="G59" s="1343" t="str">
        <f t="shared" si="27"/>
        <v/>
      </c>
      <c r="H59" s="1343" t="str">
        <f t="shared" si="28"/>
        <v/>
      </c>
      <c r="I59" s="1178" t="e">
        <f t="shared" si="29"/>
        <v>#DIV/0!</v>
      </c>
      <c r="J59" s="1178" t="e">
        <f t="shared" si="29"/>
        <v>#DIV/0!</v>
      </c>
    </row>
    <row r="60" spans="1:10">
      <c r="A60" s="1178">
        <f t="shared" si="6"/>
        <v>55</v>
      </c>
      <c r="B60" s="1269"/>
      <c r="C60" s="1269"/>
      <c r="D60" s="1341" t="str">
        <f t="shared" si="24"/>
        <v/>
      </c>
      <c r="E60" s="1341" t="str">
        <f t="shared" si="25"/>
        <v/>
      </c>
      <c r="F60" s="1341" t="str">
        <f t="shared" si="26"/>
        <v/>
      </c>
      <c r="G60" s="1343" t="str">
        <f t="shared" si="27"/>
        <v/>
      </c>
      <c r="H60" s="1343" t="str">
        <f t="shared" si="28"/>
        <v/>
      </c>
      <c r="I60" s="1178" t="e">
        <f t="shared" si="29"/>
        <v>#DIV/0!</v>
      </c>
      <c r="J60" s="1178" t="e">
        <f t="shared" si="29"/>
        <v>#DIV/0!</v>
      </c>
    </row>
    <row r="61" spans="1:10">
      <c r="A61" s="1178">
        <f t="shared" si="6"/>
        <v>56</v>
      </c>
      <c r="B61" s="1269"/>
      <c r="C61" s="1269"/>
      <c r="D61" s="1341" t="str">
        <f t="shared" si="24"/>
        <v/>
      </c>
      <c r="E61" s="1341" t="str">
        <f t="shared" si="25"/>
        <v/>
      </c>
      <c r="F61" s="1341" t="str">
        <f t="shared" si="26"/>
        <v/>
      </c>
      <c r="G61" s="1343" t="str">
        <f t="shared" si="27"/>
        <v/>
      </c>
      <c r="H61" s="1343" t="str">
        <f t="shared" si="28"/>
        <v/>
      </c>
      <c r="I61" s="1178" t="e">
        <f t="shared" si="29"/>
        <v>#DIV/0!</v>
      </c>
      <c r="J61" s="1178" t="e">
        <f t="shared" si="29"/>
        <v>#DIV/0!</v>
      </c>
    </row>
    <row r="62" spans="1:10">
      <c r="A62" s="1178">
        <f t="shared" si="6"/>
        <v>57</v>
      </c>
      <c r="B62" s="1269"/>
      <c r="C62" s="1269"/>
      <c r="D62" s="1341" t="str">
        <f t="shared" si="0"/>
        <v/>
      </c>
      <c r="E62" s="1341" t="str">
        <f t="shared" si="1"/>
        <v/>
      </c>
      <c r="F62" s="1341" t="str">
        <f t="shared" si="2"/>
        <v/>
      </c>
      <c r="G62" s="1343" t="str">
        <f t="shared" si="3"/>
        <v/>
      </c>
      <c r="H62" s="1343" t="str">
        <f t="shared" si="4"/>
        <v/>
      </c>
      <c r="I62" s="1178" t="e">
        <f t="shared" si="29"/>
        <v>#DIV/0!</v>
      </c>
      <c r="J62" s="1178" t="e">
        <f t="shared" si="29"/>
        <v>#DIV/0!</v>
      </c>
    </row>
    <row r="63" spans="1:10">
      <c r="A63" s="1178">
        <f t="shared" si="6"/>
        <v>58</v>
      </c>
      <c r="B63" s="1269"/>
      <c r="C63" s="1269"/>
      <c r="D63" s="1341" t="str">
        <f t="shared" si="0"/>
        <v/>
      </c>
      <c r="E63" s="1341" t="str">
        <f t="shared" si="1"/>
        <v/>
      </c>
      <c r="F63" s="1341" t="str">
        <f t="shared" si="2"/>
        <v/>
      </c>
      <c r="G63" s="1343" t="str">
        <f t="shared" si="3"/>
        <v/>
      </c>
      <c r="H63" s="1343" t="str">
        <f t="shared" si="4"/>
        <v/>
      </c>
      <c r="I63" s="1178" t="e">
        <f t="shared" si="29"/>
        <v>#DIV/0!</v>
      </c>
      <c r="J63" s="1178" t="e">
        <f t="shared" si="29"/>
        <v>#DIV/0!</v>
      </c>
    </row>
    <row r="64" spans="1:10">
      <c r="A64" s="1178">
        <f t="shared" si="6"/>
        <v>59</v>
      </c>
      <c r="B64" s="1269"/>
      <c r="C64" s="1269"/>
      <c r="D64" s="1341" t="str">
        <f t="shared" si="0"/>
        <v/>
      </c>
      <c r="E64" s="1341" t="str">
        <f t="shared" si="1"/>
        <v/>
      </c>
      <c r="F64" s="1341" t="str">
        <f t="shared" si="2"/>
        <v/>
      </c>
      <c r="G64" s="1343" t="str">
        <f t="shared" si="3"/>
        <v/>
      </c>
      <c r="H64" s="1343" t="str">
        <f t="shared" si="4"/>
        <v/>
      </c>
      <c r="I64" s="1178" t="e">
        <f t="shared" si="29"/>
        <v>#DIV/0!</v>
      </c>
      <c r="J64" s="1178" t="e">
        <f t="shared" si="29"/>
        <v>#DIV/0!</v>
      </c>
    </row>
    <row r="65" spans="1:10">
      <c r="A65" s="1178">
        <f t="shared" si="6"/>
        <v>60</v>
      </c>
      <c r="B65" s="1269"/>
      <c r="C65" s="1269"/>
      <c r="D65" s="1341" t="str">
        <f t="shared" si="0"/>
        <v/>
      </c>
      <c r="E65" s="1341" t="str">
        <f t="shared" si="1"/>
        <v/>
      </c>
      <c r="F65" s="1341" t="str">
        <f t="shared" si="2"/>
        <v/>
      </c>
      <c r="G65" s="1343" t="str">
        <f t="shared" si="3"/>
        <v/>
      </c>
      <c r="H65" s="1343" t="str">
        <f t="shared" si="4"/>
        <v/>
      </c>
      <c r="I65" s="1178" t="e">
        <f t="shared" si="29"/>
        <v>#DIV/0!</v>
      </c>
      <c r="J65" s="1178" t="e">
        <f t="shared" si="29"/>
        <v>#DIV/0!</v>
      </c>
    </row>
    <row r="66" spans="1:10">
      <c r="A66" s="1178">
        <f t="shared" si="6"/>
        <v>61</v>
      </c>
      <c r="B66" s="1269"/>
      <c r="C66" s="1269"/>
      <c r="D66" s="1341" t="str">
        <f t="shared" si="0"/>
        <v/>
      </c>
      <c r="E66" s="1341" t="str">
        <f t="shared" si="1"/>
        <v/>
      </c>
      <c r="F66" s="1341" t="str">
        <f t="shared" si="2"/>
        <v/>
      </c>
      <c r="G66" s="1343" t="str">
        <f t="shared" si="3"/>
        <v/>
      </c>
      <c r="H66" s="1343" t="str">
        <f t="shared" si="4"/>
        <v/>
      </c>
      <c r="I66" s="1178" t="e">
        <f t="shared" si="29"/>
        <v>#DIV/0!</v>
      </c>
      <c r="J66" s="1178" t="e">
        <f t="shared" si="29"/>
        <v>#DIV/0!</v>
      </c>
    </row>
    <row r="67" spans="1:10">
      <c r="A67" s="1178">
        <f t="shared" si="6"/>
        <v>62</v>
      </c>
      <c r="B67" s="1269"/>
      <c r="C67" s="1269"/>
      <c r="D67" s="1341" t="str">
        <f t="shared" si="0"/>
        <v/>
      </c>
      <c r="E67" s="1341" t="str">
        <f t="shared" si="1"/>
        <v/>
      </c>
      <c r="F67" s="1341" t="str">
        <f t="shared" si="2"/>
        <v/>
      </c>
      <c r="G67" s="1343" t="str">
        <f t="shared" si="3"/>
        <v/>
      </c>
      <c r="H67" s="1343" t="str">
        <f t="shared" si="4"/>
        <v/>
      </c>
      <c r="I67" s="1178" t="e">
        <f t="shared" si="29"/>
        <v>#DIV/0!</v>
      </c>
      <c r="J67" s="1178" t="e">
        <f t="shared" si="29"/>
        <v>#DIV/0!</v>
      </c>
    </row>
    <row r="68" spans="1:10">
      <c r="A68" s="1178">
        <f t="shared" si="6"/>
        <v>63</v>
      </c>
      <c r="B68" s="1269"/>
      <c r="C68" s="1269"/>
      <c r="D68" s="1341" t="str">
        <f t="shared" si="0"/>
        <v/>
      </c>
      <c r="E68" s="1341" t="str">
        <f t="shared" si="1"/>
        <v/>
      </c>
      <c r="F68" s="1341" t="str">
        <f t="shared" si="2"/>
        <v/>
      </c>
      <c r="G68" s="1343" t="str">
        <f t="shared" si="3"/>
        <v/>
      </c>
      <c r="H68" s="1343" t="str">
        <f t="shared" si="4"/>
        <v/>
      </c>
      <c r="I68" s="1178" t="e">
        <f t="shared" si="29"/>
        <v>#DIV/0!</v>
      </c>
      <c r="J68" s="1178" t="e">
        <f t="shared" si="29"/>
        <v>#DIV/0!</v>
      </c>
    </row>
    <row r="69" spans="1:10">
      <c r="A69" s="1178">
        <f t="shared" si="6"/>
        <v>64</v>
      </c>
      <c r="B69" s="1269"/>
      <c r="C69" s="1269"/>
      <c r="D69" s="1341" t="str">
        <f t="shared" si="0"/>
        <v/>
      </c>
      <c r="E69" s="1341" t="str">
        <f t="shared" si="1"/>
        <v/>
      </c>
      <c r="F69" s="1341" t="str">
        <f t="shared" si="2"/>
        <v/>
      </c>
      <c r="G69" s="1343" t="str">
        <f t="shared" si="3"/>
        <v/>
      </c>
      <c r="H69" s="1343" t="str">
        <f t="shared" si="4"/>
        <v/>
      </c>
      <c r="I69" s="1178" t="e">
        <f t="shared" si="29"/>
        <v>#DIV/0!</v>
      </c>
      <c r="J69" s="1178" t="e">
        <f t="shared" si="29"/>
        <v>#DIV/0!</v>
      </c>
    </row>
    <row r="70" spans="1:10">
      <c r="A70" s="1178">
        <f t="shared" si="6"/>
        <v>65</v>
      </c>
      <c r="B70" s="1269"/>
      <c r="C70" s="1269"/>
      <c r="D70" s="1341" t="str">
        <f t="shared" si="0"/>
        <v/>
      </c>
      <c r="E70" s="1341" t="str">
        <f t="shared" si="1"/>
        <v/>
      </c>
      <c r="F70" s="1341" t="str">
        <f t="shared" si="2"/>
        <v/>
      </c>
      <c r="G70" s="1343" t="str">
        <f t="shared" si="3"/>
        <v/>
      </c>
      <c r="H70" s="1343" t="str">
        <f t="shared" si="4"/>
        <v/>
      </c>
      <c r="I70" s="1178" t="e">
        <f t="shared" si="29"/>
        <v>#DIV/0!</v>
      </c>
      <c r="J70" s="1178" t="e">
        <f t="shared" si="29"/>
        <v>#DIV/0!</v>
      </c>
    </row>
    <row r="71" spans="1:10">
      <c r="A71" s="1178">
        <f t="shared" si="6"/>
        <v>66</v>
      </c>
      <c r="B71" s="1269"/>
      <c r="C71" s="1269"/>
      <c r="D71" s="1341" t="str">
        <f t="shared" si="0"/>
        <v/>
      </c>
      <c r="E71" s="1341" t="str">
        <f t="shared" si="1"/>
        <v/>
      </c>
      <c r="F71" s="1341" t="str">
        <f t="shared" si="2"/>
        <v/>
      </c>
      <c r="G71" s="1343" t="str">
        <f t="shared" si="3"/>
        <v/>
      </c>
      <c r="H71" s="1343" t="str">
        <f t="shared" si="4"/>
        <v/>
      </c>
      <c r="I71" s="1178" t="e">
        <f t="shared" ref="I71:J86" si="30">I70</f>
        <v>#DIV/0!</v>
      </c>
      <c r="J71" s="1178" t="e">
        <f t="shared" si="30"/>
        <v>#DIV/0!</v>
      </c>
    </row>
    <row r="72" spans="1:10">
      <c r="A72" s="1178">
        <f t="shared" si="6"/>
        <v>67</v>
      </c>
      <c r="B72" s="1269"/>
      <c r="C72" s="1269"/>
      <c r="D72" s="1341" t="str">
        <f t="shared" si="0"/>
        <v/>
      </c>
      <c r="E72" s="1341" t="str">
        <f t="shared" si="1"/>
        <v/>
      </c>
      <c r="F72" s="1341" t="str">
        <f t="shared" si="2"/>
        <v/>
      </c>
      <c r="G72" s="1343" t="str">
        <f t="shared" si="3"/>
        <v/>
      </c>
      <c r="H72" s="1343" t="str">
        <f t="shared" si="4"/>
        <v/>
      </c>
      <c r="I72" s="1178" t="e">
        <f t="shared" si="30"/>
        <v>#DIV/0!</v>
      </c>
      <c r="J72" s="1178" t="e">
        <f t="shared" si="30"/>
        <v>#DIV/0!</v>
      </c>
    </row>
    <row r="73" spans="1:10">
      <c r="A73" s="1178">
        <f t="shared" si="6"/>
        <v>68</v>
      </c>
      <c r="B73" s="1269"/>
      <c r="C73" s="1269"/>
      <c r="D73" s="1341" t="str">
        <f t="shared" si="0"/>
        <v/>
      </c>
      <c r="E73" s="1341" t="str">
        <f t="shared" si="1"/>
        <v/>
      </c>
      <c r="F73" s="1341" t="str">
        <f t="shared" si="2"/>
        <v/>
      </c>
      <c r="G73" s="1343" t="str">
        <f t="shared" si="3"/>
        <v/>
      </c>
      <c r="H73" s="1343" t="str">
        <f t="shared" si="4"/>
        <v/>
      </c>
      <c r="I73" s="1178" t="e">
        <f t="shared" si="30"/>
        <v>#DIV/0!</v>
      </c>
      <c r="J73" s="1178" t="e">
        <f t="shared" si="30"/>
        <v>#DIV/0!</v>
      </c>
    </row>
    <row r="74" spans="1:10">
      <c r="A74" s="1178">
        <f t="shared" si="6"/>
        <v>69</v>
      </c>
      <c r="B74" s="1269"/>
      <c r="C74" s="1269"/>
      <c r="D74" s="1341" t="str">
        <f t="shared" si="0"/>
        <v/>
      </c>
      <c r="E74" s="1341" t="str">
        <f t="shared" si="1"/>
        <v/>
      </c>
      <c r="F74" s="1341" t="str">
        <f t="shared" si="2"/>
        <v/>
      </c>
      <c r="G74" s="1343" t="str">
        <f t="shared" si="3"/>
        <v/>
      </c>
      <c r="H74" s="1343" t="str">
        <f t="shared" si="4"/>
        <v/>
      </c>
      <c r="I74" s="1178" t="e">
        <f t="shared" si="30"/>
        <v>#DIV/0!</v>
      </c>
      <c r="J74" s="1178" t="e">
        <f t="shared" si="30"/>
        <v>#DIV/0!</v>
      </c>
    </row>
    <row r="75" spans="1:10">
      <c r="A75" s="1178">
        <f t="shared" si="6"/>
        <v>70</v>
      </c>
      <c r="B75" s="1269"/>
      <c r="C75" s="1269"/>
      <c r="D75" s="1341" t="str">
        <f t="shared" si="0"/>
        <v/>
      </c>
      <c r="E75" s="1341" t="str">
        <f t="shared" si="1"/>
        <v/>
      </c>
      <c r="F75" s="1341" t="str">
        <f t="shared" si="2"/>
        <v/>
      </c>
      <c r="G75" s="1343" t="str">
        <f t="shared" si="3"/>
        <v/>
      </c>
      <c r="H75" s="1343" t="str">
        <f t="shared" si="4"/>
        <v/>
      </c>
      <c r="I75" s="1178" t="e">
        <f t="shared" si="30"/>
        <v>#DIV/0!</v>
      </c>
      <c r="J75" s="1178" t="e">
        <f t="shared" si="30"/>
        <v>#DIV/0!</v>
      </c>
    </row>
    <row r="76" spans="1:10">
      <c r="A76" s="1178">
        <f t="shared" si="6"/>
        <v>71</v>
      </c>
      <c r="B76" s="1269"/>
      <c r="C76" s="1269"/>
      <c r="D76" s="1341" t="str">
        <f t="shared" si="0"/>
        <v/>
      </c>
      <c r="E76" s="1341" t="str">
        <f t="shared" si="1"/>
        <v/>
      </c>
      <c r="F76" s="1341" t="str">
        <f t="shared" si="2"/>
        <v/>
      </c>
      <c r="G76" s="1343" t="str">
        <f t="shared" si="3"/>
        <v/>
      </c>
      <c r="H76" s="1343" t="str">
        <f t="shared" si="4"/>
        <v/>
      </c>
      <c r="I76" s="1178" t="e">
        <f t="shared" si="30"/>
        <v>#DIV/0!</v>
      </c>
      <c r="J76" s="1178" t="e">
        <f t="shared" si="30"/>
        <v>#DIV/0!</v>
      </c>
    </row>
    <row r="77" spans="1:10">
      <c r="A77" s="1178">
        <f t="shared" si="6"/>
        <v>72</v>
      </c>
      <c r="B77" s="1269"/>
      <c r="C77" s="1269"/>
      <c r="D77" s="1341" t="str">
        <f t="shared" si="0"/>
        <v/>
      </c>
      <c r="E77" s="1341" t="str">
        <f t="shared" si="1"/>
        <v/>
      </c>
      <c r="F77" s="1341" t="str">
        <f t="shared" si="2"/>
        <v/>
      </c>
      <c r="G77" s="1343" t="str">
        <f t="shared" si="3"/>
        <v/>
      </c>
      <c r="H77" s="1343" t="str">
        <f t="shared" si="4"/>
        <v/>
      </c>
      <c r="I77" s="1178" t="e">
        <f t="shared" si="30"/>
        <v>#DIV/0!</v>
      </c>
      <c r="J77" s="1178" t="e">
        <f t="shared" si="30"/>
        <v>#DIV/0!</v>
      </c>
    </row>
    <row r="78" spans="1:10">
      <c r="A78" s="1178">
        <f t="shared" si="6"/>
        <v>73</v>
      </c>
      <c r="B78" s="1269"/>
      <c r="C78" s="1269"/>
      <c r="D78" s="1341" t="str">
        <f t="shared" si="0"/>
        <v/>
      </c>
      <c r="E78" s="1341" t="str">
        <f t="shared" si="1"/>
        <v/>
      </c>
      <c r="F78" s="1341" t="str">
        <f t="shared" si="2"/>
        <v/>
      </c>
      <c r="G78" s="1343" t="str">
        <f t="shared" si="3"/>
        <v/>
      </c>
      <c r="H78" s="1343" t="str">
        <f t="shared" si="4"/>
        <v/>
      </c>
      <c r="I78" s="1178" t="e">
        <f t="shared" si="30"/>
        <v>#DIV/0!</v>
      </c>
      <c r="J78" s="1178" t="e">
        <f t="shared" si="30"/>
        <v>#DIV/0!</v>
      </c>
    </row>
    <row r="79" spans="1:10">
      <c r="A79" s="1178">
        <f t="shared" si="6"/>
        <v>74</v>
      </c>
      <c r="B79" s="1269"/>
      <c r="C79" s="1269"/>
      <c r="D79" s="1341" t="str">
        <f t="shared" si="0"/>
        <v/>
      </c>
      <c r="E79" s="1341" t="str">
        <f t="shared" si="1"/>
        <v/>
      </c>
      <c r="F79" s="1341" t="str">
        <f t="shared" si="2"/>
        <v/>
      </c>
      <c r="G79" s="1343" t="str">
        <f t="shared" si="3"/>
        <v/>
      </c>
      <c r="H79" s="1343" t="str">
        <f t="shared" si="4"/>
        <v/>
      </c>
      <c r="I79" s="1178" t="e">
        <f t="shared" si="30"/>
        <v>#DIV/0!</v>
      </c>
      <c r="J79" s="1178" t="e">
        <f t="shared" si="30"/>
        <v>#DIV/0!</v>
      </c>
    </row>
    <row r="80" spans="1:10">
      <c r="A80" s="1178">
        <f t="shared" si="6"/>
        <v>75</v>
      </c>
      <c r="B80" s="1269"/>
      <c r="C80" s="1269"/>
      <c r="D80" s="1341" t="str">
        <f t="shared" si="0"/>
        <v/>
      </c>
      <c r="E80" s="1341" t="str">
        <f t="shared" si="1"/>
        <v/>
      </c>
      <c r="F80" s="1341" t="str">
        <f t="shared" si="2"/>
        <v/>
      </c>
      <c r="G80" s="1343" t="str">
        <f t="shared" si="3"/>
        <v/>
      </c>
      <c r="H80" s="1343" t="str">
        <f t="shared" si="4"/>
        <v/>
      </c>
      <c r="I80" s="1178" t="e">
        <f t="shared" si="30"/>
        <v>#DIV/0!</v>
      </c>
      <c r="J80" s="1178" t="e">
        <f t="shared" si="30"/>
        <v>#DIV/0!</v>
      </c>
    </row>
    <row r="81" spans="1:10">
      <c r="A81" s="1178">
        <f t="shared" si="6"/>
        <v>76</v>
      </c>
      <c r="B81" s="1269"/>
      <c r="C81" s="1269"/>
      <c r="D81" s="1341" t="str">
        <f t="shared" si="0"/>
        <v/>
      </c>
      <c r="E81" s="1341" t="str">
        <f t="shared" si="1"/>
        <v/>
      </c>
      <c r="F81" s="1341" t="str">
        <f t="shared" si="2"/>
        <v/>
      </c>
      <c r="G81" s="1343" t="str">
        <f t="shared" si="3"/>
        <v/>
      </c>
      <c r="H81" s="1343" t="str">
        <f t="shared" si="4"/>
        <v/>
      </c>
      <c r="I81" s="1178" t="e">
        <f t="shared" si="30"/>
        <v>#DIV/0!</v>
      </c>
      <c r="J81" s="1178" t="e">
        <f t="shared" si="30"/>
        <v>#DIV/0!</v>
      </c>
    </row>
    <row r="82" spans="1:10">
      <c r="A82" s="1178">
        <f t="shared" si="6"/>
        <v>77</v>
      </c>
      <c r="B82" s="1269"/>
      <c r="C82" s="1269"/>
      <c r="D82" s="1341" t="str">
        <f t="shared" si="0"/>
        <v/>
      </c>
      <c r="E82" s="1341" t="str">
        <f t="shared" si="1"/>
        <v/>
      </c>
      <c r="F82" s="1341" t="str">
        <f t="shared" si="2"/>
        <v/>
      </c>
      <c r="G82" s="1343" t="str">
        <f t="shared" si="3"/>
        <v/>
      </c>
      <c r="H82" s="1343" t="str">
        <f t="shared" si="4"/>
        <v/>
      </c>
      <c r="I82" s="1178" t="e">
        <f t="shared" si="30"/>
        <v>#DIV/0!</v>
      </c>
      <c r="J82" s="1178" t="e">
        <f t="shared" si="30"/>
        <v>#DIV/0!</v>
      </c>
    </row>
    <row r="83" spans="1:10">
      <c r="A83" s="1178">
        <f t="shared" si="6"/>
        <v>78</v>
      </c>
      <c r="B83" s="1269"/>
      <c r="C83" s="1269"/>
      <c r="D83" s="1341" t="str">
        <f t="shared" si="0"/>
        <v/>
      </c>
      <c r="E83" s="1341" t="str">
        <f t="shared" si="1"/>
        <v/>
      </c>
      <c r="F83" s="1341" t="str">
        <f t="shared" si="2"/>
        <v/>
      </c>
      <c r="G83" s="1343" t="str">
        <f t="shared" si="3"/>
        <v/>
      </c>
      <c r="H83" s="1343" t="str">
        <f t="shared" si="4"/>
        <v/>
      </c>
      <c r="I83" s="1178" t="e">
        <f t="shared" si="30"/>
        <v>#DIV/0!</v>
      </c>
      <c r="J83" s="1178" t="e">
        <f t="shared" si="30"/>
        <v>#DIV/0!</v>
      </c>
    </row>
    <row r="84" spans="1:10">
      <c r="A84" s="1178">
        <f t="shared" si="6"/>
        <v>79</v>
      </c>
      <c r="B84" s="1269"/>
      <c r="C84" s="1269"/>
      <c r="D84" s="1341" t="str">
        <f t="shared" si="0"/>
        <v/>
      </c>
      <c r="E84" s="1341" t="str">
        <f t="shared" si="1"/>
        <v/>
      </c>
      <c r="F84" s="1341" t="str">
        <f t="shared" si="2"/>
        <v/>
      </c>
      <c r="G84" s="1343" t="str">
        <f t="shared" si="3"/>
        <v/>
      </c>
      <c r="H84" s="1343" t="str">
        <f t="shared" si="4"/>
        <v/>
      </c>
      <c r="I84" s="1178" t="e">
        <f t="shared" si="30"/>
        <v>#DIV/0!</v>
      </c>
      <c r="J84" s="1178" t="e">
        <f t="shared" si="30"/>
        <v>#DIV/0!</v>
      </c>
    </row>
    <row r="85" spans="1:10">
      <c r="A85" s="1178">
        <f t="shared" si="6"/>
        <v>80</v>
      </c>
      <c r="B85" s="1269"/>
      <c r="C85" s="1269"/>
      <c r="D85" s="1341" t="str">
        <f t="shared" si="0"/>
        <v/>
      </c>
      <c r="E85" s="1341" t="str">
        <f t="shared" si="1"/>
        <v/>
      </c>
      <c r="F85" s="1341" t="str">
        <f t="shared" si="2"/>
        <v/>
      </c>
      <c r="G85" s="1343" t="str">
        <f t="shared" si="3"/>
        <v/>
      </c>
      <c r="H85" s="1343" t="str">
        <f t="shared" si="4"/>
        <v/>
      </c>
      <c r="I85" s="1178" t="e">
        <f t="shared" si="30"/>
        <v>#DIV/0!</v>
      </c>
      <c r="J85" s="1178" t="e">
        <f t="shared" si="30"/>
        <v>#DIV/0!</v>
      </c>
    </row>
    <row r="86" spans="1:10">
      <c r="A86" s="1178">
        <f t="shared" si="6"/>
        <v>81</v>
      </c>
      <c r="B86" s="1269"/>
      <c r="C86" s="1269"/>
      <c r="D86" s="1341" t="str">
        <f t="shared" si="0"/>
        <v/>
      </c>
      <c r="E86" s="1341" t="str">
        <f t="shared" si="1"/>
        <v/>
      </c>
      <c r="F86" s="1341" t="str">
        <f t="shared" si="2"/>
        <v/>
      </c>
      <c r="G86" s="1343" t="str">
        <f t="shared" si="3"/>
        <v/>
      </c>
      <c r="H86" s="1343" t="str">
        <f t="shared" si="4"/>
        <v/>
      </c>
      <c r="I86" s="1178" t="e">
        <f t="shared" si="30"/>
        <v>#DIV/0!</v>
      </c>
      <c r="J86" s="1178" t="e">
        <f t="shared" si="30"/>
        <v>#DIV/0!</v>
      </c>
    </row>
    <row r="87" spans="1:10">
      <c r="A87" s="1178">
        <f t="shared" si="6"/>
        <v>82</v>
      </c>
      <c r="B87" s="1269"/>
      <c r="C87" s="1269"/>
      <c r="D87" s="1341" t="str">
        <f t="shared" si="0"/>
        <v/>
      </c>
      <c r="E87" s="1341" t="str">
        <f t="shared" si="1"/>
        <v/>
      </c>
      <c r="F87" s="1341" t="str">
        <f t="shared" si="2"/>
        <v/>
      </c>
      <c r="G87" s="1343" t="str">
        <f t="shared" si="3"/>
        <v/>
      </c>
      <c r="H87" s="1343" t="str">
        <f t="shared" si="4"/>
        <v/>
      </c>
      <c r="I87" s="1178" t="e">
        <f t="shared" ref="I87:J102" si="31">I86</f>
        <v>#DIV/0!</v>
      </c>
      <c r="J87" s="1178" t="e">
        <f t="shared" si="31"/>
        <v>#DIV/0!</v>
      </c>
    </row>
    <row r="88" spans="1:10">
      <c r="A88" s="1178">
        <f t="shared" si="6"/>
        <v>83</v>
      </c>
      <c r="B88" s="1269"/>
      <c r="C88" s="1269"/>
      <c r="D88" s="1341" t="str">
        <f t="shared" si="0"/>
        <v/>
      </c>
      <c r="E88" s="1341" t="str">
        <f t="shared" si="1"/>
        <v/>
      </c>
      <c r="F88" s="1341" t="str">
        <f t="shared" si="2"/>
        <v/>
      </c>
      <c r="G88" s="1343" t="str">
        <f t="shared" si="3"/>
        <v/>
      </c>
      <c r="H88" s="1343" t="str">
        <f t="shared" si="4"/>
        <v/>
      </c>
      <c r="I88" s="1178" t="e">
        <f t="shared" si="31"/>
        <v>#DIV/0!</v>
      </c>
      <c r="J88" s="1178" t="e">
        <f t="shared" si="31"/>
        <v>#DIV/0!</v>
      </c>
    </row>
    <row r="89" spans="1:10">
      <c r="A89" s="1178">
        <f t="shared" si="6"/>
        <v>84</v>
      </c>
      <c r="B89" s="1269"/>
      <c r="C89" s="1269"/>
      <c r="D89" s="1341" t="str">
        <f t="shared" si="0"/>
        <v/>
      </c>
      <c r="E89" s="1341" t="str">
        <f t="shared" si="1"/>
        <v/>
      </c>
      <c r="F89" s="1341" t="str">
        <f t="shared" si="2"/>
        <v/>
      </c>
      <c r="G89" s="1343" t="str">
        <f t="shared" si="3"/>
        <v/>
      </c>
      <c r="H89" s="1343" t="str">
        <f t="shared" si="4"/>
        <v/>
      </c>
      <c r="I89" s="1178" t="e">
        <f t="shared" si="31"/>
        <v>#DIV/0!</v>
      </c>
      <c r="J89" s="1178" t="e">
        <f t="shared" si="31"/>
        <v>#DIV/0!</v>
      </c>
    </row>
    <row r="90" spans="1:10">
      <c r="A90" s="1178">
        <f t="shared" si="6"/>
        <v>85</v>
      </c>
      <c r="B90" s="1269"/>
      <c r="C90" s="1269"/>
      <c r="D90" s="1341" t="str">
        <f t="shared" si="0"/>
        <v/>
      </c>
      <c r="E90" s="1341" t="str">
        <f t="shared" si="1"/>
        <v/>
      </c>
      <c r="F90" s="1341" t="str">
        <f t="shared" si="2"/>
        <v/>
      </c>
      <c r="G90" s="1343" t="str">
        <f t="shared" si="3"/>
        <v/>
      </c>
      <c r="H90" s="1343" t="str">
        <f t="shared" si="4"/>
        <v/>
      </c>
      <c r="I90" s="1178" t="e">
        <f t="shared" si="31"/>
        <v>#DIV/0!</v>
      </c>
      <c r="J90" s="1178" t="e">
        <f t="shared" si="31"/>
        <v>#DIV/0!</v>
      </c>
    </row>
    <row r="91" spans="1:10">
      <c r="A91" s="1178">
        <f t="shared" si="6"/>
        <v>86</v>
      </c>
      <c r="B91" s="1269"/>
      <c r="C91" s="1269"/>
      <c r="D91" s="1341" t="str">
        <f t="shared" si="0"/>
        <v/>
      </c>
      <c r="E91" s="1341" t="str">
        <f t="shared" si="1"/>
        <v/>
      </c>
      <c r="F91" s="1341" t="str">
        <f t="shared" si="2"/>
        <v/>
      </c>
      <c r="G91" s="1343" t="str">
        <f t="shared" si="3"/>
        <v/>
      </c>
      <c r="H91" s="1343" t="str">
        <f t="shared" si="4"/>
        <v/>
      </c>
      <c r="I91" s="1178" t="e">
        <f t="shared" si="31"/>
        <v>#DIV/0!</v>
      </c>
      <c r="J91" s="1178" t="e">
        <f t="shared" si="31"/>
        <v>#DIV/0!</v>
      </c>
    </row>
    <row r="92" spans="1:10">
      <c r="A92" s="1178">
        <f t="shared" si="6"/>
        <v>87</v>
      </c>
      <c r="B92" s="1269"/>
      <c r="C92" s="1269"/>
      <c r="D92" s="1341" t="str">
        <f t="shared" si="0"/>
        <v/>
      </c>
      <c r="E92" s="1341" t="str">
        <f t="shared" si="1"/>
        <v/>
      </c>
      <c r="F92" s="1341" t="str">
        <f t="shared" si="2"/>
        <v/>
      </c>
      <c r="G92" s="1343" t="str">
        <f t="shared" si="3"/>
        <v/>
      </c>
      <c r="H92" s="1343" t="str">
        <f t="shared" si="4"/>
        <v/>
      </c>
      <c r="I92" s="1178" t="e">
        <f t="shared" si="31"/>
        <v>#DIV/0!</v>
      </c>
      <c r="J92" s="1178" t="e">
        <f t="shared" si="31"/>
        <v>#DIV/0!</v>
      </c>
    </row>
    <row r="93" spans="1:10">
      <c r="A93" s="1178">
        <f t="shared" si="6"/>
        <v>88</v>
      </c>
      <c r="B93" s="1269"/>
      <c r="C93" s="1269"/>
      <c r="D93" s="1341" t="str">
        <f t="shared" si="0"/>
        <v/>
      </c>
      <c r="E93" s="1341" t="str">
        <f t="shared" si="1"/>
        <v/>
      </c>
      <c r="F93" s="1341" t="str">
        <f t="shared" si="2"/>
        <v/>
      </c>
      <c r="G93" s="1343" t="str">
        <f t="shared" si="3"/>
        <v/>
      </c>
      <c r="H93" s="1343" t="str">
        <f t="shared" si="4"/>
        <v/>
      </c>
      <c r="I93" s="1178" t="e">
        <f t="shared" si="31"/>
        <v>#DIV/0!</v>
      </c>
      <c r="J93" s="1178" t="e">
        <f t="shared" si="31"/>
        <v>#DIV/0!</v>
      </c>
    </row>
    <row r="94" spans="1:10">
      <c r="A94" s="1178">
        <f t="shared" si="6"/>
        <v>89</v>
      </c>
      <c r="B94" s="1269"/>
      <c r="C94" s="1269"/>
      <c r="D94" s="1341" t="str">
        <f t="shared" si="0"/>
        <v/>
      </c>
      <c r="E94" s="1341" t="str">
        <f t="shared" si="1"/>
        <v/>
      </c>
      <c r="F94" s="1341" t="str">
        <f t="shared" si="2"/>
        <v/>
      </c>
      <c r="G94" s="1343" t="str">
        <f t="shared" si="3"/>
        <v/>
      </c>
      <c r="H94" s="1343" t="str">
        <f t="shared" si="4"/>
        <v/>
      </c>
      <c r="I94" s="1178" t="e">
        <f t="shared" si="31"/>
        <v>#DIV/0!</v>
      </c>
      <c r="J94" s="1178" t="e">
        <f t="shared" si="31"/>
        <v>#DIV/0!</v>
      </c>
    </row>
    <row r="95" spans="1:10">
      <c r="A95" s="1178">
        <f t="shared" si="6"/>
        <v>90</v>
      </c>
      <c r="B95" s="1269"/>
      <c r="C95" s="1269"/>
      <c r="D95" s="1341" t="str">
        <f t="shared" si="0"/>
        <v/>
      </c>
      <c r="E95" s="1341" t="str">
        <f t="shared" si="1"/>
        <v/>
      </c>
      <c r="F95" s="1341" t="str">
        <f t="shared" si="2"/>
        <v/>
      </c>
      <c r="G95" s="1343" t="str">
        <f t="shared" si="3"/>
        <v/>
      </c>
      <c r="H95" s="1343" t="str">
        <f t="shared" si="4"/>
        <v/>
      </c>
      <c r="I95" s="1178" t="e">
        <f t="shared" si="31"/>
        <v>#DIV/0!</v>
      </c>
      <c r="J95" s="1178" t="e">
        <f t="shared" si="31"/>
        <v>#DIV/0!</v>
      </c>
    </row>
    <row r="96" spans="1:10">
      <c r="A96" s="1178">
        <f t="shared" si="6"/>
        <v>91</v>
      </c>
      <c r="B96" s="1269"/>
      <c r="C96" s="1269"/>
      <c r="D96" s="1341" t="str">
        <f t="shared" si="0"/>
        <v/>
      </c>
      <c r="E96" s="1341" t="str">
        <f t="shared" si="1"/>
        <v/>
      </c>
      <c r="F96" s="1341" t="str">
        <f t="shared" si="2"/>
        <v/>
      </c>
      <c r="G96" s="1343" t="str">
        <f t="shared" si="3"/>
        <v/>
      </c>
      <c r="H96" s="1343" t="str">
        <f t="shared" si="4"/>
        <v/>
      </c>
      <c r="I96" s="1178" t="e">
        <f t="shared" si="31"/>
        <v>#DIV/0!</v>
      </c>
      <c r="J96" s="1178" t="e">
        <f t="shared" si="31"/>
        <v>#DIV/0!</v>
      </c>
    </row>
    <row r="97" spans="1:10">
      <c r="A97" s="1178">
        <f t="shared" si="6"/>
        <v>92</v>
      </c>
      <c r="B97" s="1269"/>
      <c r="C97" s="1269"/>
      <c r="D97" s="1341" t="str">
        <f t="shared" si="0"/>
        <v/>
      </c>
      <c r="E97" s="1341" t="str">
        <f t="shared" si="1"/>
        <v/>
      </c>
      <c r="F97" s="1341" t="str">
        <f t="shared" si="2"/>
        <v/>
      </c>
      <c r="G97" s="1343" t="str">
        <f t="shared" si="3"/>
        <v/>
      </c>
      <c r="H97" s="1343" t="str">
        <f t="shared" si="4"/>
        <v/>
      </c>
      <c r="I97" s="1178" t="e">
        <f t="shared" si="31"/>
        <v>#DIV/0!</v>
      </c>
      <c r="J97" s="1178" t="e">
        <f t="shared" si="31"/>
        <v>#DIV/0!</v>
      </c>
    </row>
    <row r="98" spans="1:10">
      <c r="A98" s="1178">
        <f t="shared" si="6"/>
        <v>93</v>
      </c>
      <c r="B98" s="1269"/>
      <c r="C98" s="1269"/>
      <c r="D98" s="1341" t="str">
        <f t="shared" si="0"/>
        <v/>
      </c>
      <c r="E98" s="1341" t="str">
        <f t="shared" si="1"/>
        <v/>
      </c>
      <c r="F98" s="1341" t="str">
        <f t="shared" si="2"/>
        <v/>
      </c>
      <c r="G98" s="1343" t="str">
        <f t="shared" si="3"/>
        <v/>
      </c>
      <c r="H98" s="1343" t="str">
        <f t="shared" si="4"/>
        <v/>
      </c>
      <c r="I98" s="1178" t="e">
        <f t="shared" si="31"/>
        <v>#DIV/0!</v>
      </c>
      <c r="J98" s="1178" t="e">
        <f t="shared" si="31"/>
        <v>#DIV/0!</v>
      </c>
    </row>
    <row r="99" spans="1:10">
      <c r="A99" s="1178">
        <f t="shared" si="6"/>
        <v>94</v>
      </c>
      <c r="B99" s="1269"/>
      <c r="C99" s="1269"/>
      <c r="D99" s="1341" t="str">
        <f t="shared" si="0"/>
        <v/>
      </c>
      <c r="E99" s="1341" t="str">
        <f t="shared" si="1"/>
        <v/>
      </c>
      <c r="F99" s="1341" t="str">
        <f t="shared" si="2"/>
        <v/>
      </c>
      <c r="G99" s="1343" t="str">
        <f t="shared" si="3"/>
        <v/>
      </c>
      <c r="H99" s="1343" t="str">
        <f t="shared" si="4"/>
        <v/>
      </c>
      <c r="I99" s="1178" t="e">
        <f t="shared" si="31"/>
        <v>#DIV/0!</v>
      </c>
      <c r="J99" s="1178" t="e">
        <f t="shared" si="31"/>
        <v>#DIV/0!</v>
      </c>
    </row>
    <row r="100" spans="1:10">
      <c r="A100" s="1178">
        <f t="shared" si="6"/>
        <v>95</v>
      </c>
      <c r="B100" s="1269"/>
      <c r="C100" s="1269"/>
      <c r="D100" s="1341" t="str">
        <f t="shared" si="0"/>
        <v/>
      </c>
      <c r="E100" s="1341" t="str">
        <f t="shared" si="1"/>
        <v/>
      </c>
      <c r="F100" s="1341" t="str">
        <f t="shared" si="2"/>
        <v/>
      </c>
      <c r="G100" s="1343" t="str">
        <f t="shared" si="3"/>
        <v/>
      </c>
      <c r="H100" s="1343" t="str">
        <f t="shared" si="4"/>
        <v/>
      </c>
      <c r="I100" s="1178" t="e">
        <f t="shared" si="31"/>
        <v>#DIV/0!</v>
      </c>
      <c r="J100" s="1178" t="e">
        <f t="shared" si="31"/>
        <v>#DIV/0!</v>
      </c>
    </row>
    <row r="101" spans="1:10">
      <c r="A101" s="1178">
        <f t="shared" si="6"/>
        <v>96</v>
      </c>
      <c r="B101" s="1269"/>
      <c r="C101" s="1269"/>
      <c r="D101" s="1341" t="str">
        <f t="shared" si="0"/>
        <v/>
      </c>
      <c r="E101" s="1341" t="str">
        <f t="shared" si="1"/>
        <v/>
      </c>
      <c r="F101" s="1341" t="str">
        <f t="shared" si="2"/>
        <v/>
      </c>
      <c r="G101" s="1343" t="str">
        <f t="shared" si="3"/>
        <v/>
      </c>
      <c r="H101" s="1343" t="str">
        <f t="shared" si="4"/>
        <v/>
      </c>
      <c r="I101" s="1178" t="e">
        <f t="shared" si="31"/>
        <v>#DIV/0!</v>
      </c>
      <c r="J101" s="1178" t="e">
        <f t="shared" si="31"/>
        <v>#DIV/0!</v>
      </c>
    </row>
    <row r="102" spans="1:10">
      <c r="A102" s="1178">
        <f t="shared" si="6"/>
        <v>97</v>
      </c>
      <c r="B102" s="1269"/>
      <c r="C102" s="1269"/>
      <c r="D102" s="1341" t="str">
        <f t="shared" si="0"/>
        <v/>
      </c>
      <c r="E102" s="1341" t="str">
        <f t="shared" si="1"/>
        <v/>
      </c>
      <c r="F102" s="1341" t="str">
        <f t="shared" si="2"/>
        <v/>
      </c>
      <c r="G102" s="1343" t="str">
        <f t="shared" si="3"/>
        <v/>
      </c>
      <c r="H102" s="1343" t="str">
        <f t="shared" si="4"/>
        <v/>
      </c>
      <c r="I102" s="1178" t="e">
        <f t="shared" si="31"/>
        <v>#DIV/0!</v>
      </c>
      <c r="J102" s="1178" t="e">
        <f t="shared" si="31"/>
        <v>#DIV/0!</v>
      </c>
    </row>
    <row r="103" spans="1:10">
      <c r="A103" s="1178">
        <f t="shared" si="6"/>
        <v>98</v>
      </c>
      <c r="B103" s="1269"/>
      <c r="C103" s="1269"/>
      <c r="D103" s="1341" t="str">
        <f t="shared" si="0"/>
        <v/>
      </c>
      <c r="E103" s="1341" t="str">
        <f t="shared" si="1"/>
        <v/>
      </c>
      <c r="F103" s="1341" t="str">
        <f t="shared" si="2"/>
        <v/>
      </c>
      <c r="G103" s="1343" t="str">
        <f t="shared" si="3"/>
        <v/>
      </c>
      <c r="H103" s="1343" t="str">
        <f t="shared" si="4"/>
        <v/>
      </c>
      <c r="I103" s="1178" t="e">
        <f t="shared" ref="I103:J118" si="32">I102</f>
        <v>#DIV/0!</v>
      </c>
      <c r="J103" s="1178" t="e">
        <f t="shared" si="32"/>
        <v>#DIV/0!</v>
      </c>
    </row>
    <row r="104" spans="1:10">
      <c r="A104" s="1178">
        <f t="shared" si="6"/>
        <v>99</v>
      </c>
      <c r="B104" s="1269"/>
      <c r="C104" s="1269"/>
      <c r="D104" s="1341" t="str">
        <f t="shared" si="0"/>
        <v/>
      </c>
      <c r="E104" s="1341" t="str">
        <f t="shared" si="1"/>
        <v/>
      </c>
      <c r="F104" s="1341" t="str">
        <f t="shared" si="2"/>
        <v/>
      </c>
      <c r="G104" s="1343" t="str">
        <f t="shared" si="3"/>
        <v/>
      </c>
      <c r="H104" s="1343" t="str">
        <f t="shared" si="4"/>
        <v/>
      </c>
      <c r="I104" s="1178" t="e">
        <f t="shared" si="32"/>
        <v>#DIV/0!</v>
      </c>
      <c r="J104" s="1178" t="e">
        <f t="shared" si="32"/>
        <v>#DIV/0!</v>
      </c>
    </row>
    <row r="105" spans="1:10">
      <c r="A105" s="1178">
        <f t="shared" si="6"/>
        <v>100</v>
      </c>
      <c r="B105" s="1269"/>
      <c r="C105" s="1269"/>
      <c r="D105" s="1341" t="str">
        <f t="shared" si="0"/>
        <v/>
      </c>
      <c r="E105" s="1341" t="str">
        <f t="shared" si="1"/>
        <v/>
      </c>
      <c r="F105" s="1341" t="str">
        <f t="shared" si="2"/>
        <v/>
      </c>
      <c r="G105" s="1343" t="str">
        <f t="shared" si="3"/>
        <v/>
      </c>
      <c r="H105" s="1343" t="str">
        <f t="shared" si="4"/>
        <v/>
      </c>
      <c r="I105" s="1178" t="e">
        <f t="shared" si="32"/>
        <v>#DIV/0!</v>
      </c>
      <c r="J105" s="1178" t="e">
        <f t="shared" si="32"/>
        <v>#DIV/0!</v>
      </c>
    </row>
    <row r="106" spans="1:10">
      <c r="A106" s="1178">
        <f t="shared" si="6"/>
        <v>101</v>
      </c>
      <c r="B106" s="1269"/>
      <c r="C106" s="1269"/>
      <c r="D106" s="1341" t="str">
        <f t="shared" si="0"/>
        <v/>
      </c>
      <c r="E106" s="1341" t="str">
        <f t="shared" si="1"/>
        <v/>
      </c>
      <c r="F106" s="1341" t="str">
        <f t="shared" si="2"/>
        <v/>
      </c>
      <c r="G106" s="1343" t="str">
        <f t="shared" si="3"/>
        <v/>
      </c>
      <c r="H106" s="1343" t="str">
        <f t="shared" si="4"/>
        <v/>
      </c>
      <c r="I106" s="1178" t="e">
        <f t="shared" si="32"/>
        <v>#DIV/0!</v>
      </c>
      <c r="J106" s="1178" t="e">
        <f t="shared" si="32"/>
        <v>#DIV/0!</v>
      </c>
    </row>
    <row r="107" spans="1:10">
      <c r="A107" s="1178">
        <f t="shared" si="6"/>
        <v>102</v>
      </c>
      <c r="B107" s="1269"/>
      <c r="C107" s="1269"/>
      <c r="D107" s="1341" t="str">
        <f t="shared" si="0"/>
        <v/>
      </c>
      <c r="E107" s="1341" t="str">
        <f t="shared" si="1"/>
        <v/>
      </c>
      <c r="F107" s="1341" t="str">
        <f t="shared" si="2"/>
        <v/>
      </c>
      <c r="G107" s="1343" t="str">
        <f t="shared" si="3"/>
        <v/>
      </c>
      <c r="H107" s="1343" t="str">
        <f t="shared" si="4"/>
        <v/>
      </c>
      <c r="I107" s="1178" t="e">
        <f t="shared" si="32"/>
        <v>#DIV/0!</v>
      </c>
      <c r="J107" s="1178" t="e">
        <f t="shared" si="32"/>
        <v>#DIV/0!</v>
      </c>
    </row>
    <row r="108" spans="1:10">
      <c r="A108" s="1178">
        <f t="shared" si="6"/>
        <v>103</v>
      </c>
      <c r="B108" s="1269"/>
      <c r="C108" s="1269"/>
      <c r="D108" s="1341" t="str">
        <f t="shared" si="0"/>
        <v/>
      </c>
      <c r="E108" s="1341" t="str">
        <f t="shared" si="1"/>
        <v/>
      </c>
      <c r="F108" s="1341" t="str">
        <f t="shared" si="2"/>
        <v/>
      </c>
      <c r="G108" s="1343" t="str">
        <f t="shared" si="3"/>
        <v/>
      </c>
      <c r="H108" s="1343" t="str">
        <f t="shared" si="4"/>
        <v/>
      </c>
      <c r="I108" s="1178" t="e">
        <f t="shared" si="32"/>
        <v>#DIV/0!</v>
      </c>
      <c r="J108" s="1178" t="e">
        <f t="shared" si="32"/>
        <v>#DIV/0!</v>
      </c>
    </row>
    <row r="109" spans="1:10">
      <c r="A109" s="1178">
        <f t="shared" si="6"/>
        <v>104</v>
      </c>
      <c r="B109" s="1269"/>
      <c r="C109" s="1269"/>
      <c r="D109" s="1341" t="str">
        <f t="shared" si="0"/>
        <v/>
      </c>
      <c r="E109" s="1341" t="str">
        <f t="shared" si="1"/>
        <v/>
      </c>
      <c r="F109" s="1341" t="str">
        <f t="shared" si="2"/>
        <v/>
      </c>
      <c r="G109" s="1343" t="str">
        <f t="shared" si="3"/>
        <v/>
      </c>
      <c r="H109" s="1343" t="str">
        <f t="shared" si="4"/>
        <v/>
      </c>
      <c r="I109" s="1178" t="e">
        <f t="shared" si="32"/>
        <v>#DIV/0!</v>
      </c>
      <c r="J109" s="1178" t="e">
        <f t="shared" si="32"/>
        <v>#DIV/0!</v>
      </c>
    </row>
    <row r="110" spans="1:10">
      <c r="A110" s="1178">
        <f t="shared" si="6"/>
        <v>105</v>
      </c>
      <c r="B110" s="1269"/>
      <c r="C110" s="1269"/>
      <c r="D110" s="1341" t="str">
        <f t="shared" si="0"/>
        <v/>
      </c>
      <c r="E110" s="1341" t="str">
        <f t="shared" si="1"/>
        <v/>
      </c>
      <c r="F110" s="1341" t="str">
        <f t="shared" si="2"/>
        <v/>
      </c>
      <c r="G110" s="1343" t="str">
        <f t="shared" ref="G110:G173" si="33">IF(C110="","",G$5)</f>
        <v/>
      </c>
      <c r="H110" s="1343" t="str">
        <f t="shared" si="4"/>
        <v/>
      </c>
      <c r="I110" s="1178" t="e">
        <f t="shared" si="32"/>
        <v>#DIV/0!</v>
      </c>
      <c r="J110" s="1178" t="e">
        <f t="shared" si="32"/>
        <v>#DIV/0!</v>
      </c>
    </row>
    <row r="111" spans="1:10">
      <c r="A111" s="1178">
        <f t="shared" si="6"/>
        <v>106</v>
      </c>
      <c r="B111" s="1269"/>
      <c r="C111" s="1269"/>
      <c r="D111" s="1341" t="str">
        <f t="shared" si="0"/>
        <v/>
      </c>
      <c r="E111" s="1341" t="str">
        <f t="shared" si="1"/>
        <v/>
      </c>
      <c r="F111" s="1341" t="str">
        <f t="shared" si="2"/>
        <v/>
      </c>
      <c r="G111" s="1343" t="str">
        <f t="shared" si="33"/>
        <v/>
      </c>
      <c r="H111" s="1343" t="str">
        <f t="shared" ref="H111:H174" si="34">IF(C111="","",H$5)</f>
        <v/>
      </c>
      <c r="I111" s="1178" t="e">
        <f t="shared" si="32"/>
        <v>#DIV/0!</v>
      </c>
      <c r="J111" s="1178" t="e">
        <f t="shared" si="32"/>
        <v>#DIV/0!</v>
      </c>
    </row>
    <row r="112" spans="1:10">
      <c r="A112" s="1178">
        <f t="shared" ref="A112:A175" si="35">A111+1</f>
        <v>107</v>
      </c>
      <c r="B112" s="1269"/>
      <c r="C112" s="1269"/>
      <c r="D112" s="1341" t="str">
        <f t="shared" si="0"/>
        <v/>
      </c>
      <c r="E112" s="1341" t="str">
        <f t="shared" si="1"/>
        <v/>
      </c>
      <c r="F112" s="1341" t="str">
        <f t="shared" si="2"/>
        <v/>
      </c>
      <c r="G112" s="1343" t="str">
        <f t="shared" si="33"/>
        <v/>
      </c>
      <c r="H112" s="1343" t="str">
        <f t="shared" si="34"/>
        <v/>
      </c>
      <c r="I112" s="1178" t="e">
        <f t="shared" si="32"/>
        <v>#DIV/0!</v>
      </c>
      <c r="J112" s="1178" t="e">
        <f t="shared" si="32"/>
        <v>#DIV/0!</v>
      </c>
    </row>
    <row r="113" spans="1:10">
      <c r="A113" s="1178">
        <f t="shared" si="35"/>
        <v>108</v>
      </c>
      <c r="B113" s="1269"/>
      <c r="C113" s="1269"/>
      <c r="D113" s="1341" t="str">
        <f t="shared" si="0"/>
        <v/>
      </c>
      <c r="E113" s="1341" t="str">
        <f t="shared" si="1"/>
        <v/>
      </c>
      <c r="F113" s="1341" t="str">
        <f t="shared" si="2"/>
        <v/>
      </c>
      <c r="G113" s="1343" t="str">
        <f t="shared" si="33"/>
        <v/>
      </c>
      <c r="H113" s="1343" t="str">
        <f t="shared" si="34"/>
        <v/>
      </c>
      <c r="I113" s="1178" t="e">
        <f t="shared" si="32"/>
        <v>#DIV/0!</v>
      </c>
      <c r="J113" s="1178" t="e">
        <f t="shared" si="32"/>
        <v>#DIV/0!</v>
      </c>
    </row>
    <row r="114" spans="1:10">
      <c r="A114" s="1178">
        <f t="shared" si="35"/>
        <v>109</v>
      </c>
      <c r="B114" s="1269"/>
      <c r="C114" s="1269"/>
      <c r="D114" s="1341" t="str">
        <f t="shared" si="0"/>
        <v/>
      </c>
      <c r="E114" s="1341" t="str">
        <f t="shared" si="1"/>
        <v/>
      </c>
      <c r="F114" s="1341" t="str">
        <f t="shared" si="2"/>
        <v/>
      </c>
      <c r="G114" s="1343" t="str">
        <f t="shared" si="33"/>
        <v/>
      </c>
      <c r="H114" s="1343" t="str">
        <f t="shared" si="34"/>
        <v/>
      </c>
      <c r="I114" s="1178" t="e">
        <f t="shared" si="32"/>
        <v>#DIV/0!</v>
      </c>
      <c r="J114" s="1178" t="e">
        <f t="shared" si="32"/>
        <v>#DIV/0!</v>
      </c>
    </row>
    <row r="115" spans="1:10">
      <c r="A115" s="1178">
        <f t="shared" si="35"/>
        <v>110</v>
      </c>
      <c r="B115" s="1269"/>
      <c r="C115" s="1269"/>
      <c r="D115" s="1341" t="str">
        <f t="shared" si="0"/>
        <v/>
      </c>
      <c r="E115" s="1341" t="str">
        <f t="shared" si="1"/>
        <v/>
      </c>
      <c r="F115" s="1341" t="str">
        <f t="shared" si="2"/>
        <v/>
      </c>
      <c r="G115" s="1343" t="str">
        <f t="shared" si="33"/>
        <v/>
      </c>
      <c r="H115" s="1343" t="str">
        <f t="shared" si="34"/>
        <v/>
      </c>
      <c r="I115" s="1178" t="e">
        <f t="shared" si="32"/>
        <v>#DIV/0!</v>
      </c>
      <c r="J115" s="1178" t="e">
        <f t="shared" si="32"/>
        <v>#DIV/0!</v>
      </c>
    </row>
    <row r="116" spans="1:10">
      <c r="A116" s="1178">
        <f t="shared" si="35"/>
        <v>111</v>
      </c>
      <c r="B116" s="1269"/>
      <c r="C116" s="1269"/>
      <c r="D116" s="1341" t="str">
        <f t="shared" si="0"/>
        <v/>
      </c>
      <c r="E116" s="1341" t="str">
        <f t="shared" si="1"/>
        <v/>
      </c>
      <c r="F116" s="1341" t="str">
        <f t="shared" si="2"/>
        <v/>
      </c>
      <c r="G116" s="1343" t="str">
        <f t="shared" si="33"/>
        <v/>
      </c>
      <c r="H116" s="1343" t="str">
        <f t="shared" si="34"/>
        <v/>
      </c>
      <c r="I116" s="1178" t="e">
        <f t="shared" si="32"/>
        <v>#DIV/0!</v>
      </c>
      <c r="J116" s="1178" t="e">
        <f t="shared" si="32"/>
        <v>#DIV/0!</v>
      </c>
    </row>
    <row r="117" spans="1:10">
      <c r="A117" s="1178">
        <f t="shared" si="35"/>
        <v>112</v>
      </c>
      <c r="B117" s="1269"/>
      <c r="C117" s="1269"/>
      <c r="D117" s="1341" t="str">
        <f t="shared" si="0"/>
        <v/>
      </c>
      <c r="E117" s="1341" t="str">
        <f t="shared" si="1"/>
        <v/>
      </c>
      <c r="F117" s="1341" t="str">
        <f t="shared" si="2"/>
        <v/>
      </c>
      <c r="G117" s="1343" t="str">
        <f t="shared" si="33"/>
        <v/>
      </c>
      <c r="H117" s="1343" t="str">
        <f t="shared" si="34"/>
        <v/>
      </c>
      <c r="I117" s="1178" t="e">
        <f t="shared" si="32"/>
        <v>#DIV/0!</v>
      </c>
      <c r="J117" s="1178" t="e">
        <f t="shared" si="32"/>
        <v>#DIV/0!</v>
      </c>
    </row>
    <row r="118" spans="1:10">
      <c r="A118" s="1178">
        <f t="shared" si="35"/>
        <v>113</v>
      </c>
      <c r="B118" s="1269"/>
      <c r="C118" s="1269"/>
      <c r="D118" s="1341" t="str">
        <f t="shared" si="0"/>
        <v/>
      </c>
      <c r="E118" s="1341" t="str">
        <f t="shared" si="1"/>
        <v/>
      </c>
      <c r="F118" s="1341" t="str">
        <f t="shared" si="2"/>
        <v/>
      </c>
      <c r="G118" s="1343" t="str">
        <f t="shared" si="33"/>
        <v/>
      </c>
      <c r="H118" s="1343" t="str">
        <f t="shared" si="34"/>
        <v/>
      </c>
      <c r="I118" s="1178" t="e">
        <f t="shared" si="32"/>
        <v>#DIV/0!</v>
      </c>
      <c r="J118" s="1178" t="e">
        <f t="shared" si="32"/>
        <v>#DIV/0!</v>
      </c>
    </row>
    <row r="119" spans="1:10">
      <c r="A119" s="1178">
        <f t="shared" si="35"/>
        <v>114</v>
      </c>
      <c r="B119" s="1269"/>
      <c r="C119" s="1269"/>
      <c r="D119" s="1341" t="str">
        <f t="shared" ref="D119:D182" si="36">IF($B119="","",($R$38*B119+$R$37)-(3*$R$36))</f>
        <v/>
      </c>
      <c r="E119" s="1341" t="str">
        <f t="shared" ref="E119:E182" si="37">IF($B119="","",($R$38*B119+$R$37))</f>
        <v/>
      </c>
      <c r="F119" s="1341" t="str">
        <f t="shared" ref="F119:F182" si="38">IF($B119="","",($R$38*B119+$R$37)+(3*$R$36))</f>
        <v/>
      </c>
      <c r="G119" s="1343" t="str">
        <f t="shared" si="33"/>
        <v/>
      </c>
      <c r="H119" s="1343" t="str">
        <f t="shared" si="34"/>
        <v/>
      </c>
      <c r="I119" s="1178" t="e">
        <f t="shared" ref="I119:J134" si="39">I118</f>
        <v>#DIV/0!</v>
      </c>
      <c r="J119" s="1178" t="e">
        <f t="shared" si="39"/>
        <v>#DIV/0!</v>
      </c>
    </row>
    <row r="120" spans="1:10">
      <c r="A120" s="1178">
        <f t="shared" si="35"/>
        <v>115</v>
      </c>
      <c r="B120" s="1269"/>
      <c r="C120" s="1269"/>
      <c r="D120" s="1341" t="str">
        <f t="shared" si="36"/>
        <v/>
      </c>
      <c r="E120" s="1341" t="str">
        <f t="shared" si="37"/>
        <v/>
      </c>
      <c r="F120" s="1341" t="str">
        <f t="shared" si="38"/>
        <v/>
      </c>
      <c r="G120" s="1343" t="str">
        <f t="shared" si="33"/>
        <v/>
      </c>
      <c r="H120" s="1343" t="str">
        <f t="shared" si="34"/>
        <v/>
      </c>
      <c r="I120" s="1178" t="e">
        <f t="shared" si="39"/>
        <v>#DIV/0!</v>
      </c>
      <c r="J120" s="1178" t="e">
        <f t="shared" si="39"/>
        <v>#DIV/0!</v>
      </c>
    </row>
    <row r="121" spans="1:10">
      <c r="A121" s="1178">
        <f t="shared" si="35"/>
        <v>116</v>
      </c>
      <c r="B121" s="1269"/>
      <c r="C121" s="1269"/>
      <c r="D121" s="1341" t="str">
        <f t="shared" si="36"/>
        <v/>
      </c>
      <c r="E121" s="1341" t="str">
        <f t="shared" si="37"/>
        <v/>
      </c>
      <c r="F121" s="1341" t="str">
        <f t="shared" si="38"/>
        <v/>
      </c>
      <c r="G121" s="1343" t="str">
        <f t="shared" si="33"/>
        <v/>
      </c>
      <c r="H121" s="1343" t="str">
        <f t="shared" si="34"/>
        <v/>
      </c>
      <c r="I121" s="1178" t="e">
        <f t="shared" si="39"/>
        <v>#DIV/0!</v>
      </c>
      <c r="J121" s="1178" t="e">
        <f t="shared" si="39"/>
        <v>#DIV/0!</v>
      </c>
    </row>
    <row r="122" spans="1:10">
      <c r="A122" s="1178">
        <f t="shared" si="35"/>
        <v>117</v>
      </c>
      <c r="B122" s="1269"/>
      <c r="C122" s="1269"/>
      <c r="D122" s="1341" t="str">
        <f t="shared" si="36"/>
        <v/>
      </c>
      <c r="E122" s="1341" t="str">
        <f t="shared" si="37"/>
        <v/>
      </c>
      <c r="F122" s="1341" t="str">
        <f t="shared" si="38"/>
        <v/>
      </c>
      <c r="G122" s="1343" t="str">
        <f t="shared" si="33"/>
        <v/>
      </c>
      <c r="H122" s="1343" t="str">
        <f t="shared" si="34"/>
        <v/>
      </c>
      <c r="I122" s="1178" t="e">
        <f t="shared" si="39"/>
        <v>#DIV/0!</v>
      </c>
      <c r="J122" s="1178" t="e">
        <f t="shared" si="39"/>
        <v>#DIV/0!</v>
      </c>
    </row>
    <row r="123" spans="1:10">
      <c r="A123" s="1178">
        <f t="shared" si="35"/>
        <v>118</v>
      </c>
      <c r="B123" s="1269"/>
      <c r="C123" s="1269"/>
      <c r="D123" s="1341" t="str">
        <f t="shared" si="36"/>
        <v/>
      </c>
      <c r="E123" s="1341" t="str">
        <f t="shared" si="37"/>
        <v/>
      </c>
      <c r="F123" s="1341" t="str">
        <f t="shared" si="38"/>
        <v/>
      </c>
      <c r="G123" s="1343" t="str">
        <f t="shared" si="33"/>
        <v/>
      </c>
      <c r="H123" s="1343" t="str">
        <f t="shared" si="34"/>
        <v/>
      </c>
      <c r="I123" s="1178" t="e">
        <f t="shared" si="39"/>
        <v>#DIV/0!</v>
      </c>
      <c r="J123" s="1178" t="e">
        <f t="shared" si="39"/>
        <v>#DIV/0!</v>
      </c>
    </row>
    <row r="124" spans="1:10">
      <c r="A124" s="1178">
        <f t="shared" si="35"/>
        <v>119</v>
      </c>
      <c r="B124" s="1269"/>
      <c r="C124" s="1269"/>
      <c r="D124" s="1341" t="str">
        <f t="shared" si="36"/>
        <v/>
      </c>
      <c r="E124" s="1341" t="str">
        <f t="shared" si="37"/>
        <v/>
      </c>
      <c r="F124" s="1341" t="str">
        <f t="shared" si="38"/>
        <v/>
      </c>
      <c r="G124" s="1343" t="str">
        <f t="shared" si="33"/>
        <v/>
      </c>
      <c r="H124" s="1343" t="str">
        <f t="shared" si="34"/>
        <v/>
      </c>
      <c r="I124" s="1178" t="e">
        <f t="shared" si="39"/>
        <v>#DIV/0!</v>
      </c>
      <c r="J124" s="1178" t="e">
        <f t="shared" si="39"/>
        <v>#DIV/0!</v>
      </c>
    </row>
    <row r="125" spans="1:10">
      <c r="A125" s="1178">
        <f t="shared" si="35"/>
        <v>120</v>
      </c>
      <c r="B125" s="1269"/>
      <c r="C125" s="1269"/>
      <c r="D125" s="1341" t="str">
        <f t="shared" si="36"/>
        <v/>
      </c>
      <c r="E125" s="1341" t="str">
        <f t="shared" si="37"/>
        <v/>
      </c>
      <c r="F125" s="1341" t="str">
        <f t="shared" si="38"/>
        <v/>
      </c>
      <c r="G125" s="1343" t="str">
        <f t="shared" si="33"/>
        <v/>
      </c>
      <c r="H125" s="1343" t="str">
        <f t="shared" si="34"/>
        <v/>
      </c>
      <c r="I125" s="1178" t="e">
        <f t="shared" si="39"/>
        <v>#DIV/0!</v>
      </c>
      <c r="J125" s="1178" t="e">
        <f t="shared" si="39"/>
        <v>#DIV/0!</v>
      </c>
    </row>
    <row r="126" spans="1:10">
      <c r="A126" s="1178">
        <f t="shared" si="35"/>
        <v>121</v>
      </c>
      <c r="B126" s="1269"/>
      <c r="C126" s="1269"/>
      <c r="D126" s="1341" t="str">
        <f t="shared" si="36"/>
        <v/>
      </c>
      <c r="E126" s="1341" t="str">
        <f t="shared" si="37"/>
        <v/>
      </c>
      <c r="F126" s="1341" t="str">
        <f t="shared" si="38"/>
        <v/>
      </c>
      <c r="G126" s="1343" t="str">
        <f t="shared" si="33"/>
        <v/>
      </c>
      <c r="H126" s="1343" t="str">
        <f t="shared" si="34"/>
        <v/>
      </c>
      <c r="I126" s="1178" t="e">
        <f t="shared" si="39"/>
        <v>#DIV/0!</v>
      </c>
      <c r="J126" s="1178" t="e">
        <f t="shared" si="39"/>
        <v>#DIV/0!</v>
      </c>
    </row>
    <row r="127" spans="1:10">
      <c r="A127" s="1178">
        <f t="shared" si="35"/>
        <v>122</v>
      </c>
      <c r="B127" s="1269"/>
      <c r="C127" s="1269"/>
      <c r="D127" s="1341" t="str">
        <f t="shared" si="36"/>
        <v/>
      </c>
      <c r="E127" s="1341" t="str">
        <f t="shared" si="37"/>
        <v/>
      </c>
      <c r="F127" s="1341" t="str">
        <f t="shared" si="38"/>
        <v/>
      </c>
      <c r="G127" s="1343" t="str">
        <f t="shared" si="33"/>
        <v/>
      </c>
      <c r="H127" s="1343" t="str">
        <f t="shared" si="34"/>
        <v/>
      </c>
      <c r="I127" s="1178" t="e">
        <f t="shared" si="39"/>
        <v>#DIV/0!</v>
      </c>
      <c r="J127" s="1178" t="e">
        <f t="shared" si="39"/>
        <v>#DIV/0!</v>
      </c>
    </row>
    <row r="128" spans="1:10">
      <c r="A128" s="1178">
        <f t="shared" si="35"/>
        <v>123</v>
      </c>
      <c r="B128" s="1269"/>
      <c r="C128" s="1269"/>
      <c r="D128" s="1341" t="str">
        <f t="shared" si="36"/>
        <v/>
      </c>
      <c r="E128" s="1341" t="str">
        <f t="shared" si="37"/>
        <v/>
      </c>
      <c r="F128" s="1341" t="str">
        <f t="shared" si="38"/>
        <v/>
      </c>
      <c r="G128" s="1343" t="str">
        <f t="shared" si="33"/>
        <v/>
      </c>
      <c r="H128" s="1343" t="str">
        <f t="shared" si="34"/>
        <v/>
      </c>
      <c r="I128" s="1178" t="e">
        <f t="shared" si="39"/>
        <v>#DIV/0!</v>
      </c>
      <c r="J128" s="1178" t="e">
        <f t="shared" si="39"/>
        <v>#DIV/0!</v>
      </c>
    </row>
    <row r="129" spans="1:10">
      <c r="A129" s="1178">
        <f t="shared" si="35"/>
        <v>124</v>
      </c>
      <c r="B129" s="1269"/>
      <c r="C129" s="1269"/>
      <c r="D129" s="1341" t="str">
        <f t="shared" si="36"/>
        <v/>
      </c>
      <c r="E129" s="1341" t="str">
        <f t="shared" si="37"/>
        <v/>
      </c>
      <c r="F129" s="1341" t="str">
        <f t="shared" si="38"/>
        <v/>
      </c>
      <c r="G129" s="1343" t="str">
        <f t="shared" si="33"/>
        <v/>
      </c>
      <c r="H129" s="1343" t="str">
        <f t="shared" si="34"/>
        <v/>
      </c>
      <c r="I129" s="1178" t="e">
        <f t="shared" si="39"/>
        <v>#DIV/0!</v>
      </c>
      <c r="J129" s="1178" t="e">
        <f t="shared" si="39"/>
        <v>#DIV/0!</v>
      </c>
    </row>
    <row r="130" spans="1:10">
      <c r="A130" s="1178">
        <f t="shared" si="35"/>
        <v>125</v>
      </c>
      <c r="B130" s="1269"/>
      <c r="C130" s="1269"/>
      <c r="D130" s="1341" t="str">
        <f t="shared" si="36"/>
        <v/>
      </c>
      <c r="E130" s="1341" t="str">
        <f t="shared" si="37"/>
        <v/>
      </c>
      <c r="F130" s="1341" t="str">
        <f t="shared" si="38"/>
        <v/>
      </c>
      <c r="G130" s="1343" t="str">
        <f t="shared" si="33"/>
        <v/>
      </c>
      <c r="H130" s="1343" t="str">
        <f t="shared" si="34"/>
        <v/>
      </c>
      <c r="I130" s="1178" t="e">
        <f t="shared" si="39"/>
        <v>#DIV/0!</v>
      </c>
      <c r="J130" s="1178" t="e">
        <f t="shared" si="39"/>
        <v>#DIV/0!</v>
      </c>
    </row>
    <row r="131" spans="1:10">
      <c r="A131" s="1178">
        <f t="shared" si="35"/>
        <v>126</v>
      </c>
      <c r="B131" s="1269"/>
      <c r="C131" s="1269"/>
      <c r="D131" s="1341" t="str">
        <f t="shared" si="36"/>
        <v/>
      </c>
      <c r="E131" s="1341" t="str">
        <f t="shared" si="37"/>
        <v/>
      </c>
      <c r="F131" s="1341" t="str">
        <f t="shared" si="38"/>
        <v/>
      </c>
      <c r="G131" s="1343" t="str">
        <f t="shared" si="33"/>
        <v/>
      </c>
      <c r="H131" s="1343" t="str">
        <f t="shared" si="34"/>
        <v/>
      </c>
      <c r="I131" s="1178" t="e">
        <f t="shared" si="39"/>
        <v>#DIV/0!</v>
      </c>
      <c r="J131" s="1178" t="e">
        <f t="shared" si="39"/>
        <v>#DIV/0!</v>
      </c>
    </row>
    <row r="132" spans="1:10">
      <c r="A132" s="1178">
        <f t="shared" si="35"/>
        <v>127</v>
      </c>
      <c r="B132" s="1269"/>
      <c r="C132" s="1269"/>
      <c r="D132" s="1341" t="str">
        <f t="shared" si="36"/>
        <v/>
      </c>
      <c r="E132" s="1341" t="str">
        <f t="shared" si="37"/>
        <v/>
      </c>
      <c r="F132" s="1341" t="str">
        <f t="shared" si="38"/>
        <v/>
      </c>
      <c r="G132" s="1343" t="str">
        <f t="shared" si="33"/>
        <v/>
      </c>
      <c r="H132" s="1343" t="str">
        <f t="shared" si="34"/>
        <v/>
      </c>
      <c r="I132" s="1178" t="e">
        <f t="shared" si="39"/>
        <v>#DIV/0!</v>
      </c>
      <c r="J132" s="1178" t="e">
        <f t="shared" si="39"/>
        <v>#DIV/0!</v>
      </c>
    </row>
    <row r="133" spans="1:10">
      <c r="A133" s="1178">
        <f t="shared" si="35"/>
        <v>128</v>
      </c>
      <c r="B133" s="1269"/>
      <c r="C133" s="1269"/>
      <c r="D133" s="1341" t="str">
        <f t="shared" si="36"/>
        <v/>
      </c>
      <c r="E133" s="1341" t="str">
        <f t="shared" si="37"/>
        <v/>
      </c>
      <c r="F133" s="1341" t="str">
        <f t="shared" si="38"/>
        <v/>
      </c>
      <c r="G133" s="1343" t="str">
        <f t="shared" si="33"/>
        <v/>
      </c>
      <c r="H133" s="1343" t="str">
        <f t="shared" si="34"/>
        <v/>
      </c>
      <c r="I133" s="1178" t="e">
        <f t="shared" si="39"/>
        <v>#DIV/0!</v>
      </c>
      <c r="J133" s="1178" t="e">
        <f t="shared" si="39"/>
        <v>#DIV/0!</v>
      </c>
    </row>
    <row r="134" spans="1:10">
      <c r="A134" s="1178">
        <f t="shared" si="35"/>
        <v>129</v>
      </c>
      <c r="B134" s="1269"/>
      <c r="C134" s="1269"/>
      <c r="D134" s="1341" t="str">
        <f t="shared" si="36"/>
        <v/>
      </c>
      <c r="E134" s="1341" t="str">
        <f t="shared" si="37"/>
        <v/>
      </c>
      <c r="F134" s="1341" t="str">
        <f t="shared" si="38"/>
        <v/>
      </c>
      <c r="G134" s="1343" t="str">
        <f t="shared" si="33"/>
        <v/>
      </c>
      <c r="H134" s="1343" t="str">
        <f t="shared" si="34"/>
        <v/>
      </c>
      <c r="I134" s="1178" t="e">
        <f t="shared" si="39"/>
        <v>#DIV/0!</v>
      </c>
      <c r="J134" s="1178" t="e">
        <f t="shared" si="39"/>
        <v>#DIV/0!</v>
      </c>
    </row>
    <row r="135" spans="1:10">
      <c r="A135" s="1178">
        <f t="shared" si="35"/>
        <v>130</v>
      </c>
      <c r="B135" s="1269"/>
      <c r="C135" s="1269"/>
      <c r="D135" s="1341" t="str">
        <f t="shared" si="36"/>
        <v/>
      </c>
      <c r="E135" s="1341" t="str">
        <f t="shared" si="37"/>
        <v/>
      </c>
      <c r="F135" s="1341" t="str">
        <f t="shared" si="38"/>
        <v/>
      </c>
      <c r="G135" s="1343" t="str">
        <f t="shared" si="33"/>
        <v/>
      </c>
      <c r="H135" s="1343" t="str">
        <f t="shared" si="34"/>
        <v/>
      </c>
      <c r="I135" s="1178" t="e">
        <f t="shared" ref="I135:J150" si="40">I134</f>
        <v>#DIV/0!</v>
      </c>
      <c r="J135" s="1178" t="e">
        <f t="shared" si="40"/>
        <v>#DIV/0!</v>
      </c>
    </row>
    <row r="136" spans="1:10">
      <c r="A136" s="1178">
        <f t="shared" si="35"/>
        <v>131</v>
      </c>
      <c r="B136" s="1269"/>
      <c r="C136" s="1269"/>
      <c r="D136" s="1341" t="str">
        <f t="shared" si="36"/>
        <v/>
      </c>
      <c r="E136" s="1341" t="str">
        <f t="shared" si="37"/>
        <v/>
      </c>
      <c r="F136" s="1341" t="str">
        <f t="shared" si="38"/>
        <v/>
      </c>
      <c r="G136" s="1343" t="str">
        <f t="shared" si="33"/>
        <v/>
      </c>
      <c r="H136" s="1343" t="str">
        <f t="shared" si="34"/>
        <v/>
      </c>
      <c r="I136" s="1178" t="e">
        <f t="shared" si="40"/>
        <v>#DIV/0!</v>
      </c>
      <c r="J136" s="1178" t="e">
        <f t="shared" si="40"/>
        <v>#DIV/0!</v>
      </c>
    </row>
    <row r="137" spans="1:10">
      <c r="A137" s="1178">
        <f t="shared" si="35"/>
        <v>132</v>
      </c>
      <c r="B137" s="1269"/>
      <c r="C137" s="1269"/>
      <c r="D137" s="1341" t="str">
        <f t="shared" si="36"/>
        <v/>
      </c>
      <c r="E137" s="1341" t="str">
        <f t="shared" si="37"/>
        <v/>
      </c>
      <c r="F137" s="1341" t="str">
        <f t="shared" si="38"/>
        <v/>
      </c>
      <c r="G137" s="1343" t="str">
        <f t="shared" si="33"/>
        <v/>
      </c>
      <c r="H137" s="1343" t="str">
        <f t="shared" si="34"/>
        <v/>
      </c>
      <c r="I137" s="1178" t="e">
        <f t="shared" si="40"/>
        <v>#DIV/0!</v>
      </c>
      <c r="J137" s="1178" t="e">
        <f t="shared" si="40"/>
        <v>#DIV/0!</v>
      </c>
    </row>
    <row r="138" spans="1:10">
      <c r="A138" s="1178">
        <f t="shared" si="35"/>
        <v>133</v>
      </c>
      <c r="B138" s="1269"/>
      <c r="C138" s="1269"/>
      <c r="D138" s="1341" t="str">
        <f t="shared" si="36"/>
        <v/>
      </c>
      <c r="E138" s="1341" t="str">
        <f t="shared" si="37"/>
        <v/>
      </c>
      <c r="F138" s="1341" t="str">
        <f t="shared" si="38"/>
        <v/>
      </c>
      <c r="G138" s="1343" t="str">
        <f t="shared" si="33"/>
        <v/>
      </c>
      <c r="H138" s="1343" t="str">
        <f t="shared" si="34"/>
        <v/>
      </c>
      <c r="I138" s="1178" t="e">
        <f t="shared" si="40"/>
        <v>#DIV/0!</v>
      </c>
      <c r="J138" s="1178" t="e">
        <f t="shared" si="40"/>
        <v>#DIV/0!</v>
      </c>
    </row>
    <row r="139" spans="1:10">
      <c r="A139" s="1178">
        <f t="shared" si="35"/>
        <v>134</v>
      </c>
      <c r="B139" s="1269"/>
      <c r="C139" s="1269"/>
      <c r="D139" s="1341" t="str">
        <f t="shared" si="36"/>
        <v/>
      </c>
      <c r="E139" s="1341" t="str">
        <f t="shared" si="37"/>
        <v/>
      </c>
      <c r="F139" s="1341" t="str">
        <f t="shared" si="38"/>
        <v/>
      </c>
      <c r="G139" s="1343" t="str">
        <f t="shared" si="33"/>
        <v/>
      </c>
      <c r="H139" s="1343" t="str">
        <f t="shared" si="34"/>
        <v/>
      </c>
      <c r="I139" s="1178" t="e">
        <f t="shared" si="40"/>
        <v>#DIV/0!</v>
      </c>
      <c r="J139" s="1178" t="e">
        <f t="shared" si="40"/>
        <v>#DIV/0!</v>
      </c>
    </row>
    <row r="140" spans="1:10">
      <c r="A140" s="1178">
        <f t="shared" si="35"/>
        <v>135</v>
      </c>
      <c r="B140" s="1269"/>
      <c r="C140" s="1269"/>
      <c r="D140" s="1341" t="str">
        <f t="shared" si="36"/>
        <v/>
      </c>
      <c r="E140" s="1341" t="str">
        <f t="shared" si="37"/>
        <v/>
      </c>
      <c r="F140" s="1341" t="str">
        <f t="shared" si="38"/>
        <v/>
      </c>
      <c r="G140" s="1343" t="str">
        <f t="shared" si="33"/>
        <v/>
      </c>
      <c r="H140" s="1343" t="str">
        <f t="shared" si="34"/>
        <v/>
      </c>
      <c r="I140" s="1178" t="e">
        <f t="shared" si="40"/>
        <v>#DIV/0!</v>
      </c>
      <c r="J140" s="1178" t="e">
        <f t="shared" si="40"/>
        <v>#DIV/0!</v>
      </c>
    </row>
    <row r="141" spans="1:10">
      <c r="A141" s="1178">
        <f t="shared" si="35"/>
        <v>136</v>
      </c>
      <c r="B141" s="1269"/>
      <c r="C141" s="1269"/>
      <c r="D141" s="1341" t="str">
        <f t="shared" si="36"/>
        <v/>
      </c>
      <c r="E141" s="1341" t="str">
        <f t="shared" si="37"/>
        <v/>
      </c>
      <c r="F141" s="1341" t="str">
        <f t="shared" si="38"/>
        <v/>
      </c>
      <c r="G141" s="1343" t="str">
        <f t="shared" si="33"/>
        <v/>
      </c>
      <c r="H141" s="1343" t="str">
        <f t="shared" si="34"/>
        <v/>
      </c>
      <c r="I141" s="1178" t="e">
        <f t="shared" si="40"/>
        <v>#DIV/0!</v>
      </c>
      <c r="J141" s="1178" t="e">
        <f t="shared" si="40"/>
        <v>#DIV/0!</v>
      </c>
    </row>
    <row r="142" spans="1:10">
      <c r="A142" s="1178">
        <f t="shared" si="35"/>
        <v>137</v>
      </c>
      <c r="B142" s="1269"/>
      <c r="C142" s="1269"/>
      <c r="D142" s="1341" t="str">
        <f t="shared" si="36"/>
        <v/>
      </c>
      <c r="E142" s="1341" t="str">
        <f t="shared" si="37"/>
        <v/>
      </c>
      <c r="F142" s="1341" t="str">
        <f t="shared" si="38"/>
        <v/>
      </c>
      <c r="G142" s="1343" t="str">
        <f t="shared" si="33"/>
        <v/>
      </c>
      <c r="H142" s="1343" t="str">
        <f t="shared" si="34"/>
        <v/>
      </c>
      <c r="I142" s="1178" t="e">
        <f t="shared" si="40"/>
        <v>#DIV/0!</v>
      </c>
      <c r="J142" s="1178" t="e">
        <f t="shared" si="40"/>
        <v>#DIV/0!</v>
      </c>
    </row>
    <row r="143" spans="1:10">
      <c r="A143" s="1178">
        <f t="shared" si="35"/>
        <v>138</v>
      </c>
      <c r="B143" s="1269"/>
      <c r="C143" s="1269"/>
      <c r="D143" s="1341" t="str">
        <f t="shared" si="36"/>
        <v/>
      </c>
      <c r="E143" s="1341" t="str">
        <f t="shared" si="37"/>
        <v/>
      </c>
      <c r="F143" s="1341" t="str">
        <f t="shared" si="38"/>
        <v/>
      </c>
      <c r="G143" s="1343" t="str">
        <f t="shared" si="33"/>
        <v/>
      </c>
      <c r="H143" s="1343" t="str">
        <f t="shared" si="34"/>
        <v/>
      </c>
      <c r="I143" s="1178" t="e">
        <f t="shared" si="40"/>
        <v>#DIV/0!</v>
      </c>
      <c r="J143" s="1178" t="e">
        <f t="shared" si="40"/>
        <v>#DIV/0!</v>
      </c>
    </row>
    <row r="144" spans="1:10">
      <c r="A144" s="1178">
        <f t="shared" si="35"/>
        <v>139</v>
      </c>
      <c r="B144" s="1269"/>
      <c r="C144" s="1269"/>
      <c r="D144" s="1341" t="str">
        <f t="shared" si="36"/>
        <v/>
      </c>
      <c r="E144" s="1341" t="str">
        <f t="shared" si="37"/>
        <v/>
      </c>
      <c r="F144" s="1341" t="str">
        <f t="shared" si="38"/>
        <v/>
      </c>
      <c r="G144" s="1343" t="str">
        <f t="shared" si="33"/>
        <v/>
      </c>
      <c r="H144" s="1343" t="str">
        <f t="shared" si="34"/>
        <v/>
      </c>
      <c r="I144" s="1178" t="e">
        <f t="shared" si="40"/>
        <v>#DIV/0!</v>
      </c>
      <c r="J144" s="1178" t="e">
        <f t="shared" si="40"/>
        <v>#DIV/0!</v>
      </c>
    </row>
    <row r="145" spans="1:10">
      <c r="A145" s="1178">
        <f t="shared" si="35"/>
        <v>140</v>
      </c>
      <c r="B145" s="1269"/>
      <c r="C145" s="1269"/>
      <c r="D145" s="1341" t="str">
        <f t="shared" si="36"/>
        <v/>
      </c>
      <c r="E145" s="1341" t="str">
        <f t="shared" si="37"/>
        <v/>
      </c>
      <c r="F145" s="1341" t="str">
        <f t="shared" si="38"/>
        <v/>
      </c>
      <c r="G145" s="1343" t="str">
        <f t="shared" si="33"/>
        <v/>
      </c>
      <c r="H145" s="1343" t="str">
        <f t="shared" si="34"/>
        <v/>
      </c>
      <c r="I145" s="1178" t="e">
        <f t="shared" si="40"/>
        <v>#DIV/0!</v>
      </c>
      <c r="J145" s="1178" t="e">
        <f t="shared" si="40"/>
        <v>#DIV/0!</v>
      </c>
    </row>
    <row r="146" spans="1:10">
      <c r="A146" s="1178">
        <f t="shared" si="35"/>
        <v>141</v>
      </c>
      <c r="B146" s="1269"/>
      <c r="C146" s="1269"/>
      <c r="D146" s="1341" t="str">
        <f t="shared" si="36"/>
        <v/>
      </c>
      <c r="E146" s="1341" t="str">
        <f t="shared" si="37"/>
        <v/>
      </c>
      <c r="F146" s="1341" t="str">
        <f t="shared" si="38"/>
        <v/>
      </c>
      <c r="G146" s="1343" t="str">
        <f t="shared" si="33"/>
        <v/>
      </c>
      <c r="H146" s="1343" t="str">
        <f t="shared" si="34"/>
        <v/>
      </c>
      <c r="I146" s="1178" t="e">
        <f t="shared" si="40"/>
        <v>#DIV/0!</v>
      </c>
      <c r="J146" s="1178" t="e">
        <f t="shared" si="40"/>
        <v>#DIV/0!</v>
      </c>
    </row>
    <row r="147" spans="1:10">
      <c r="A147" s="1178">
        <f t="shared" si="35"/>
        <v>142</v>
      </c>
      <c r="B147" s="1269"/>
      <c r="C147" s="1269"/>
      <c r="D147" s="1341" t="str">
        <f t="shared" si="36"/>
        <v/>
      </c>
      <c r="E147" s="1341" t="str">
        <f t="shared" si="37"/>
        <v/>
      </c>
      <c r="F147" s="1341" t="str">
        <f t="shared" si="38"/>
        <v/>
      </c>
      <c r="G147" s="1343" t="str">
        <f t="shared" si="33"/>
        <v/>
      </c>
      <c r="H147" s="1343" t="str">
        <f t="shared" si="34"/>
        <v/>
      </c>
      <c r="I147" s="1178" t="e">
        <f t="shared" si="40"/>
        <v>#DIV/0!</v>
      </c>
      <c r="J147" s="1178" t="e">
        <f t="shared" si="40"/>
        <v>#DIV/0!</v>
      </c>
    </row>
    <row r="148" spans="1:10">
      <c r="A148" s="1178">
        <f t="shared" si="35"/>
        <v>143</v>
      </c>
      <c r="B148" s="1269"/>
      <c r="C148" s="1269"/>
      <c r="D148" s="1341" t="str">
        <f t="shared" si="36"/>
        <v/>
      </c>
      <c r="E148" s="1341" t="str">
        <f t="shared" si="37"/>
        <v/>
      </c>
      <c r="F148" s="1341" t="str">
        <f t="shared" si="38"/>
        <v/>
      </c>
      <c r="G148" s="1343" t="str">
        <f t="shared" si="33"/>
        <v/>
      </c>
      <c r="H148" s="1343" t="str">
        <f t="shared" si="34"/>
        <v/>
      </c>
      <c r="I148" s="1178" t="e">
        <f t="shared" si="40"/>
        <v>#DIV/0!</v>
      </c>
      <c r="J148" s="1178" t="e">
        <f t="shared" si="40"/>
        <v>#DIV/0!</v>
      </c>
    </row>
    <row r="149" spans="1:10">
      <c r="A149" s="1178">
        <f t="shared" si="35"/>
        <v>144</v>
      </c>
      <c r="B149" s="1269"/>
      <c r="C149" s="1269"/>
      <c r="D149" s="1341" t="str">
        <f t="shared" si="36"/>
        <v/>
      </c>
      <c r="E149" s="1341" t="str">
        <f t="shared" si="37"/>
        <v/>
      </c>
      <c r="F149" s="1341" t="str">
        <f t="shared" si="38"/>
        <v/>
      </c>
      <c r="G149" s="1343" t="str">
        <f t="shared" si="33"/>
        <v/>
      </c>
      <c r="H149" s="1343" t="str">
        <f t="shared" si="34"/>
        <v/>
      </c>
      <c r="I149" s="1178" t="e">
        <f t="shared" si="40"/>
        <v>#DIV/0!</v>
      </c>
      <c r="J149" s="1178" t="e">
        <f t="shared" si="40"/>
        <v>#DIV/0!</v>
      </c>
    </row>
    <row r="150" spans="1:10">
      <c r="A150" s="1178">
        <f t="shared" si="35"/>
        <v>145</v>
      </c>
      <c r="B150" s="1269"/>
      <c r="C150" s="1269"/>
      <c r="D150" s="1341" t="str">
        <f t="shared" si="36"/>
        <v/>
      </c>
      <c r="E150" s="1341" t="str">
        <f t="shared" si="37"/>
        <v/>
      </c>
      <c r="F150" s="1341" t="str">
        <f t="shared" si="38"/>
        <v/>
      </c>
      <c r="G150" s="1343" t="str">
        <f t="shared" si="33"/>
        <v/>
      </c>
      <c r="H150" s="1343" t="str">
        <f t="shared" si="34"/>
        <v/>
      </c>
      <c r="I150" s="1178" t="e">
        <f t="shared" si="40"/>
        <v>#DIV/0!</v>
      </c>
      <c r="J150" s="1178" t="e">
        <f t="shared" si="40"/>
        <v>#DIV/0!</v>
      </c>
    </row>
    <row r="151" spans="1:10">
      <c r="A151" s="1178">
        <f t="shared" si="35"/>
        <v>146</v>
      </c>
      <c r="B151" s="1269"/>
      <c r="C151" s="1269"/>
      <c r="D151" s="1341" t="str">
        <f t="shared" si="36"/>
        <v/>
      </c>
      <c r="E151" s="1341" t="str">
        <f t="shared" si="37"/>
        <v/>
      </c>
      <c r="F151" s="1341" t="str">
        <f t="shared" si="38"/>
        <v/>
      </c>
      <c r="G151" s="1343" t="str">
        <f t="shared" si="33"/>
        <v/>
      </c>
      <c r="H151" s="1343" t="str">
        <f t="shared" si="34"/>
        <v/>
      </c>
      <c r="I151" s="1178" t="e">
        <f t="shared" ref="I151:J166" si="41">I150</f>
        <v>#DIV/0!</v>
      </c>
      <c r="J151" s="1178" t="e">
        <f t="shared" si="41"/>
        <v>#DIV/0!</v>
      </c>
    </row>
    <row r="152" spans="1:10">
      <c r="A152" s="1178">
        <f t="shared" si="35"/>
        <v>147</v>
      </c>
      <c r="B152" s="1269"/>
      <c r="C152" s="1269"/>
      <c r="D152" s="1341" t="str">
        <f t="shared" si="36"/>
        <v/>
      </c>
      <c r="E152" s="1341" t="str">
        <f t="shared" si="37"/>
        <v/>
      </c>
      <c r="F152" s="1341" t="str">
        <f t="shared" si="38"/>
        <v/>
      </c>
      <c r="G152" s="1343" t="str">
        <f t="shared" si="33"/>
        <v/>
      </c>
      <c r="H152" s="1343" t="str">
        <f t="shared" si="34"/>
        <v/>
      </c>
      <c r="I152" s="1178" t="e">
        <f t="shared" si="41"/>
        <v>#DIV/0!</v>
      </c>
      <c r="J152" s="1178" t="e">
        <f t="shared" si="41"/>
        <v>#DIV/0!</v>
      </c>
    </row>
    <row r="153" spans="1:10">
      <c r="A153" s="1178">
        <f t="shared" si="35"/>
        <v>148</v>
      </c>
      <c r="B153" s="1269"/>
      <c r="C153" s="1269"/>
      <c r="D153" s="1341" t="str">
        <f t="shared" si="36"/>
        <v/>
      </c>
      <c r="E153" s="1341" t="str">
        <f t="shared" si="37"/>
        <v/>
      </c>
      <c r="F153" s="1341" t="str">
        <f t="shared" si="38"/>
        <v/>
      </c>
      <c r="G153" s="1343" t="str">
        <f t="shared" si="33"/>
        <v/>
      </c>
      <c r="H153" s="1343" t="str">
        <f t="shared" si="34"/>
        <v/>
      </c>
      <c r="I153" s="1178" t="e">
        <f t="shared" si="41"/>
        <v>#DIV/0!</v>
      </c>
      <c r="J153" s="1178" t="e">
        <f t="shared" si="41"/>
        <v>#DIV/0!</v>
      </c>
    </row>
    <row r="154" spans="1:10">
      <c r="A154" s="1178">
        <f t="shared" si="35"/>
        <v>149</v>
      </c>
      <c r="B154" s="1269"/>
      <c r="C154" s="1269"/>
      <c r="D154" s="1341" t="str">
        <f t="shared" si="36"/>
        <v/>
      </c>
      <c r="E154" s="1341" t="str">
        <f t="shared" si="37"/>
        <v/>
      </c>
      <c r="F154" s="1341" t="str">
        <f t="shared" si="38"/>
        <v/>
      </c>
      <c r="G154" s="1343" t="str">
        <f t="shared" si="33"/>
        <v/>
      </c>
      <c r="H154" s="1343" t="str">
        <f t="shared" si="34"/>
        <v/>
      </c>
      <c r="I154" s="1178" t="e">
        <f t="shared" si="41"/>
        <v>#DIV/0!</v>
      </c>
      <c r="J154" s="1178" t="e">
        <f t="shared" si="41"/>
        <v>#DIV/0!</v>
      </c>
    </row>
    <row r="155" spans="1:10">
      <c r="A155" s="1178">
        <f t="shared" si="35"/>
        <v>150</v>
      </c>
      <c r="B155" s="1269"/>
      <c r="C155" s="1269"/>
      <c r="D155" s="1341" t="str">
        <f t="shared" si="36"/>
        <v/>
      </c>
      <c r="E155" s="1341" t="str">
        <f t="shared" si="37"/>
        <v/>
      </c>
      <c r="F155" s="1341" t="str">
        <f t="shared" si="38"/>
        <v/>
      </c>
      <c r="G155" s="1343" t="str">
        <f t="shared" si="33"/>
        <v/>
      </c>
      <c r="H155" s="1343" t="str">
        <f t="shared" si="34"/>
        <v/>
      </c>
      <c r="I155" s="1178" t="e">
        <f t="shared" si="41"/>
        <v>#DIV/0!</v>
      </c>
      <c r="J155" s="1178" t="e">
        <f t="shared" si="41"/>
        <v>#DIV/0!</v>
      </c>
    </row>
    <row r="156" spans="1:10">
      <c r="A156" s="1178">
        <f t="shared" si="35"/>
        <v>151</v>
      </c>
      <c r="B156" s="1269"/>
      <c r="C156" s="1269"/>
      <c r="D156" s="1341" t="str">
        <f t="shared" si="36"/>
        <v/>
      </c>
      <c r="E156" s="1341" t="str">
        <f t="shared" si="37"/>
        <v/>
      </c>
      <c r="F156" s="1341" t="str">
        <f t="shared" si="38"/>
        <v/>
      </c>
      <c r="G156" s="1343" t="str">
        <f t="shared" si="33"/>
        <v/>
      </c>
      <c r="H156" s="1343" t="str">
        <f t="shared" si="34"/>
        <v/>
      </c>
      <c r="I156" s="1178" t="e">
        <f t="shared" si="41"/>
        <v>#DIV/0!</v>
      </c>
      <c r="J156" s="1178" t="e">
        <f t="shared" si="41"/>
        <v>#DIV/0!</v>
      </c>
    </row>
    <row r="157" spans="1:10">
      <c r="A157" s="1178">
        <f t="shared" si="35"/>
        <v>152</v>
      </c>
      <c r="B157" s="1269"/>
      <c r="C157" s="1269"/>
      <c r="D157" s="1341" t="str">
        <f t="shared" si="36"/>
        <v/>
      </c>
      <c r="E157" s="1341" t="str">
        <f t="shared" si="37"/>
        <v/>
      </c>
      <c r="F157" s="1341" t="str">
        <f t="shared" si="38"/>
        <v/>
      </c>
      <c r="G157" s="1343" t="str">
        <f t="shared" si="33"/>
        <v/>
      </c>
      <c r="H157" s="1343" t="str">
        <f t="shared" si="34"/>
        <v/>
      </c>
      <c r="I157" s="1178" t="e">
        <f t="shared" si="41"/>
        <v>#DIV/0!</v>
      </c>
      <c r="J157" s="1178" t="e">
        <f t="shared" si="41"/>
        <v>#DIV/0!</v>
      </c>
    </row>
    <row r="158" spans="1:10">
      <c r="A158" s="1178">
        <f t="shared" si="35"/>
        <v>153</v>
      </c>
      <c r="B158" s="1269"/>
      <c r="C158" s="1269"/>
      <c r="D158" s="1341" t="str">
        <f t="shared" si="36"/>
        <v/>
      </c>
      <c r="E158" s="1341" t="str">
        <f t="shared" si="37"/>
        <v/>
      </c>
      <c r="F158" s="1341" t="str">
        <f t="shared" si="38"/>
        <v/>
      </c>
      <c r="G158" s="1343" t="str">
        <f t="shared" si="33"/>
        <v/>
      </c>
      <c r="H158" s="1343" t="str">
        <f t="shared" si="34"/>
        <v/>
      </c>
      <c r="I158" s="1178" t="e">
        <f t="shared" si="41"/>
        <v>#DIV/0!</v>
      </c>
      <c r="J158" s="1178" t="e">
        <f t="shared" si="41"/>
        <v>#DIV/0!</v>
      </c>
    </row>
    <row r="159" spans="1:10">
      <c r="A159" s="1178">
        <f t="shared" si="35"/>
        <v>154</v>
      </c>
      <c r="B159" s="1269"/>
      <c r="C159" s="1269"/>
      <c r="D159" s="1341" t="str">
        <f t="shared" si="36"/>
        <v/>
      </c>
      <c r="E159" s="1341" t="str">
        <f t="shared" si="37"/>
        <v/>
      </c>
      <c r="F159" s="1341" t="str">
        <f t="shared" si="38"/>
        <v/>
      </c>
      <c r="G159" s="1343" t="str">
        <f t="shared" si="33"/>
        <v/>
      </c>
      <c r="H159" s="1343" t="str">
        <f t="shared" si="34"/>
        <v/>
      </c>
      <c r="I159" s="1178" t="e">
        <f t="shared" si="41"/>
        <v>#DIV/0!</v>
      </c>
      <c r="J159" s="1178" t="e">
        <f t="shared" si="41"/>
        <v>#DIV/0!</v>
      </c>
    </row>
    <row r="160" spans="1:10">
      <c r="A160" s="1178">
        <f t="shared" si="35"/>
        <v>155</v>
      </c>
      <c r="B160" s="1269"/>
      <c r="C160" s="1269"/>
      <c r="D160" s="1341" t="str">
        <f t="shared" si="36"/>
        <v/>
      </c>
      <c r="E160" s="1341" t="str">
        <f t="shared" si="37"/>
        <v/>
      </c>
      <c r="F160" s="1341" t="str">
        <f t="shared" si="38"/>
        <v/>
      </c>
      <c r="G160" s="1343" t="str">
        <f t="shared" si="33"/>
        <v/>
      </c>
      <c r="H160" s="1343" t="str">
        <f t="shared" si="34"/>
        <v/>
      </c>
      <c r="I160" s="1178" t="e">
        <f t="shared" si="41"/>
        <v>#DIV/0!</v>
      </c>
      <c r="J160" s="1178" t="e">
        <f t="shared" si="41"/>
        <v>#DIV/0!</v>
      </c>
    </row>
    <row r="161" spans="1:10">
      <c r="A161" s="1178">
        <f t="shared" si="35"/>
        <v>156</v>
      </c>
      <c r="B161" s="1269"/>
      <c r="C161" s="1269"/>
      <c r="D161" s="1341" t="str">
        <f t="shared" si="36"/>
        <v/>
      </c>
      <c r="E161" s="1341" t="str">
        <f t="shared" si="37"/>
        <v/>
      </c>
      <c r="F161" s="1341" t="str">
        <f t="shared" si="38"/>
        <v/>
      </c>
      <c r="G161" s="1343" t="str">
        <f t="shared" si="33"/>
        <v/>
      </c>
      <c r="H161" s="1343" t="str">
        <f t="shared" si="34"/>
        <v/>
      </c>
      <c r="I161" s="1178" t="e">
        <f t="shared" si="41"/>
        <v>#DIV/0!</v>
      </c>
      <c r="J161" s="1178" t="e">
        <f t="shared" si="41"/>
        <v>#DIV/0!</v>
      </c>
    </row>
    <row r="162" spans="1:10">
      <c r="A162" s="1178">
        <f t="shared" si="35"/>
        <v>157</v>
      </c>
      <c r="B162" s="1269"/>
      <c r="C162" s="1269"/>
      <c r="D162" s="1341" t="str">
        <f t="shared" si="36"/>
        <v/>
      </c>
      <c r="E162" s="1341" t="str">
        <f t="shared" si="37"/>
        <v/>
      </c>
      <c r="F162" s="1341" t="str">
        <f t="shared" si="38"/>
        <v/>
      </c>
      <c r="G162" s="1343" t="str">
        <f t="shared" si="33"/>
        <v/>
      </c>
      <c r="H162" s="1343" t="str">
        <f t="shared" si="34"/>
        <v/>
      </c>
      <c r="I162" s="1178" t="e">
        <f t="shared" si="41"/>
        <v>#DIV/0!</v>
      </c>
      <c r="J162" s="1178" t="e">
        <f t="shared" si="41"/>
        <v>#DIV/0!</v>
      </c>
    </row>
    <row r="163" spans="1:10">
      <c r="A163" s="1178">
        <f t="shared" si="35"/>
        <v>158</v>
      </c>
      <c r="B163" s="1269"/>
      <c r="C163" s="1269"/>
      <c r="D163" s="1341" t="str">
        <f t="shared" si="36"/>
        <v/>
      </c>
      <c r="E163" s="1341" t="str">
        <f t="shared" si="37"/>
        <v/>
      </c>
      <c r="F163" s="1341" t="str">
        <f t="shared" si="38"/>
        <v/>
      </c>
      <c r="G163" s="1343" t="str">
        <f t="shared" si="33"/>
        <v/>
      </c>
      <c r="H163" s="1343" t="str">
        <f t="shared" si="34"/>
        <v/>
      </c>
      <c r="I163" s="1178" t="e">
        <f t="shared" si="41"/>
        <v>#DIV/0!</v>
      </c>
      <c r="J163" s="1178" t="e">
        <f t="shared" si="41"/>
        <v>#DIV/0!</v>
      </c>
    </row>
    <row r="164" spans="1:10">
      <c r="A164" s="1178">
        <f t="shared" si="35"/>
        <v>159</v>
      </c>
      <c r="B164" s="1269"/>
      <c r="C164" s="1269"/>
      <c r="D164" s="1341" t="str">
        <f t="shared" si="36"/>
        <v/>
      </c>
      <c r="E164" s="1341" t="str">
        <f t="shared" si="37"/>
        <v/>
      </c>
      <c r="F164" s="1341" t="str">
        <f t="shared" si="38"/>
        <v/>
      </c>
      <c r="G164" s="1343" t="str">
        <f t="shared" si="33"/>
        <v/>
      </c>
      <c r="H164" s="1343" t="str">
        <f t="shared" si="34"/>
        <v/>
      </c>
      <c r="I164" s="1178" t="e">
        <f t="shared" si="41"/>
        <v>#DIV/0!</v>
      </c>
      <c r="J164" s="1178" t="e">
        <f t="shared" si="41"/>
        <v>#DIV/0!</v>
      </c>
    </row>
    <row r="165" spans="1:10">
      <c r="A165" s="1178">
        <f t="shared" si="35"/>
        <v>160</v>
      </c>
      <c r="B165" s="1269"/>
      <c r="C165" s="1269"/>
      <c r="D165" s="1341" t="str">
        <f t="shared" si="36"/>
        <v/>
      </c>
      <c r="E165" s="1341" t="str">
        <f t="shared" si="37"/>
        <v/>
      </c>
      <c r="F165" s="1341" t="str">
        <f t="shared" si="38"/>
        <v/>
      </c>
      <c r="G165" s="1343" t="str">
        <f t="shared" si="33"/>
        <v/>
      </c>
      <c r="H165" s="1343" t="str">
        <f t="shared" si="34"/>
        <v/>
      </c>
      <c r="I165" s="1178" t="e">
        <f t="shared" si="41"/>
        <v>#DIV/0!</v>
      </c>
      <c r="J165" s="1178" t="e">
        <f t="shared" si="41"/>
        <v>#DIV/0!</v>
      </c>
    </row>
    <row r="166" spans="1:10">
      <c r="A166" s="1178">
        <f t="shared" si="35"/>
        <v>161</v>
      </c>
      <c r="B166" s="1269"/>
      <c r="C166" s="1269"/>
      <c r="D166" s="1341" t="str">
        <f t="shared" si="36"/>
        <v/>
      </c>
      <c r="E166" s="1341" t="str">
        <f t="shared" si="37"/>
        <v/>
      </c>
      <c r="F166" s="1341" t="str">
        <f t="shared" si="38"/>
        <v/>
      </c>
      <c r="G166" s="1343" t="str">
        <f t="shared" si="33"/>
        <v/>
      </c>
      <c r="H166" s="1343" t="str">
        <f t="shared" si="34"/>
        <v/>
      </c>
      <c r="I166" s="1178" t="e">
        <f t="shared" si="41"/>
        <v>#DIV/0!</v>
      </c>
      <c r="J166" s="1178" t="e">
        <f t="shared" si="41"/>
        <v>#DIV/0!</v>
      </c>
    </row>
    <row r="167" spans="1:10">
      <c r="A167" s="1178">
        <f t="shared" si="35"/>
        <v>162</v>
      </c>
      <c r="B167" s="1269"/>
      <c r="C167" s="1269"/>
      <c r="D167" s="1341" t="str">
        <f t="shared" si="36"/>
        <v/>
      </c>
      <c r="E167" s="1341" t="str">
        <f t="shared" si="37"/>
        <v/>
      </c>
      <c r="F167" s="1341" t="str">
        <f t="shared" si="38"/>
        <v/>
      </c>
      <c r="G167" s="1343" t="str">
        <f t="shared" si="33"/>
        <v/>
      </c>
      <c r="H167" s="1343" t="str">
        <f t="shared" si="34"/>
        <v/>
      </c>
      <c r="I167" s="1178" t="e">
        <f t="shared" ref="I167:J182" si="42">I166</f>
        <v>#DIV/0!</v>
      </c>
      <c r="J167" s="1178" t="e">
        <f t="shared" si="42"/>
        <v>#DIV/0!</v>
      </c>
    </row>
    <row r="168" spans="1:10">
      <c r="A168" s="1178">
        <f t="shared" si="35"/>
        <v>163</v>
      </c>
      <c r="B168" s="1269"/>
      <c r="C168" s="1269"/>
      <c r="D168" s="1341" t="str">
        <f t="shared" si="36"/>
        <v/>
      </c>
      <c r="E168" s="1341" t="str">
        <f t="shared" si="37"/>
        <v/>
      </c>
      <c r="F168" s="1341" t="str">
        <f t="shared" si="38"/>
        <v/>
      </c>
      <c r="G168" s="1343" t="str">
        <f t="shared" si="33"/>
        <v/>
      </c>
      <c r="H168" s="1343" t="str">
        <f t="shared" si="34"/>
        <v/>
      </c>
      <c r="I168" s="1178" t="e">
        <f t="shared" si="42"/>
        <v>#DIV/0!</v>
      </c>
      <c r="J168" s="1178" t="e">
        <f t="shared" si="42"/>
        <v>#DIV/0!</v>
      </c>
    </row>
    <row r="169" spans="1:10">
      <c r="A169" s="1178">
        <f t="shared" si="35"/>
        <v>164</v>
      </c>
      <c r="B169" s="1269"/>
      <c r="C169" s="1269"/>
      <c r="D169" s="1341" t="str">
        <f t="shared" si="36"/>
        <v/>
      </c>
      <c r="E169" s="1341" t="str">
        <f t="shared" si="37"/>
        <v/>
      </c>
      <c r="F169" s="1341" t="str">
        <f t="shared" si="38"/>
        <v/>
      </c>
      <c r="G169" s="1343" t="str">
        <f t="shared" si="33"/>
        <v/>
      </c>
      <c r="H169" s="1343" t="str">
        <f t="shared" si="34"/>
        <v/>
      </c>
      <c r="I169" s="1178" t="e">
        <f t="shared" si="42"/>
        <v>#DIV/0!</v>
      </c>
      <c r="J169" s="1178" t="e">
        <f t="shared" si="42"/>
        <v>#DIV/0!</v>
      </c>
    </row>
    <row r="170" spans="1:10">
      <c r="A170" s="1178">
        <f t="shared" si="35"/>
        <v>165</v>
      </c>
      <c r="B170" s="1269"/>
      <c r="C170" s="1269"/>
      <c r="D170" s="1341" t="str">
        <f t="shared" si="36"/>
        <v/>
      </c>
      <c r="E170" s="1341" t="str">
        <f t="shared" si="37"/>
        <v/>
      </c>
      <c r="F170" s="1341" t="str">
        <f t="shared" si="38"/>
        <v/>
      </c>
      <c r="G170" s="1343" t="str">
        <f t="shared" si="33"/>
        <v/>
      </c>
      <c r="H170" s="1343" t="str">
        <f t="shared" si="34"/>
        <v/>
      </c>
      <c r="I170" s="1178" t="e">
        <f t="shared" si="42"/>
        <v>#DIV/0!</v>
      </c>
      <c r="J170" s="1178" t="e">
        <f t="shared" si="42"/>
        <v>#DIV/0!</v>
      </c>
    </row>
    <row r="171" spans="1:10">
      <c r="A171" s="1178">
        <f t="shared" si="35"/>
        <v>166</v>
      </c>
      <c r="B171" s="1269"/>
      <c r="C171" s="1269"/>
      <c r="D171" s="1341" t="str">
        <f t="shared" si="36"/>
        <v/>
      </c>
      <c r="E171" s="1341" t="str">
        <f t="shared" si="37"/>
        <v/>
      </c>
      <c r="F171" s="1341" t="str">
        <f t="shared" si="38"/>
        <v/>
      </c>
      <c r="G171" s="1343" t="str">
        <f t="shared" si="33"/>
        <v/>
      </c>
      <c r="H171" s="1343" t="str">
        <f t="shared" si="34"/>
        <v/>
      </c>
      <c r="I171" s="1178" t="e">
        <f t="shared" si="42"/>
        <v>#DIV/0!</v>
      </c>
      <c r="J171" s="1178" t="e">
        <f t="shared" si="42"/>
        <v>#DIV/0!</v>
      </c>
    </row>
    <row r="172" spans="1:10">
      <c r="A172" s="1178">
        <f t="shared" si="35"/>
        <v>167</v>
      </c>
      <c r="B172" s="1269"/>
      <c r="C172" s="1269"/>
      <c r="D172" s="1341" t="str">
        <f t="shared" si="36"/>
        <v/>
      </c>
      <c r="E172" s="1341" t="str">
        <f t="shared" si="37"/>
        <v/>
      </c>
      <c r="F172" s="1341" t="str">
        <f t="shared" si="38"/>
        <v/>
      </c>
      <c r="G172" s="1343" t="str">
        <f t="shared" si="33"/>
        <v/>
      </c>
      <c r="H172" s="1343" t="str">
        <f t="shared" si="34"/>
        <v/>
      </c>
      <c r="I172" s="1178" t="e">
        <f t="shared" si="42"/>
        <v>#DIV/0!</v>
      </c>
      <c r="J172" s="1178" t="e">
        <f t="shared" si="42"/>
        <v>#DIV/0!</v>
      </c>
    </row>
    <row r="173" spans="1:10">
      <c r="A173" s="1178">
        <f t="shared" si="35"/>
        <v>168</v>
      </c>
      <c r="B173" s="1269"/>
      <c r="C173" s="1269"/>
      <c r="D173" s="1341" t="str">
        <f t="shared" si="36"/>
        <v/>
      </c>
      <c r="E173" s="1341" t="str">
        <f t="shared" si="37"/>
        <v/>
      </c>
      <c r="F173" s="1341" t="str">
        <f t="shared" si="38"/>
        <v/>
      </c>
      <c r="G173" s="1343" t="str">
        <f t="shared" si="33"/>
        <v/>
      </c>
      <c r="H173" s="1343" t="str">
        <f t="shared" si="34"/>
        <v/>
      </c>
      <c r="I173" s="1178" t="e">
        <f t="shared" si="42"/>
        <v>#DIV/0!</v>
      </c>
      <c r="J173" s="1178" t="e">
        <f t="shared" si="42"/>
        <v>#DIV/0!</v>
      </c>
    </row>
    <row r="174" spans="1:10">
      <c r="A174" s="1178">
        <f t="shared" si="35"/>
        <v>169</v>
      </c>
      <c r="B174" s="1269"/>
      <c r="C174" s="1269"/>
      <c r="D174" s="1341" t="str">
        <f t="shared" si="36"/>
        <v/>
      </c>
      <c r="E174" s="1341" t="str">
        <f t="shared" si="37"/>
        <v/>
      </c>
      <c r="F174" s="1341" t="str">
        <f t="shared" si="38"/>
        <v/>
      </c>
      <c r="G174" s="1343" t="str">
        <f t="shared" ref="G174:G237" si="43">IF(C174="","",G$5)</f>
        <v/>
      </c>
      <c r="H174" s="1343" t="str">
        <f t="shared" si="34"/>
        <v/>
      </c>
      <c r="I174" s="1178" t="e">
        <f t="shared" si="42"/>
        <v>#DIV/0!</v>
      </c>
      <c r="J174" s="1178" t="e">
        <f t="shared" si="42"/>
        <v>#DIV/0!</v>
      </c>
    </row>
    <row r="175" spans="1:10">
      <c r="A175" s="1178">
        <f t="shared" si="35"/>
        <v>170</v>
      </c>
      <c r="B175" s="1269"/>
      <c r="C175" s="1269"/>
      <c r="D175" s="1341" t="str">
        <f t="shared" si="36"/>
        <v/>
      </c>
      <c r="E175" s="1341" t="str">
        <f t="shared" si="37"/>
        <v/>
      </c>
      <c r="F175" s="1341" t="str">
        <f t="shared" si="38"/>
        <v/>
      </c>
      <c r="G175" s="1343" t="str">
        <f t="shared" si="43"/>
        <v/>
      </c>
      <c r="H175" s="1343" t="str">
        <f t="shared" ref="H175:H238" si="44">IF(C175="","",H$5)</f>
        <v/>
      </c>
      <c r="I175" s="1178" t="e">
        <f t="shared" si="42"/>
        <v>#DIV/0!</v>
      </c>
      <c r="J175" s="1178" t="e">
        <f t="shared" si="42"/>
        <v>#DIV/0!</v>
      </c>
    </row>
    <row r="176" spans="1:10">
      <c r="A176" s="1178">
        <f t="shared" ref="A176:A239" si="45">A175+1</f>
        <v>171</v>
      </c>
      <c r="B176" s="1269"/>
      <c r="C176" s="1269"/>
      <c r="D176" s="1341" t="str">
        <f t="shared" si="36"/>
        <v/>
      </c>
      <c r="E176" s="1341" t="str">
        <f t="shared" si="37"/>
        <v/>
      </c>
      <c r="F176" s="1341" t="str">
        <f t="shared" si="38"/>
        <v/>
      </c>
      <c r="G176" s="1343" t="str">
        <f t="shared" si="43"/>
        <v/>
      </c>
      <c r="H176" s="1343" t="str">
        <f t="shared" si="44"/>
        <v/>
      </c>
      <c r="I176" s="1178" t="e">
        <f t="shared" si="42"/>
        <v>#DIV/0!</v>
      </c>
      <c r="J176" s="1178" t="e">
        <f t="shared" si="42"/>
        <v>#DIV/0!</v>
      </c>
    </row>
    <row r="177" spans="1:10">
      <c r="A177" s="1178">
        <f t="shared" si="45"/>
        <v>172</v>
      </c>
      <c r="B177" s="1269"/>
      <c r="C177" s="1269"/>
      <c r="D177" s="1341" t="str">
        <f t="shared" si="36"/>
        <v/>
      </c>
      <c r="E177" s="1341" t="str">
        <f t="shared" si="37"/>
        <v/>
      </c>
      <c r="F177" s="1341" t="str">
        <f t="shared" si="38"/>
        <v/>
      </c>
      <c r="G177" s="1343" t="str">
        <f t="shared" si="43"/>
        <v/>
      </c>
      <c r="H177" s="1343" t="str">
        <f t="shared" si="44"/>
        <v/>
      </c>
      <c r="I177" s="1178" t="e">
        <f t="shared" si="42"/>
        <v>#DIV/0!</v>
      </c>
      <c r="J177" s="1178" t="e">
        <f t="shared" si="42"/>
        <v>#DIV/0!</v>
      </c>
    </row>
    <row r="178" spans="1:10">
      <c r="A178" s="1178">
        <f t="shared" si="45"/>
        <v>173</v>
      </c>
      <c r="B178" s="1269"/>
      <c r="C178" s="1269"/>
      <c r="D178" s="1341" t="str">
        <f t="shared" si="36"/>
        <v/>
      </c>
      <c r="E178" s="1341" t="str">
        <f t="shared" si="37"/>
        <v/>
      </c>
      <c r="F178" s="1341" t="str">
        <f t="shared" si="38"/>
        <v/>
      </c>
      <c r="G178" s="1343" t="str">
        <f t="shared" si="43"/>
        <v/>
      </c>
      <c r="H178" s="1343" t="str">
        <f t="shared" si="44"/>
        <v/>
      </c>
      <c r="I178" s="1178" t="e">
        <f t="shared" si="42"/>
        <v>#DIV/0!</v>
      </c>
      <c r="J178" s="1178" t="e">
        <f t="shared" si="42"/>
        <v>#DIV/0!</v>
      </c>
    </row>
    <row r="179" spans="1:10">
      <c r="A179" s="1178">
        <f t="shared" si="45"/>
        <v>174</v>
      </c>
      <c r="B179" s="1269"/>
      <c r="C179" s="1269"/>
      <c r="D179" s="1341" t="str">
        <f t="shared" si="36"/>
        <v/>
      </c>
      <c r="E179" s="1341" t="str">
        <f t="shared" si="37"/>
        <v/>
      </c>
      <c r="F179" s="1341" t="str">
        <f t="shared" si="38"/>
        <v/>
      </c>
      <c r="G179" s="1343" t="str">
        <f t="shared" si="43"/>
        <v/>
      </c>
      <c r="H179" s="1343" t="str">
        <f t="shared" si="44"/>
        <v/>
      </c>
      <c r="I179" s="1178" t="e">
        <f t="shared" si="42"/>
        <v>#DIV/0!</v>
      </c>
      <c r="J179" s="1178" t="e">
        <f t="shared" si="42"/>
        <v>#DIV/0!</v>
      </c>
    </row>
    <row r="180" spans="1:10">
      <c r="A180" s="1178">
        <f t="shared" si="45"/>
        <v>175</v>
      </c>
      <c r="B180" s="1269"/>
      <c r="C180" s="1269"/>
      <c r="D180" s="1341" t="str">
        <f t="shared" si="36"/>
        <v/>
      </c>
      <c r="E180" s="1341" t="str">
        <f t="shared" si="37"/>
        <v/>
      </c>
      <c r="F180" s="1341" t="str">
        <f t="shared" si="38"/>
        <v/>
      </c>
      <c r="G180" s="1343" t="str">
        <f t="shared" si="43"/>
        <v/>
      </c>
      <c r="H180" s="1343" t="str">
        <f t="shared" si="44"/>
        <v/>
      </c>
      <c r="I180" s="1178" t="e">
        <f t="shared" si="42"/>
        <v>#DIV/0!</v>
      </c>
      <c r="J180" s="1178" t="e">
        <f t="shared" si="42"/>
        <v>#DIV/0!</v>
      </c>
    </row>
    <row r="181" spans="1:10">
      <c r="A181" s="1178">
        <f t="shared" si="45"/>
        <v>176</v>
      </c>
      <c r="B181" s="1269"/>
      <c r="C181" s="1269"/>
      <c r="D181" s="1341" t="str">
        <f t="shared" si="36"/>
        <v/>
      </c>
      <c r="E181" s="1341" t="str">
        <f t="shared" si="37"/>
        <v/>
      </c>
      <c r="F181" s="1341" t="str">
        <f t="shared" si="38"/>
        <v/>
      </c>
      <c r="G181" s="1343" t="str">
        <f t="shared" si="43"/>
        <v/>
      </c>
      <c r="H181" s="1343" t="str">
        <f t="shared" si="44"/>
        <v/>
      </c>
      <c r="I181" s="1178" t="e">
        <f t="shared" si="42"/>
        <v>#DIV/0!</v>
      </c>
      <c r="J181" s="1178" t="e">
        <f t="shared" si="42"/>
        <v>#DIV/0!</v>
      </c>
    </row>
    <row r="182" spans="1:10">
      <c r="A182" s="1178">
        <f t="shared" si="45"/>
        <v>177</v>
      </c>
      <c r="B182" s="1269"/>
      <c r="C182" s="1269"/>
      <c r="D182" s="1341" t="str">
        <f t="shared" si="36"/>
        <v/>
      </c>
      <c r="E182" s="1341" t="str">
        <f t="shared" si="37"/>
        <v/>
      </c>
      <c r="F182" s="1341" t="str">
        <f t="shared" si="38"/>
        <v/>
      </c>
      <c r="G182" s="1343" t="str">
        <f t="shared" si="43"/>
        <v/>
      </c>
      <c r="H182" s="1343" t="str">
        <f t="shared" si="44"/>
        <v/>
      </c>
      <c r="I182" s="1178" t="e">
        <f t="shared" si="42"/>
        <v>#DIV/0!</v>
      </c>
      <c r="J182" s="1178" t="e">
        <f t="shared" si="42"/>
        <v>#DIV/0!</v>
      </c>
    </row>
    <row r="183" spans="1:10">
      <c r="A183" s="1178">
        <f t="shared" si="45"/>
        <v>178</v>
      </c>
      <c r="B183" s="1269"/>
      <c r="C183" s="1269"/>
      <c r="D183" s="1341" t="str">
        <f t="shared" ref="D183:D246" si="46">IF($B183="","",($R$38*B183+$R$37)-(3*$R$36))</f>
        <v/>
      </c>
      <c r="E183" s="1341" t="str">
        <f t="shared" ref="E183:E246" si="47">IF($B183="","",($R$38*B183+$R$37))</f>
        <v/>
      </c>
      <c r="F183" s="1341" t="str">
        <f t="shared" ref="F183:F246" si="48">IF($B183="","",($R$38*B183+$R$37)+(3*$R$36))</f>
        <v/>
      </c>
      <c r="G183" s="1343" t="str">
        <f t="shared" si="43"/>
        <v/>
      </c>
      <c r="H183" s="1343" t="str">
        <f t="shared" si="44"/>
        <v/>
      </c>
      <c r="I183" s="1178" t="e">
        <f t="shared" ref="I183:J198" si="49">I182</f>
        <v>#DIV/0!</v>
      </c>
      <c r="J183" s="1178" t="e">
        <f t="shared" si="49"/>
        <v>#DIV/0!</v>
      </c>
    </row>
    <row r="184" spans="1:10">
      <c r="A184" s="1178">
        <f t="shared" si="45"/>
        <v>179</v>
      </c>
      <c r="B184" s="1269"/>
      <c r="C184" s="1269"/>
      <c r="D184" s="1341" t="str">
        <f t="shared" si="46"/>
        <v/>
      </c>
      <c r="E184" s="1341" t="str">
        <f t="shared" si="47"/>
        <v/>
      </c>
      <c r="F184" s="1341" t="str">
        <f t="shared" si="48"/>
        <v/>
      </c>
      <c r="G184" s="1343" t="str">
        <f t="shared" si="43"/>
        <v/>
      </c>
      <c r="H184" s="1343" t="str">
        <f t="shared" si="44"/>
        <v/>
      </c>
      <c r="I184" s="1178" t="e">
        <f t="shared" si="49"/>
        <v>#DIV/0!</v>
      </c>
      <c r="J184" s="1178" t="e">
        <f t="shared" si="49"/>
        <v>#DIV/0!</v>
      </c>
    </row>
    <row r="185" spans="1:10">
      <c r="A185" s="1178">
        <f t="shared" si="45"/>
        <v>180</v>
      </c>
      <c r="B185" s="1269"/>
      <c r="C185" s="1269"/>
      <c r="D185" s="1341" t="str">
        <f t="shared" si="46"/>
        <v/>
      </c>
      <c r="E185" s="1341" t="str">
        <f t="shared" si="47"/>
        <v/>
      </c>
      <c r="F185" s="1341" t="str">
        <f t="shared" si="48"/>
        <v/>
      </c>
      <c r="G185" s="1343" t="str">
        <f t="shared" si="43"/>
        <v/>
      </c>
      <c r="H185" s="1343" t="str">
        <f t="shared" si="44"/>
        <v/>
      </c>
      <c r="I185" s="1178" t="e">
        <f t="shared" si="49"/>
        <v>#DIV/0!</v>
      </c>
      <c r="J185" s="1178" t="e">
        <f t="shared" si="49"/>
        <v>#DIV/0!</v>
      </c>
    </row>
    <row r="186" spans="1:10">
      <c r="A186" s="1178">
        <f t="shared" si="45"/>
        <v>181</v>
      </c>
      <c r="B186" s="1269"/>
      <c r="C186" s="1269"/>
      <c r="D186" s="1341" t="str">
        <f t="shared" si="46"/>
        <v/>
      </c>
      <c r="E186" s="1341" t="str">
        <f t="shared" si="47"/>
        <v/>
      </c>
      <c r="F186" s="1341" t="str">
        <f t="shared" si="48"/>
        <v/>
      </c>
      <c r="G186" s="1343" t="str">
        <f t="shared" si="43"/>
        <v/>
      </c>
      <c r="H186" s="1343" t="str">
        <f t="shared" si="44"/>
        <v/>
      </c>
      <c r="I186" s="1178" t="e">
        <f t="shared" si="49"/>
        <v>#DIV/0!</v>
      </c>
      <c r="J186" s="1178" t="e">
        <f t="shared" si="49"/>
        <v>#DIV/0!</v>
      </c>
    </row>
    <row r="187" spans="1:10">
      <c r="A187" s="1178">
        <f t="shared" si="45"/>
        <v>182</v>
      </c>
      <c r="B187" s="1269"/>
      <c r="C187" s="1269"/>
      <c r="D187" s="1341" t="str">
        <f t="shared" si="46"/>
        <v/>
      </c>
      <c r="E187" s="1341" t="str">
        <f t="shared" si="47"/>
        <v/>
      </c>
      <c r="F187" s="1341" t="str">
        <f t="shared" si="48"/>
        <v/>
      </c>
      <c r="G187" s="1343" t="str">
        <f t="shared" si="43"/>
        <v/>
      </c>
      <c r="H187" s="1343" t="str">
        <f t="shared" si="44"/>
        <v/>
      </c>
      <c r="I187" s="1178" t="e">
        <f t="shared" si="49"/>
        <v>#DIV/0!</v>
      </c>
      <c r="J187" s="1178" t="e">
        <f t="shared" si="49"/>
        <v>#DIV/0!</v>
      </c>
    </row>
    <row r="188" spans="1:10">
      <c r="A188" s="1178">
        <f t="shared" si="45"/>
        <v>183</v>
      </c>
      <c r="B188" s="1269"/>
      <c r="C188" s="1269"/>
      <c r="D188" s="1341" t="str">
        <f t="shared" si="46"/>
        <v/>
      </c>
      <c r="E188" s="1341" t="str">
        <f t="shared" si="47"/>
        <v/>
      </c>
      <c r="F188" s="1341" t="str">
        <f t="shared" si="48"/>
        <v/>
      </c>
      <c r="G188" s="1343" t="str">
        <f t="shared" si="43"/>
        <v/>
      </c>
      <c r="H188" s="1343" t="str">
        <f t="shared" si="44"/>
        <v/>
      </c>
      <c r="I188" s="1178" t="e">
        <f t="shared" si="49"/>
        <v>#DIV/0!</v>
      </c>
      <c r="J188" s="1178" t="e">
        <f t="shared" si="49"/>
        <v>#DIV/0!</v>
      </c>
    </row>
    <row r="189" spans="1:10">
      <c r="A189" s="1178">
        <f t="shared" si="45"/>
        <v>184</v>
      </c>
      <c r="B189" s="1269"/>
      <c r="C189" s="1269"/>
      <c r="D189" s="1341" t="str">
        <f t="shared" si="46"/>
        <v/>
      </c>
      <c r="E189" s="1341" t="str">
        <f t="shared" si="47"/>
        <v/>
      </c>
      <c r="F189" s="1341" t="str">
        <f t="shared" si="48"/>
        <v/>
      </c>
      <c r="G189" s="1343" t="str">
        <f t="shared" si="43"/>
        <v/>
      </c>
      <c r="H189" s="1343" t="str">
        <f t="shared" si="44"/>
        <v/>
      </c>
      <c r="I189" s="1178" t="e">
        <f t="shared" si="49"/>
        <v>#DIV/0!</v>
      </c>
      <c r="J189" s="1178" t="e">
        <f t="shared" si="49"/>
        <v>#DIV/0!</v>
      </c>
    </row>
    <row r="190" spans="1:10">
      <c r="A190" s="1178">
        <f t="shared" si="45"/>
        <v>185</v>
      </c>
      <c r="B190" s="1269"/>
      <c r="C190" s="1269"/>
      <c r="D190" s="1341" t="str">
        <f t="shared" si="46"/>
        <v/>
      </c>
      <c r="E190" s="1341" t="str">
        <f t="shared" si="47"/>
        <v/>
      </c>
      <c r="F190" s="1341" t="str">
        <f t="shared" si="48"/>
        <v/>
      </c>
      <c r="G190" s="1343" t="str">
        <f t="shared" si="43"/>
        <v/>
      </c>
      <c r="H190" s="1343" t="str">
        <f t="shared" si="44"/>
        <v/>
      </c>
      <c r="I190" s="1178" t="e">
        <f t="shared" si="49"/>
        <v>#DIV/0!</v>
      </c>
      <c r="J190" s="1178" t="e">
        <f t="shared" si="49"/>
        <v>#DIV/0!</v>
      </c>
    </row>
    <row r="191" spans="1:10">
      <c r="A191" s="1178">
        <f t="shared" si="45"/>
        <v>186</v>
      </c>
      <c r="B191" s="1269"/>
      <c r="C191" s="1269"/>
      <c r="D191" s="1341" t="str">
        <f t="shared" si="46"/>
        <v/>
      </c>
      <c r="E191" s="1341" t="str">
        <f t="shared" si="47"/>
        <v/>
      </c>
      <c r="F191" s="1341" t="str">
        <f t="shared" si="48"/>
        <v/>
      </c>
      <c r="G191" s="1343" t="str">
        <f t="shared" si="43"/>
        <v/>
      </c>
      <c r="H191" s="1343" t="str">
        <f t="shared" si="44"/>
        <v/>
      </c>
      <c r="I191" s="1178" t="e">
        <f t="shared" si="49"/>
        <v>#DIV/0!</v>
      </c>
      <c r="J191" s="1178" t="e">
        <f t="shared" si="49"/>
        <v>#DIV/0!</v>
      </c>
    </row>
    <row r="192" spans="1:10">
      <c r="A192" s="1178">
        <f t="shared" si="45"/>
        <v>187</v>
      </c>
      <c r="B192" s="1269"/>
      <c r="C192" s="1269"/>
      <c r="D192" s="1341" t="str">
        <f t="shared" si="46"/>
        <v/>
      </c>
      <c r="E192" s="1341" t="str">
        <f t="shared" si="47"/>
        <v/>
      </c>
      <c r="F192" s="1341" t="str">
        <f t="shared" si="48"/>
        <v/>
      </c>
      <c r="G192" s="1343" t="str">
        <f t="shared" si="43"/>
        <v/>
      </c>
      <c r="H192" s="1343" t="str">
        <f t="shared" si="44"/>
        <v/>
      </c>
      <c r="I192" s="1178" t="e">
        <f t="shared" si="49"/>
        <v>#DIV/0!</v>
      </c>
      <c r="J192" s="1178" t="e">
        <f t="shared" si="49"/>
        <v>#DIV/0!</v>
      </c>
    </row>
    <row r="193" spans="1:10">
      <c r="A193" s="1178">
        <f t="shared" si="45"/>
        <v>188</v>
      </c>
      <c r="B193" s="1269"/>
      <c r="C193" s="1269"/>
      <c r="D193" s="1341" t="str">
        <f t="shared" si="46"/>
        <v/>
      </c>
      <c r="E193" s="1341" t="str">
        <f t="shared" si="47"/>
        <v/>
      </c>
      <c r="F193" s="1341" t="str">
        <f t="shared" si="48"/>
        <v/>
      </c>
      <c r="G193" s="1343" t="str">
        <f t="shared" si="43"/>
        <v/>
      </c>
      <c r="H193" s="1343" t="str">
        <f t="shared" si="44"/>
        <v/>
      </c>
      <c r="I193" s="1178" t="e">
        <f t="shared" si="49"/>
        <v>#DIV/0!</v>
      </c>
      <c r="J193" s="1178" t="e">
        <f t="shared" si="49"/>
        <v>#DIV/0!</v>
      </c>
    </row>
    <row r="194" spans="1:10">
      <c r="A194" s="1178">
        <f t="shared" si="45"/>
        <v>189</v>
      </c>
      <c r="B194" s="1269"/>
      <c r="C194" s="1269"/>
      <c r="D194" s="1341" t="str">
        <f t="shared" si="46"/>
        <v/>
      </c>
      <c r="E194" s="1341" t="str">
        <f t="shared" si="47"/>
        <v/>
      </c>
      <c r="F194" s="1341" t="str">
        <f t="shared" si="48"/>
        <v/>
      </c>
      <c r="G194" s="1343" t="str">
        <f t="shared" si="43"/>
        <v/>
      </c>
      <c r="H194" s="1343" t="str">
        <f t="shared" si="44"/>
        <v/>
      </c>
      <c r="I194" s="1178" t="e">
        <f t="shared" si="49"/>
        <v>#DIV/0!</v>
      </c>
      <c r="J194" s="1178" t="e">
        <f t="shared" si="49"/>
        <v>#DIV/0!</v>
      </c>
    </row>
    <row r="195" spans="1:10">
      <c r="A195" s="1178">
        <f t="shared" si="45"/>
        <v>190</v>
      </c>
      <c r="B195" s="1269"/>
      <c r="C195" s="1269"/>
      <c r="D195" s="1341" t="str">
        <f t="shared" si="46"/>
        <v/>
      </c>
      <c r="E195" s="1341" t="str">
        <f t="shared" si="47"/>
        <v/>
      </c>
      <c r="F195" s="1341" t="str">
        <f t="shared" si="48"/>
        <v/>
      </c>
      <c r="G195" s="1343" t="str">
        <f t="shared" si="43"/>
        <v/>
      </c>
      <c r="H195" s="1343" t="str">
        <f t="shared" si="44"/>
        <v/>
      </c>
      <c r="I195" s="1178" t="e">
        <f t="shared" si="49"/>
        <v>#DIV/0!</v>
      </c>
      <c r="J195" s="1178" t="e">
        <f t="shared" si="49"/>
        <v>#DIV/0!</v>
      </c>
    </row>
    <row r="196" spans="1:10">
      <c r="A196" s="1178">
        <f t="shared" si="45"/>
        <v>191</v>
      </c>
      <c r="B196" s="1269"/>
      <c r="C196" s="1269"/>
      <c r="D196" s="1341" t="str">
        <f t="shared" si="46"/>
        <v/>
      </c>
      <c r="E196" s="1341" t="str">
        <f t="shared" si="47"/>
        <v/>
      </c>
      <c r="F196" s="1341" t="str">
        <f t="shared" si="48"/>
        <v/>
      </c>
      <c r="G196" s="1343" t="str">
        <f t="shared" si="43"/>
        <v/>
      </c>
      <c r="H196" s="1343" t="str">
        <f t="shared" si="44"/>
        <v/>
      </c>
      <c r="I196" s="1178" t="e">
        <f t="shared" si="49"/>
        <v>#DIV/0!</v>
      </c>
      <c r="J196" s="1178" t="e">
        <f t="shared" si="49"/>
        <v>#DIV/0!</v>
      </c>
    </row>
    <row r="197" spans="1:10">
      <c r="A197" s="1178">
        <f t="shared" si="45"/>
        <v>192</v>
      </c>
      <c r="B197" s="1269"/>
      <c r="C197" s="1269"/>
      <c r="D197" s="1341" t="str">
        <f t="shared" si="46"/>
        <v/>
      </c>
      <c r="E197" s="1341" t="str">
        <f t="shared" si="47"/>
        <v/>
      </c>
      <c r="F197" s="1341" t="str">
        <f t="shared" si="48"/>
        <v/>
      </c>
      <c r="G197" s="1343" t="str">
        <f t="shared" si="43"/>
        <v/>
      </c>
      <c r="H197" s="1343" t="str">
        <f t="shared" si="44"/>
        <v/>
      </c>
      <c r="I197" s="1178" t="e">
        <f t="shared" si="49"/>
        <v>#DIV/0!</v>
      </c>
      <c r="J197" s="1178" t="e">
        <f t="shared" si="49"/>
        <v>#DIV/0!</v>
      </c>
    </row>
    <row r="198" spans="1:10">
      <c r="A198" s="1178">
        <f t="shared" si="45"/>
        <v>193</v>
      </c>
      <c r="B198" s="1269"/>
      <c r="C198" s="1269"/>
      <c r="D198" s="1341" t="str">
        <f t="shared" si="46"/>
        <v/>
      </c>
      <c r="E198" s="1341" t="str">
        <f t="shared" si="47"/>
        <v/>
      </c>
      <c r="F198" s="1341" t="str">
        <f t="shared" si="48"/>
        <v/>
      </c>
      <c r="G198" s="1343" t="str">
        <f t="shared" si="43"/>
        <v/>
      </c>
      <c r="H198" s="1343" t="str">
        <f t="shared" si="44"/>
        <v/>
      </c>
      <c r="I198" s="1178" t="e">
        <f t="shared" si="49"/>
        <v>#DIV/0!</v>
      </c>
      <c r="J198" s="1178" t="e">
        <f t="shared" si="49"/>
        <v>#DIV/0!</v>
      </c>
    </row>
    <row r="199" spans="1:10">
      <c r="A199" s="1178">
        <f t="shared" si="45"/>
        <v>194</v>
      </c>
      <c r="B199" s="1269"/>
      <c r="C199" s="1269"/>
      <c r="D199" s="1341" t="str">
        <f t="shared" si="46"/>
        <v/>
      </c>
      <c r="E199" s="1341" t="str">
        <f t="shared" si="47"/>
        <v/>
      </c>
      <c r="F199" s="1341" t="str">
        <f t="shared" si="48"/>
        <v/>
      </c>
      <c r="G199" s="1343" t="str">
        <f t="shared" si="43"/>
        <v/>
      </c>
      <c r="H199" s="1343" t="str">
        <f t="shared" si="44"/>
        <v/>
      </c>
      <c r="I199" s="1178" t="e">
        <f t="shared" ref="I199:J214" si="50">I198</f>
        <v>#DIV/0!</v>
      </c>
      <c r="J199" s="1178" t="e">
        <f t="shared" si="50"/>
        <v>#DIV/0!</v>
      </c>
    </row>
    <row r="200" spans="1:10">
      <c r="A200" s="1178">
        <f>A199+1</f>
        <v>195</v>
      </c>
      <c r="B200" s="1269"/>
      <c r="C200" s="1269"/>
      <c r="D200" s="1341" t="str">
        <f t="shared" si="46"/>
        <v/>
      </c>
      <c r="E200" s="1341" t="str">
        <f t="shared" si="47"/>
        <v/>
      </c>
      <c r="F200" s="1341" t="str">
        <f t="shared" si="48"/>
        <v/>
      </c>
      <c r="G200" s="1343" t="str">
        <f t="shared" si="43"/>
        <v/>
      </c>
      <c r="H200" s="1343" t="str">
        <f t="shared" si="44"/>
        <v/>
      </c>
      <c r="I200" s="1178" t="e">
        <f t="shared" si="50"/>
        <v>#DIV/0!</v>
      </c>
      <c r="J200" s="1178" t="e">
        <f t="shared" si="50"/>
        <v>#DIV/0!</v>
      </c>
    </row>
    <row r="201" spans="1:10">
      <c r="A201" s="1178">
        <f>A200+1</f>
        <v>196</v>
      </c>
      <c r="B201" s="1269"/>
      <c r="C201" s="1269"/>
      <c r="D201" s="1341" t="str">
        <f t="shared" si="46"/>
        <v/>
      </c>
      <c r="E201" s="1341" t="str">
        <f t="shared" si="47"/>
        <v/>
      </c>
      <c r="F201" s="1341" t="str">
        <f t="shared" si="48"/>
        <v/>
      </c>
      <c r="G201" s="1343" t="str">
        <f t="shared" si="43"/>
        <v/>
      </c>
      <c r="H201" s="1343" t="str">
        <f t="shared" si="44"/>
        <v/>
      </c>
      <c r="I201" s="1178" t="e">
        <f t="shared" si="50"/>
        <v>#DIV/0!</v>
      </c>
      <c r="J201" s="1178" t="e">
        <f t="shared" si="50"/>
        <v>#DIV/0!</v>
      </c>
    </row>
    <row r="202" spans="1:10">
      <c r="A202" s="1178">
        <f>A201+1</f>
        <v>197</v>
      </c>
      <c r="B202" s="1269"/>
      <c r="C202" s="1269"/>
      <c r="D202" s="1341" t="str">
        <f t="shared" si="46"/>
        <v/>
      </c>
      <c r="E202" s="1341" t="str">
        <f t="shared" si="47"/>
        <v/>
      </c>
      <c r="F202" s="1341" t="str">
        <f t="shared" si="48"/>
        <v/>
      </c>
      <c r="G202" s="1343" t="str">
        <f t="shared" si="43"/>
        <v/>
      </c>
      <c r="H202" s="1343" t="str">
        <f t="shared" si="44"/>
        <v/>
      </c>
      <c r="I202" s="1178" t="e">
        <f t="shared" si="50"/>
        <v>#DIV/0!</v>
      </c>
      <c r="J202" s="1178" t="e">
        <f t="shared" si="50"/>
        <v>#DIV/0!</v>
      </c>
    </row>
    <row r="203" spans="1:10">
      <c r="A203" s="1178">
        <f t="shared" si="45"/>
        <v>198</v>
      </c>
      <c r="B203" s="1269"/>
      <c r="C203" s="1269"/>
      <c r="D203" s="1341" t="str">
        <f t="shared" si="46"/>
        <v/>
      </c>
      <c r="E203" s="1341" t="str">
        <f t="shared" si="47"/>
        <v/>
      </c>
      <c r="F203" s="1341" t="str">
        <f t="shared" si="48"/>
        <v/>
      </c>
      <c r="G203" s="1343" t="str">
        <f t="shared" si="43"/>
        <v/>
      </c>
      <c r="H203" s="1343" t="str">
        <f t="shared" si="44"/>
        <v/>
      </c>
      <c r="I203" s="1178" t="e">
        <f t="shared" si="50"/>
        <v>#DIV/0!</v>
      </c>
      <c r="J203" s="1178" t="e">
        <f t="shared" si="50"/>
        <v>#DIV/0!</v>
      </c>
    </row>
    <row r="204" spans="1:10">
      <c r="A204" s="1178">
        <f t="shared" si="45"/>
        <v>199</v>
      </c>
      <c r="B204" s="1269"/>
      <c r="C204" s="1269"/>
      <c r="D204" s="1341" t="str">
        <f t="shared" si="46"/>
        <v/>
      </c>
      <c r="E204" s="1341" t="str">
        <f t="shared" si="47"/>
        <v/>
      </c>
      <c r="F204" s="1341" t="str">
        <f t="shared" si="48"/>
        <v/>
      </c>
      <c r="G204" s="1343" t="str">
        <f t="shared" si="43"/>
        <v/>
      </c>
      <c r="H204" s="1343" t="str">
        <f t="shared" si="44"/>
        <v/>
      </c>
      <c r="I204" s="1178" t="e">
        <f t="shared" si="50"/>
        <v>#DIV/0!</v>
      </c>
      <c r="J204" s="1178" t="e">
        <f t="shared" si="50"/>
        <v>#DIV/0!</v>
      </c>
    </row>
    <row r="205" spans="1:10">
      <c r="A205" s="1178">
        <f t="shared" si="45"/>
        <v>200</v>
      </c>
      <c r="B205" s="1269"/>
      <c r="C205" s="1269"/>
      <c r="D205" s="1341" t="str">
        <f t="shared" si="46"/>
        <v/>
      </c>
      <c r="E205" s="1341" t="str">
        <f t="shared" si="47"/>
        <v/>
      </c>
      <c r="F205" s="1341" t="str">
        <f t="shared" si="48"/>
        <v/>
      </c>
      <c r="G205" s="1343" t="str">
        <f t="shared" si="43"/>
        <v/>
      </c>
      <c r="H205" s="1343" t="str">
        <f t="shared" si="44"/>
        <v/>
      </c>
      <c r="I205" s="1178" t="e">
        <f t="shared" si="50"/>
        <v>#DIV/0!</v>
      </c>
      <c r="J205" s="1178" t="e">
        <f t="shared" si="50"/>
        <v>#DIV/0!</v>
      </c>
    </row>
    <row r="206" spans="1:10">
      <c r="A206" s="1178">
        <f t="shared" si="45"/>
        <v>201</v>
      </c>
      <c r="B206" s="1269"/>
      <c r="C206" s="1269"/>
      <c r="D206" s="1341" t="str">
        <f t="shared" si="46"/>
        <v/>
      </c>
      <c r="E206" s="1341" t="str">
        <f t="shared" si="47"/>
        <v/>
      </c>
      <c r="F206" s="1341" t="str">
        <f t="shared" si="48"/>
        <v/>
      </c>
      <c r="G206" s="1343" t="str">
        <f t="shared" si="43"/>
        <v/>
      </c>
      <c r="H206" s="1343" t="str">
        <f t="shared" si="44"/>
        <v/>
      </c>
      <c r="I206" s="1178" t="e">
        <f t="shared" si="50"/>
        <v>#DIV/0!</v>
      </c>
      <c r="J206" s="1178" t="e">
        <f t="shared" si="50"/>
        <v>#DIV/0!</v>
      </c>
    </row>
    <row r="207" spans="1:10">
      <c r="A207" s="1178">
        <f t="shared" si="45"/>
        <v>202</v>
      </c>
      <c r="B207" s="1269"/>
      <c r="C207" s="1269"/>
      <c r="D207" s="1341" t="str">
        <f t="shared" si="46"/>
        <v/>
      </c>
      <c r="E207" s="1341" t="str">
        <f t="shared" si="47"/>
        <v/>
      </c>
      <c r="F207" s="1341" t="str">
        <f t="shared" si="48"/>
        <v/>
      </c>
      <c r="G207" s="1343" t="str">
        <f t="shared" si="43"/>
        <v/>
      </c>
      <c r="H207" s="1343" t="str">
        <f t="shared" si="44"/>
        <v/>
      </c>
      <c r="I207" s="1178" t="e">
        <f t="shared" si="50"/>
        <v>#DIV/0!</v>
      </c>
      <c r="J207" s="1178" t="e">
        <f t="shared" si="50"/>
        <v>#DIV/0!</v>
      </c>
    </row>
    <row r="208" spans="1:10">
      <c r="A208" s="1178">
        <f t="shared" si="45"/>
        <v>203</v>
      </c>
      <c r="B208" s="1269"/>
      <c r="C208" s="1269"/>
      <c r="D208" s="1341" t="str">
        <f t="shared" si="46"/>
        <v/>
      </c>
      <c r="E208" s="1341" t="str">
        <f t="shared" si="47"/>
        <v/>
      </c>
      <c r="F208" s="1341" t="str">
        <f t="shared" si="48"/>
        <v/>
      </c>
      <c r="G208" s="1343" t="str">
        <f t="shared" si="43"/>
        <v/>
      </c>
      <c r="H208" s="1343" t="str">
        <f t="shared" si="44"/>
        <v/>
      </c>
      <c r="I208" s="1178" t="e">
        <f t="shared" si="50"/>
        <v>#DIV/0!</v>
      </c>
      <c r="J208" s="1178" t="e">
        <f t="shared" si="50"/>
        <v>#DIV/0!</v>
      </c>
    </row>
    <row r="209" spans="1:10">
      <c r="A209" s="1178">
        <f t="shared" si="45"/>
        <v>204</v>
      </c>
      <c r="B209" s="1269"/>
      <c r="C209" s="1269"/>
      <c r="D209" s="1341" t="str">
        <f t="shared" si="46"/>
        <v/>
      </c>
      <c r="E209" s="1341" t="str">
        <f t="shared" si="47"/>
        <v/>
      </c>
      <c r="F209" s="1341" t="str">
        <f t="shared" si="48"/>
        <v/>
      </c>
      <c r="G209" s="1343" t="str">
        <f t="shared" si="43"/>
        <v/>
      </c>
      <c r="H209" s="1343" t="str">
        <f t="shared" si="44"/>
        <v/>
      </c>
      <c r="I209" s="1178" t="e">
        <f t="shared" si="50"/>
        <v>#DIV/0!</v>
      </c>
      <c r="J209" s="1178" t="e">
        <f t="shared" si="50"/>
        <v>#DIV/0!</v>
      </c>
    </row>
    <row r="210" spans="1:10">
      <c r="A210" s="1178">
        <f t="shared" si="45"/>
        <v>205</v>
      </c>
      <c r="B210" s="1269"/>
      <c r="C210" s="1269"/>
      <c r="D210" s="1341" t="str">
        <f t="shared" si="46"/>
        <v/>
      </c>
      <c r="E210" s="1341" t="str">
        <f t="shared" si="47"/>
        <v/>
      </c>
      <c r="F210" s="1341" t="str">
        <f t="shared" si="48"/>
        <v/>
      </c>
      <c r="G210" s="1343" t="str">
        <f t="shared" si="43"/>
        <v/>
      </c>
      <c r="H210" s="1343" t="str">
        <f t="shared" si="44"/>
        <v/>
      </c>
      <c r="I210" s="1178" t="e">
        <f t="shared" si="50"/>
        <v>#DIV/0!</v>
      </c>
      <c r="J210" s="1178" t="e">
        <f t="shared" si="50"/>
        <v>#DIV/0!</v>
      </c>
    </row>
    <row r="211" spans="1:10">
      <c r="A211" s="1178">
        <f t="shared" si="45"/>
        <v>206</v>
      </c>
      <c r="B211" s="1269"/>
      <c r="C211" s="1269"/>
      <c r="D211" s="1341" t="str">
        <f t="shared" si="46"/>
        <v/>
      </c>
      <c r="E211" s="1341" t="str">
        <f t="shared" si="47"/>
        <v/>
      </c>
      <c r="F211" s="1341" t="str">
        <f t="shared" si="48"/>
        <v/>
      </c>
      <c r="G211" s="1343" t="str">
        <f t="shared" si="43"/>
        <v/>
      </c>
      <c r="H211" s="1343" t="str">
        <f t="shared" si="44"/>
        <v/>
      </c>
      <c r="I211" s="1178" t="e">
        <f t="shared" si="50"/>
        <v>#DIV/0!</v>
      </c>
      <c r="J211" s="1178" t="e">
        <f t="shared" si="50"/>
        <v>#DIV/0!</v>
      </c>
    </row>
    <row r="212" spans="1:10">
      <c r="A212" s="1178">
        <f t="shared" si="45"/>
        <v>207</v>
      </c>
      <c r="B212" s="1269"/>
      <c r="C212" s="1269"/>
      <c r="D212" s="1341" t="str">
        <f t="shared" si="46"/>
        <v/>
      </c>
      <c r="E212" s="1341" t="str">
        <f t="shared" si="47"/>
        <v/>
      </c>
      <c r="F212" s="1341" t="str">
        <f t="shared" si="48"/>
        <v/>
      </c>
      <c r="G212" s="1343" t="str">
        <f t="shared" si="43"/>
        <v/>
      </c>
      <c r="H212" s="1343" t="str">
        <f t="shared" si="44"/>
        <v/>
      </c>
      <c r="I212" s="1178" t="e">
        <f t="shared" si="50"/>
        <v>#DIV/0!</v>
      </c>
      <c r="J212" s="1178" t="e">
        <f t="shared" si="50"/>
        <v>#DIV/0!</v>
      </c>
    </row>
    <row r="213" spans="1:10">
      <c r="A213" s="1178">
        <f t="shared" si="45"/>
        <v>208</v>
      </c>
      <c r="B213" s="1269"/>
      <c r="C213" s="1269"/>
      <c r="D213" s="1341" t="str">
        <f t="shared" si="46"/>
        <v/>
      </c>
      <c r="E213" s="1341" t="str">
        <f t="shared" si="47"/>
        <v/>
      </c>
      <c r="F213" s="1341" t="str">
        <f t="shared" si="48"/>
        <v/>
      </c>
      <c r="G213" s="1343" t="str">
        <f t="shared" si="43"/>
        <v/>
      </c>
      <c r="H213" s="1343" t="str">
        <f t="shared" si="44"/>
        <v/>
      </c>
      <c r="I213" s="1178" t="e">
        <f t="shared" si="50"/>
        <v>#DIV/0!</v>
      </c>
      <c r="J213" s="1178" t="e">
        <f t="shared" si="50"/>
        <v>#DIV/0!</v>
      </c>
    </row>
    <row r="214" spans="1:10">
      <c r="A214" s="1178">
        <f t="shared" si="45"/>
        <v>209</v>
      </c>
      <c r="B214" s="1269"/>
      <c r="C214" s="1269"/>
      <c r="D214" s="1341" t="str">
        <f t="shared" si="46"/>
        <v/>
      </c>
      <c r="E214" s="1341" t="str">
        <f t="shared" si="47"/>
        <v/>
      </c>
      <c r="F214" s="1341" t="str">
        <f t="shared" si="48"/>
        <v/>
      </c>
      <c r="G214" s="1343" t="str">
        <f t="shared" si="43"/>
        <v/>
      </c>
      <c r="H214" s="1343" t="str">
        <f t="shared" si="44"/>
        <v/>
      </c>
      <c r="I214" s="1178" t="e">
        <f t="shared" si="50"/>
        <v>#DIV/0!</v>
      </c>
      <c r="J214" s="1178" t="e">
        <f t="shared" si="50"/>
        <v>#DIV/0!</v>
      </c>
    </row>
    <row r="215" spans="1:10">
      <c r="A215" s="1178">
        <f t="shared" si="45"/>
        <v>210</v>
      </c>
      <c r="B215" s="1269"/>
      <c r="C215" s="1269"/>
      <c r="D215" s="1341" t="str">
        <f t="shared" si="46"/>
        <v/>
      </c>
      <c r="E215" s="1341" t="str">
        <f t="shared" si="47"/>
        <v/>
      </c>
      <c r="F215" s="1341" t="str">
        <f t="shared" si="48"/>
        <v/>
      </c>
      <c r="G215" s="1343" t="str">
        <f t="shared" si="43"/>
        <v/>
      </c>
      <c r="H215" s="1343" t="str">
        <f t="shared" si="44"/>
        <v/>
      </c>
      <c r="I215" s="1178" t="e">
        <f t="shared" ref="I215:J230" si="51">I214</f>
        <v>#DIV/0!</v>
      </c>
      <c r="J215" s="1178" t="e">
        <f t="shared" si="51"/>
        <v>#DIV/0!</v>
      </c>
    </row>
    <row r="216" spans="1:10">
      <c r="A216" s="1178">
        <f t="shared" si="45"/>
        <v>211</v>
      </c>
      <c r="B216" s="1269"/>
      <c r="C216" s="1269"/>
      <c r="D216" s="1341" t="str">
        <f t="shared" si="46"/>
        <v/>
      </c>
      <c r="E216" s="1341" t="str">
        <f t="shared" si="47"/>
        <v/>
      </c>
      <c r="F216" s="1341" t="str">
        <f t="shared" si="48"/>
        <v/>
      </c>
      <c r="G216" s="1343" t="str">
        <f t="shared" si="43"/>
        <v/>
      </c>
      <c r="H216" s="1343" t="str">
        <f t="shared" si="44"/>
        <v/>
      </c>
      <c r="I216" s="1178" t="e">
        <f t="shared" si="51"/>
        <v>#DIV/0!</v>
      </c>
      <c r="J216" s="1178" t="e">
        <f t="shared" si="51"/>
        <v>#DIV/0!</v>
      </c>
    </row>
    <row r="217" spans="1:10">
      <c r="A217" s="1178">
        <f t="shared" si="45"/>
        <v>212</v>
      </c>
      <c r="B217" s="1269"/>
      <c r="C217" s="1269"/>
      <c r="D217" s="1341" t="str">
        <f t="shared" si="46"/>
        <v/>
      </c>
      <c r="E217" s="1341" t="str">
        <f t="shared" si="47"/>
        <v/>
      </c>
      <c r="F217" s="1341" t="str">
        <f t="shared" si="48"/>
        <v/>
      </c>
      <c r="G217" s="1343" t="str">
        <f t="shared" si="43"/>
        <v/>
      </c>
      <c r="H217" s="1343" t="str">
        <f t="shared" si="44"/>
        <v/>
      </c>
      <c r="I217" s="1178" t="e">
        <f t="shared" si="51"/>
        <v>#DIV/0!</v>
      </c>
      <c r="J217" s="1178" t="e">
        <f t="shared" si="51"/>
        <v>#DIV/0!</v>
      </c>
    </row>
    <row r="218" spans="1:10">
      <c r="A218" s="1178">
        <f t="shared" si="45"/>
        <v>213</v>
      </c>
      <c r="B218" s="1269"/>
      <c r="C218" s="1269"/>
      <c r="D218" s="1341" t="str">
        <f t="shared" si="46"/>
        <v/>
      </c>
      <c r="E218" s="1341" t="str">
        <f t="shared" si="47"/>
        <v/>
      </c>
      <c r="F218" s="1341" t="str">
        <f t="shared" si="48"/>
        <v/>
      </c>
      <c r="G218" s="1343" t="str">
        <f t="shared" si="43"/>
        <v/>
      </c>
      <c r="H218" s="1343" t="str">
        <f t="shared" si="44"/>
        <v/>
      </c>
      <c r="I218" s="1178" t="e">
        <f t="shared" si="51"/>
        <v>#DIV/0!</v>
      </c>
      <c r="J218" s="1178" t="e">
        <f t="shared" si="51"/>
        <v>#DIV/0!</v>
      </c>
    </row>
    <row r="219" spans="1:10">
      <c r="A219" s="1178">
        <f t="shared" si="45"/>
        <v>214</v>
      </c>
      <c r="B219" s="1269"/>
      <c r="C219" s="1269"/>
      <c r="D219" s="1341" t="str">
        <f t="shared" si="46"/>
        <v/>
      </c>
      <c r="E219" s="1341" t="str">
        <f t="shared" si="47"/>
        <v/>
      </c>
      <c r="F219" s="1341" t="str">
        <f t="shared" si="48"/>
        <v/>
      </c>
      <c r="G219" s="1343" t="str">
        <f t="shared" si="43"/>
        <v/>
      </c>
      <c r="H219" s="1343" t="str">
        <f t="shared" si="44"/>
        <v/>
      </c>
      <c r="I219" s="1178" t="e">
        <f t="shared" si="51"/>
        <v>#DIV/0!</v>
      </c>
      <c r="J219" s="1178" t="e">
        <f t="shared" si="51"/>
        <v>#DIV/0!</v>
      </c>
    </row>
    <row r="220" spans="1:10">
      <c r="A220" s="1178">
        <f t="shared" si="45"/>
        <v>215</v>
      </c>
      <c r="B220" s="1269"/>
      <c r="C220" s="1269"/>
      <c r="D220" s="1341" t="str">
        <f t="shared" si="46"/>
        <v/>
      </c>
      <c r="E220" s="1341" t="str">
        <f t="shared" si="47"/>
        <v/>
      </c>
      <c r="F220" s="1341" t="str">
        <f t="shared" si="48"/>
        <v/>
      </c>
      <c r="G220" s="1343" t="str">
        <f t="shared" si="43"/>
        <v/>
      </c>
      <c r="H220" s="1343" t="str">
        <f t="shared" si="44"/>
        <v/>
      </c>
      <c r="I220" s="1178" t="e">
        <f t="shared" si="51"/>
        <v>#DIV/0!</v>
      </c>
      <c r="J220" s="1178" t="e">
        <f t="shared" si="51"/>
        <v>#DIV/0!</v>
      </c>
    </row>
    <row r="221" spans="1:10">
      <c r="A221" s="1178">
        <f t="shared" si="45"/>
        <v>216</v>
      </c>
      <c r="B221" s="1269"/>
      <c r="C221" s="1269"/>
      <c r="D221" s="1341" t="str">
        <f t="shared" si="46"/>
        <v/>
      </c>
      <c r="E221" s="1341" t="str">
        <f t="shared" si="47"/>
        <v/>
      </c>
      <c r="F221" s="1341" t="str">
        <f t="shared" si="48"/>
        <v/>
      </c>
      <c r="G221" s="1343" t="str">
        <f t="shared" si="43"/>
        <v/>
      </c>
      <c r="H221" s="1343" t="str">
        <f t="shared" si="44"/>
        <v/>
      </c>
      <c r="I221" s="1178" t="e">
        <f t="shared" si="51"/>
        <v>#DIV/0!</v>
      </c>
      <c r="J221" s="1178" t="e">
        <f t="shared" si="51"/>
        <v>#DIV/0!</v>
      </c>
    </row>
    <row r="222" spans="1:10">
      <c r="A222" s="1178">
        <f t="shared" si="45"/>
        <v>217</v>
      </c>
      <c r="B222" s="1269"/>
      <c r="C222" s="1269"/>
      <c r="D222" s="1341" t="str">
        <f t="shared" si="46"/>
        <v/>
      </c>
      <c r="E222" s="1341" t="str">
        <f t="shared" si="47"/>
        <v/>
      </c>
      <c r="F222" s="1341" t="str">
        <f t="shared" si="48"/>
        <v/>
      </c>
      <c r="G222" s="1343" t="str">
        <f t="shared" si="43"/>
        <v/>
      </c>
      <c r="H222" s="1343" t="str">
        <f t="shared" si="44"/>
        <v/>
      </c>
      <c r="I222" s="1178" t="e">
        <f t="shared" si="51"/>
        <v>#DIV/0!</v>
      </c>
      <c r="J222" s="1178" t="e">
        <f t="shared" si="51"/>
        <v>#DIV/0!</v>
      </c>
    </row>
    <row r="223" spans="1:10">
      <c r="A223" s="1178">
        <f t="shared" si="45"/>
        <v>218</v>
      </c>
      <c r="B223" s="1269"/>
      <c r="C223" s="1269"/>
      <c r="D223" s="1341" t="str">
        <f t="shared" si="46"/>
        <v/>
      </c>
      <c r="E223" s="1341" t="str">
        <f t="shared" si="47"/>
        <v/>
      </c>
      <c r="F223" s="1341" t="str">
        <f t="shared" si="48"/>
        <v/>
      </c>
      <c r="G223" s="1343" t="str">
        <f t="shared" si="43"/>
        <v/>
      </c>
      <c r="H223" s="1343" t="str">
        <f t="shared" si="44"/>
        <v/>
      </c>
      <c r="I223" s="1178" t="e">
        <f t="shared" si="51"/>
        <v>#DIV/0!</v>
      </c>
      <c r="J223" s="1178" t="e">
        <f t="shared" si="51"/>
        <v>#DIV/0!</v>
      </c>
    </row>
    <row r="224" spans="1:10">
      <c r="A224" s="1178">
        <f t="shared" si="45"/>
        <v>219</v>
      </c>
      <c r="B224" s="1269"/>
      <c r="C224" s="1269"/>
      <c r="D224" s="1341" t="str">
        <f t="shared" si="46"/>
        <v/>
      </c>
      <c r="E224" s="1341" t="str">
        <f t="shared" si="47"/>
        <v/>
      </c>
      <c r="F224" s="1341" t="str">
        <f t="shared" si="48"/>
        <v/>
      </c>
      <c r="G224" s="1343" t="str">
        <f t="shared" si="43"/>
        <v/>
      </c>
      <c r="H224" s="1343" t="str">
        <f t="shared" si="44"/>
        <v/>
      </c>
      <c r="I224" s="1178" t="e">
        <f t="shared" si="51"/>
        <v>#DIV/0!</v>
      </c>
      <c r="J224" s="1178" t="e">
        <f t="shared" si="51"/>
        <v>#DIV/0!</v>
      </c>
    </row>
    <row r="225" spans="1:10">
      <c r="A225" s="1178">
        <f t="shared" si="45"/>
        <v>220</v>
      </c>
      <c r="B225" s="1269"/>
      <c r="C225" s="1269"/>
      <c r="D225" s="1341" t="str">
        <f t="shared" si="46"/>
        <v/>
      </c>
      <c r="E225" s="1341" t="str">
        <f t="shared" si="47"/>
        <v/>
      </c>
      <c r="F225" s="1341" t="str">
        <f t="shared" si="48"/>
        <v/>
      </c>
      <c r="G225" s="1343" t="str">
        <f t="shared" si="43"/>
        <v/>
      </c>
      <c r="H225" s="1343" t="str">
        <f t="shared" si="44"/>
        <v/>
      </c>
      <c r="I225" s="1178" t="e">
        <f t="shared" si="51"/>
        <v>#DIV/0!</v>
      </c>
      <c r="J225" s="1178" t="e">
        <f t="shared" si="51"/>
        <v>#DIV/0!</v>
      </c>
    </row>
    <row r="226" spans="1:10">
      <c r="A226" s="1178">
        <f t="shared" si="45"/>
        <v>221</v>
      </c>
      <c r="B226" s="1269"/>
      <c r="C226" s="1269"/>
      <c r="D226" s="1341" t="str">
        <f t="shared" si="46"/>
        <v/>
      </c>
      <c r="E226" s="1341" t="str">
        <f t="shared" si="47"/>
        <v/>
      </c>
      <c r="F226" s="1341" t="str">
        <f t="shared" si="48"/>
        <v/>
      </c>
      <c r="G226" s="1343" t="str">
        <f t="shared" si="43"/>
        <v/>
      </c>
      <c r="H226" s="1343" t="str">
        <f t="shared" si="44"/>
        <v/>
      </c>
      <c r="I226" s="1178" t="e">
        <f t="shared" si="51"/>
        <v>#DIV/0!</v>
      </c>
      <c r="J226" s="1178" t="e">
        <f t="shared" si="51"/>
        <v>#DIV/0!</v>
      </c>
    </row>
    <row r="227" spans="1:10">
      <c r="A227" s="1178">
        <f t="shared" si="45"/>
        <v>222</v>
      </c>
      <c r="B227" s="1269"/>
      <c r="C227" s="1269"/>
      <c r="D227" s="1341" t="str">
        <f t="shared" si="46"/>
        <v/>
      </c>
      <c r="E227" s="1341" t="str">
        <f t="shared" si="47"/>
        <v/>
      </c>
      <c r="F227" s="1341" t="str">
        <f t="shared" si="48"/>
        <v/>
      </c>
      <c r="G227" s="1343" t="str">
        <f t="shared" si="43"/>
        <v/>
      </c>
      <c r="H227" s="1343" t="str">
        <f t="shared" si="44"/>
        <v/>
      </c>
      <c r="I227" s="1178" t="e">
        <f t="shared" si="51"/>
        <v>#DIV/0!</v>
      </c>
      <c r="J227" s="1178" t="e">
        <f t="shared" si="51"/>
        <v>#DIV/0!</v>
      </c>
    </row>
    <row r="228" spans="1:10">
      <c r="A228" s="1178">
        <f t="shared" si="45"/>
        <v>223</v>
      </c>
      <c r="B228" s="1269"/>
      <c r="C228" s="1269"/>
      <c r="D228" s="1341" t="str">
        <f t="shared" si="46"/>
        <v/>
      </c>
      <c r="E228" s="1341" t="str">
        <f t="shared" si="47"/>
        <v/>
      </c>
      <c r="F228" s="1341" t="str">
        <f t="shared" si="48"/>
        <v/>
      </c>
      <c r="G228" s="1343" t="str">
        <f t="shared" si="43"/>
        <v/>
      </c>
      <c r="H228" s="1343" t="str">
        <f t="shared" si="44"/>
        <v/>
      </c>
      <c r="I228" s="1178" t="e">
        <f t="shared" si="51"/>
        <v>#DIV/0!</v>
      </c>
      <c r="J228" s="1178" t="e">
        <f t="shared" si="51"/>
        <v>#DIV/0!</v>
      </c>
    </row>
    <row r="229" spans="1:10">
      <c r="A229" s="1178">
        <f t="shared" si="45"/>
        <v>224</v>
      </c>
      <c r="B229" s="1269"/>
      <c r="C229" s="1269"/>
      <c r="D229" s="1341" t="str">
        <f t="shared" si="46"/>
        <v/>
      </c>
      <c r="E229" s="1341" t="str">
        <f t="shared" si="47"/>
        <v/>
      </c>
      <c r="F229" s="1341" t="str">
        <f t="shared" si="48"/>
        <v/>
      </c>
      <c r="G229" s="1343" t="str">
        <f t="shared" si="43"/>
        <v/>
      </c>
      <c r="H229" s="1343" t="str">
        <f t="shared" si="44"/>
        <v/>
      </c>
      <c r="I229" s="1178" t="e">
        <f t="shared" si="51"/>
        <v>#DIV/0!</v>
      </c>
      <c r="J229" s="1178" t="e">
        <f t="shared" si="51"/>
        <v>#DIV/0!</v>
      </c>
    </row>
    <row r="230" spans="1:10">
      <c r="A230" s="1178">
        <f t="shared" si="45"/>
        <v>225</v>
      </c>
      <c r="B230" s="1269"/>
      <c r="C230" s="1269"/>
      <c r="D230" s="1341" t="str">
        <f t="shared" si="46"/>
        <v/>
      </c>
      <c r="E230" s="1341" t="str">
        <f t="shared" si="47"/>
        <v/>
      </c>
      <c r="F230" s="1341" t="str">
        <f t="shared" si="48"/>
        <v/>
      </c>
      <c r="G230" s="1343" t="str">
        <f t="shared" si="43"/>
        <v/>
      </c>
      <c r="H230" s="1343" t="str">
        <f t="shared" si="44"/>
        <v/>
      </c>
      <c r="I230" s="1178" t="e">
        <f t="shared" si="51"/>
        <v>#DIV/0!</v>
      </c>
      <c r="J230" s="1178" t="e">
        <f t="shared" si="51"/>
        <v>#DIV/0!</v>
      </c>
    </row>
    <row r="231" spans="1:10">
      <c r="A231" s="1178">
        <f t="shared" si="45"/>
        <v>226</v>
      </c>
      <c r="B231" s="1269"/>
      <c r="C231" s="1269"/>
      <c r="D231" s="1341" t="str">
        <f t="shared" si="46"/>
        <v/>
      </c>
      <c r="E231" s="1341" t="str">
        <f t="shared" si="47"/>
        <v/>
      </c>
      <c r="F231" s="1341" t="str">
        <f t="shared" si="48"/>
        <v/>
      </c>
      <c r="G231" s="1343" t="str">
        <f t="shared" si="43"/>
        <v/>
      </c>
      <c r="H231" s="1343" t="str">
        <f t="shared" si="44"/>
        <v/>
      </c>
      <c r="I231" s="1178" t="e">
        <f t="shared" ref="I231:J246" si="52">I230</f>
        <v>#DIV/0!</v>
      </c>
      <c r="J231" s="1178" t="e">
        <f t="shared" si="52"/>
        <v>#DIV/0!</v>
      </c>
    </row>
    <row r="232" spans="1:10">
      <c r="A232" s="1178">
        <f t="shared" si="45"/>
        <v>227</v>
      </c>
      <c r="B232" s="1269"/>
      <c r="C232" s="1269"/>
      <c r="D232" s="1341" t="str">
        <f t="shared" si="46"/>
        <v/>
      </c>
      <c r="E232" s="1341" t="str">
        <f t="shared" si="47"/>
        <v/>
      </c>
      <c r="F232" s="1341" t="str">
        <f t="shared" si="48"/>
        <v/>
      </c>
      <c r="G232" s="1343" t="str">
        <f t="shared" si="43"/>
        <v/>
      </c>
      <c r="H232" s="1343" t="str">
        <f t="shared" si="44"/>
        <v/>
      </c>
      <c r="I232" s="1178" t="e">
        <f t="shared" si="52"/>
        <v>#DIV/0!</v>
      </c>
      <c r="J232" s="1178" t="e">
        <f t="shared" si="52"/>
        <v>#DIV/0!</v>
      </c>
    </row>
    <row r="233" spans="1:10">
      <c r="A233" s="1178">
        <f t="shared" si="45"/>
        <v>228</v>
      </c>
      <c r="B233" s="1269"/>
      <c r="C233" s="1269"/>
      <c r="D233" s="1341" t="str">
        <f t="shared" si="46"/>
        <v/>
      </c>
      <c r="E233" s="1341" t="str">
        <f t="shared" si="47"/>
        <v/>
      </c>
      <c r="F233" s="1341" t="str">
        <f t="shared" si="48"/>
        <v/>
      </c>
      <c r="G233" s="1343" t="str">
        <f t="shared" si="43"/>
        <v/>
      </c>
      <c r="H233" s="1343" t="str">
        <f t="shared" si="44"/>
        <v/>
      </c>
      <c r="I233" s="1178" t="e">
        <f t="shared" si="52"/>
        <v>#DIV/0!</v>
      </c>
      <c r="J233" s="1178" t="e">
        <f t="shared" si="52"/>
        <v>#DIV/0!</v>
      </c>
    </row>
    <row r="234" spans="1:10">
      <c r="A234" s="1178">
        <f t="shared" si="45"/>
        <v>229</v>
      </c>
      <c r="B234" s="1269"/>
      <c r="C234" s="1269"/>
      <c r="D234" s="1341" t="str">
        <f t="shared" si="46"/>
        <v/>
      </c>
      <c r="E234" s="1341" t="str">
        <f t="shared" si="47"/>
        <v/>
      </c>
      <c r="F234" s="1341" t="str">
        <f t="shared" si="48"/>
        <v/>
      </c>
      <c r="G234" s="1343" t="str">
        <f t="shared" si="43"/>
        <v/>
      </c>
      <c r="H234" s="1343" t="str">
        <f t="shared" si="44"/>
        <v/>
      </c>
      <c r="I234" s="1178" t="e">
        <f t="shared" si="52"/>
        <v>#DIV/0!</v>
      </c>
      <c r="J234" s="1178" t="e">
        <f t="shared" si="52"/>
        <v>#DIV/0!</v>
      </c>
    </row>
    <row r="235" spans="1:10">
      <c r="A235" s="1178">
        <f t="shared" si="45"/>
        <v>230</v>
      </c>
      <c r="B235" s="1269"/>
      <c r="C235" s="1269"/>
      <c r="D235" s="1341" t="str">
        <f t="shared" si="46"/>
        <v/>
      </c>
      <c r="E235" s="1341" t="str">
        <f t="shared" si="47"/>
        <v/>
      </c>
      <c r="F235" s="1341" t="str">
        <f t="shared" si="48"/>
        <v/>
      </c>
      <c r="G235" s="1343" t="str">
        <f t="shared" si="43"/>
        <v/>
      </c>
      <c r="H235" s="1343" t="str">
        <f t="shared" si="44"/>
        <v/>
      </c>
      <c r="I235" s="1178" t="e">
        <f t="shared" si="52"/>
        <v>#DIV/0!</v>
      </c>
      <c r="J235" s="1178" t="e">
        <f t="shared" si="52"/>
        <v>#DIV/0!</v>
      </c>
    </row>
    <row r="236" spans="1:10">
      <c r="A236" s="1178">
        <f t="shared" si="45"/>
        <v>231</v>
      </c>
      <c r="B236" s="1269"/>
      <c r="C236" s="1269"/>
      <c r="D236" s="1341" t="str">
        <f t="shared" si="46"/>
        <v/>
      </c>
      <c r="E236" s="1341" t="str">
        <f t="shared" si="47"/>
        <v/>
      </c>
      <c r="F236" s="1341" t="str">
        <f t="shared" si="48"/>
        <v/>
      </c>
      <c r="G236" s="1343" t="str">
        <f t="shared" si="43"/>
        <v/>
      </c>
      <c r="H236" s="1343" t="str">
        <f t="shared" si="44"/>
        <v/>
      </c>
      <c r="I236" s="1178" t="e">
        <f t="shared" si="52"/>
        <v>#DIV/0!</v>
      </c>
      <c r="J236" s="1178" t="e">
        <f t="shared" si="52"/>
        <v>#DIV/0!</v>
      </c>
    </row>
    <row r="237" spans="1:10">
      <c r="A237" s="1178">
        <f t="shared" si="45"/>
        <v>232</v>
      </c>
      <c r="B237" s="1269"/>
      <c r="C237" s="1269"/>
      <c r="D237" s="1341" t="str">
        <f t="shared" si="46"/>
        <v/>
      </c>
      <c r="E237" s="1341" t="str">
        <f t="shared" si="47"/>
        <v/>
      </c>
      <c r="F237" s="1341" t="str">
        <f t="shared" si="48"/>
        <v/>
      </c>
      <c r="G237" s="1343" t="str">
        <f t="shared" si="43"/>
        <v/>
      </c>
      <c r="H237" s="1343" t="str">
        <f t="shared" si="44"/>
        <v/>
      </c>
      <c r="I237" s="1178" t="e">
        <f t="shared" si="52"/>
        <v>#DIV/0!</v>
      </c>
      <c r="J237" s="1178" t="e">
        <f t="shared" si="52"/>
        <v>#DIV/0!</v>
      </c>
    </row>
    <row r="238" spans="1:10">
      <c r="A238" s="1178">
        <f t="shared" si="45"/>
        <v>233</v>
      </c>
      <c r="B238" s="1269"/>
      <c r="C238" s="1269"/>
      <c r="D238" s="1341" t="str">
        <f t="shared" si="46"/>
        <v/>
      </c>
      <c r="E238" s="1341" t="str">
        <f t="shared" si="47"/>
        <v/>
      </c>
      <c r="F238" s="1341" t="str">
        <f t="shared" si="48"/>
        <v/>
      </c>
      <c r="G238" s="1343" t="str">
        <f t="shared" ref="G238:G256" si="53">IF(C238="","",G$5)</f>
        <v/>
      </c>
      <c r="H238" s="1343" t="str">
        <f t="shared" si="44"/>
        <v/>
      </c>
      <c r="I238" s="1178" t="e">
        <f t="shared" si="52"/>
        <v>#DIV/0!</v>
      </c>
      <c r="J238" s="1178" t="e">
        <f t="shared" si="52"/>
        <v>#DIV/0!</v>
      </c>
    </row>
    <row r="239" spans="1:10">
      <c r="A239" s="1178">
        <f t="shared" si="45"/>
        <v>234</v>
      </c>
      <c r="B239" s="1269"/>
      <c r="C239" s="1269"/>
      <c r="D239" s="1341" t="str">
        <f t="shared" si="46"/>
        <v/>
      </c>
      <c r="E239" s="1341" t="str">
        <f t="shared" si="47"/>
        <v/>
      </c>
      <c r="F239" s="1341" t="str">
        <f t="shared" si="48"/>
        <v/>
      </c>
      <c r="G239" s="1343" t="str">
        <f t="shared" si="53"/>
        <v/>
      </c>
      <c r="H239" s="1343" t="str">
        <f t="shared" ref="H239:H256" si="54">IF(C239="","",H$5)</f>
        <v/>
      </c>
      <c r="I239" s="1178" t="e">
        <f t="shared" si="52"/>
        <v>#DIV/0!</v>
      </c>
      <c r="J239" s="1178" t="e">
        <f t="shared" si="52"/>
        <v>#DIV/0!</v>
      </c>
    </row>
    <row r="240" spans="1:10">
      <c r="A240" s="1178">
        <f t="shared" ref="A240:A256" si="55">A239+1</f>
        <v>235</v>
      </c>
      <c r="B240" s="1269"/>
      <c r="C240" s="1269"/>
      <c r="D240" s="1341" t="str">
        <f t="shared" si="46"/>
        <v/>
      </c>
      <c r="E240" s="1341" t="str">
        <f t="shared" si="47"/>
        <v/>
      </c>
      <c r="F240" s="1341" t="str">
        <f t="shared" si="48"/>
        <v/>
      </c>
      <c r="G240" s="1343" t="str">
        <f t="shared" si="53"/>
        <v/>
      </c>
      <c r="H240" s="1343" t="str">
        <f t="shared" si="54"/>
        <v/>
      </c>
      <c r="I240" s="1178" t="e">
        <f t="shared" si="52"/>
        <v>#DIV/0!</v>
      </c>
      <c r="J240" s="1178" t="e">
        <f t="shared" si="52"/>
        <v>#DIV/0!</v>
      </c>
    </row>
    <row r="241" spans="1:10">
      <c r="A241" s="1178">
        <f t="shared" si="55"/>
        <v>236</v>
      </c>
      <c r="B241" s="1269"/>
      <c r="C241" s="1269"/>
      <c r="D241" s="1341" t="str">
        <f t="shared" si="46"/>
        <v/>
      </c>
      <c r="E241" s="1341" t="str">
        <f t="shared" si="47"/>
        <v/>
      </c>
      <c r="F241" s="1341" t="str">
        <f t="shared" si="48"/>
        <v/>
      </c>
      <c r="G241" s="1343" t="str">
        <f t="shared" si="53"/>
        <v/>
      </c>
      <c r="H241" s="1343" t="str">
        <f t="shared" si="54"/>
        <v/>
      </c>
      <c r="I241" s="1178" t="e">
        <f t="shared" si="52"/>
        <v>#DIV/0!</v>
      </c>
      <c r="J241" s="1178" t="e">
        <f t="shared" si="52"/>
        <v>#DIV/0!</v>
      </c>
    </row>
    <row r="242" spans="1:10">
      <c r="A242" s="1178">
        <f t="shared" si="55"/>
        <v>237</v>
      </c>
      <c r="B242" s="1269"/>
      <c r="C242" s="1269"/>
      <c r="D242" s="1341" t="str">
        <f t="shared" si="46"/>
        <v/>
      </c>
      <c r="E242" s="1341" t="str">
        <f t="shared" si="47"/>
        <v/>
      </c>
      <c r="F242" s="1341" t="str">
        <f t="shared" si="48"/>
        <v/>
      </c>
      <c r="G242" s="1343" t="str">
        <f t="shared" si="53"/>
        <v/>
      </c>
      <c r="H242" s="1343" t="str">
        <f t="shared" si="54"/>
        <v/>
      </c>
      <c r="I242" s="1178" t="e">
        <f t="shared" si="52"/>
        <v>#DIV/0!</v>
      </c>
      <c r="J242" s="1178" t="e">
        <f t="shared" si="52"/>
        <v>#DIV/0!</v>
      </c>
    </row>
    <row r="243" spans="1:10">
      <c r="A243" s="1178">
        <f t="shared" si="55"/>
        <v>238</v>
      </c>
      <c r="B243" s="1269"/>
      <c r="C243" s="1269"/>
      <c r="D243" s="1341" t="str">
        <f t="shared" si="46"/>
        <v/>
      </c>
      <c r="E243" s="1341" t="str">
        <f t="shared" si="47"/>
        <v/>
      </c>
      <c r="F243" s="1341" t="str">
        <f t="shared" si="48"/>
        <v/>
      </c>
      <c r="G243" s="1343" t="str">
        <f t="shared" si="53"/>
        <v/>
      </c>
      <c r="H243" s="1343" t="str">
        <f t="shared" si="54"/>
        <v/>
      </c>
      <c r="I243" s="1178" t="e">
        <f t="shared" si="52"/>
        <v>#DIV/0!</v>
      </c>
      <c r="J243" s="1178" t="e">
        <f t="shared" si="52"/>
        <v>#DIV/0!</v>
      </c>
    </row>
    <row r="244" spans="1:10">
      <c r="A244" s="1178">
        <f t="shared" si="55"/>
        <v>239</v>
      </c>
      <c r="B244" s="1269"/>
      <c r="C244" s="1269"/>
      <c r="D244" s="1341" t="str">
        <f t="shared" si="46"/>
        <v/>
      </c>
      <c r="E244" s="1341" t="str">
        <f t="shared" si="47"/>
        <v/>
      </c>
      <c r="F244" s="1341" t="str">
        <f t="shared" si="48"/>
        <v/>
      </c>
      <c r="G244" s="1343" t="str">
        <f t="shared" si="53"/>
        <v/>
      </c>
      <c r="H244" s="1343" t="str">
        <f t="shared" si="54"/>
        <v/>
      </c>
      <c r="I244" s="1178" t="e">
        <f t="shared" si="52"/>
        <v>#DIV/0!</v>
      </c>
      <c r="J244" s="1178" t="e">
        <f t="shared" si="52"/>
        <v>#DIV/0!</v>
      </c>
    </row>
    <row r="245" spans="1:10">
      <c r="A245" s="1178">
        <f t="shared" si="55"/>
        <v>240</v>
      </c>
      <c r="B245" s="1269"/>
      <c r="C245" s="1269"/>
      <c r="D245" s="1341" t="str">
        <f t="shared" si="46"/>
        <v/>
      </c>
      <c r="E245" s="1341" t="str">
        <f t="shared" si="47"/>
        <v/>
      </c>
      <c r="F245" s="1341" t="str">
        <f t="shared" si="48"/>
        <v/>
      </c>
      <c r="G245" s="1343" t="str">
        <f t="shared" si="53"/>
        <v/>
      </c>
      <c r="H245" s="1343" t="str">
        <f t="shared" si="54"/>
        <v/>
      </c>
      <c r="I245" s="1178" t="e">
        <f t="shared" si="52"/>
        <v>#DIV/0!</v>
      </c>
      <c r="J245" s="1178" t="e">
        <f t="shared" si="52"/>
        <v>#DIV/0!</v>
      </c>
    </row>
    <row r="246" spans="1:10">
      <c r="A246" s="1178">
        <f t="shared" si="55"/>
        <v>241</v>
      </c>
      <c r="B246" s="1269"/>
      <c r="C246" s="1269"/>
      <c r="D246" s="1341" t="str">
        <f t="shared" si="46"/>
        <v/>
      </c>
      <c r="E246" s="1341" t="str">
        <f t="shared" si="47"/>
        <v/>
      </c>
      <c r="F246" s="1341" t="str">
        <f t="shared" si="48"/>
        <v/>
      </c>
      <c r="G246" s="1343" t="str">
        <f t="shared" si="53"/>
        <v/>
      </c>
      <c r="H246" s="1343" t="str">
        <f t="shared" si="54"/>
        <v/>
      </c>
      <c r="I246" s="1178" t="e">
        <f t="shared" si="52"/>
        <v>#DIV/0!</v>
      </c>
      <c r="J246" s="1178" t="e">
        <f t="shared" si="52"/>
        <v>#DIV/0!</v>
      </c>
    </row>
    <row r="247" spans="1:10">
      <c r="A247" s="1178">
        <f t="shared" si="55"/>
        <v>242</v>
      </c>
      <c r="B247" s="1269"/>
      <c r="C247" s="1269"/>
      <c r="D247" s="1341" t="str">
        <f t="shared" ref="D247:D257" si="56">IF($B247="","",($R$38*B247+$R$37)-(3*$R$36))</f>
        <v/>
      </c>
      <c r="E247" s="1341" t="str">
        <f t="shared" ref="E247:E257" si="57">IF($B247="","",($R$38*B247+$R$37))</f>
        <v/>
      </c>
      <c r="F247" s="1341" t="str">
        <f t="shared" ref="F247:F257" si="58">IF($B247="","",($R$38*B247+$R$37)+(3*$R$36))</f>
        <v/>
      </c>
      <c r="G247" s="1343" t="str">
        <f t="shared" si="53"/>
        <v/>
      </c>
      <c r="H247" s="1343" t="str">
        <f t="shared" si="54"/>
        <v/>
      </c>
      <c r="I247" s="1178" t="e">
        <f t="shared" ref="I247:J256" si="59">I246</f>
        <v>#DIV/0!</v>
      </c>
      <c r="J247" s="1178" t="e">
        <f t="shared" si="59"/>
        <v>#DIV/0!</v>
      </c>
    </row>
    <row r="248" spans="1:10">
      <c r="A248" s="1178">
        <f t="shared" si="55"/>
        <v>243</v>
      </c>
      <c r="B248" s="1269"/>
      <c r="C248" s="1269"/>
      <c r="D248" s="1341" t="str">
        <f t="shared" si="56"/>
        <v/>
      </c>
      <c r="E248" s="1341" t="str">
        <f t="shared" si="57"/>
        <v/>
      </c>
      <c r="F248" s="1341" t="str">
        <f t="shared" si="58"/>
        <v/>
      </c>
      <c r="G248" s="1343" t="str">
        <f t="shared" si="53"/>
        <v/>
      </c>
      <c r="H248" s="1343" t="str">
        <f t="shared" si="54"/>
        <v/>
      </c>
      <c r="I248" s="1178" t="e">
        <f t="shared" si="59"/>
        <v>#DIV/0!</v>
      </c>
      <c r="J248" s="1178" t="e">
        <f t="shared" si="59"/>
        <v>#DIV/0!</v>
      </c>
    </row>
    <row r="249" spans="1:10">
      <c r="A249" s="1178">
        <f t="shared" si="55"/>
        <v>244</v>
      </c>
      <c r="B249" s="1269"/>
      <c r="C249" s="1269"/>
      <c r="D249" s="1341" t="str">
        <f t="shared" si="56"/>
        <v/>
      </c>
      <c r="E249" s="1341" t="str">
        <f t="shared" si="57"/>
        <v/>
      </c>
      <c r="F249" s="1341" t="str">
        <f t="shared" si="58"/>
        <v/>
      </c>
      <c r="G249" s="1343" t="str">
        <f t="shared" si="53"/>
        <v/>
      </c>
      <c r="H249" s="1343" t="str">
        <f t="shared" si="54"/>
        <v/>
      </c>
      <c r="I249" s="1178" t="e">
        <f t="shared" si="59"/>
        <v>#DIV/0!</v>
      </c>
      <c r="J249" s="1178" t="e">
        <f t="shared" si="59"/>
        <v>#DIV/0!</v>
      </c>
    </row>
    <row r="250" spans="1:10">
      <c r="A250" s="1178">
        <f t="shared" si="55"/>
        <v>245</v>
      </c>
      <c r="B250" s="1269"/>
      <c r="C250" s="1269"/>
      <c r="D250" s="1341" t="str">
        <f t="shared" si="56"/>
        <v/>
      </c>
      <c r="E250" s="1341" t="str">
        <f t="shared" si="57"/>
        <v/>
      </c>
      <c r="F250" s="1341" t="str">
        <f t="shared" si="58"/>
        <v/>
      </c>
      <c r="G250" s="1343" t="str">
        <f t="shared" si="53"/>
        <v/>
      </c>
      <c r="H250" s="1343" t="str">
        <f t="shared" si="54"/>
        <v/>
      </c>
      <c r="I250" s="1178" t="e">
        <f t="shared" si="59"/>
        <v>#DIV/0!</v>
      </c>
      <c r="J250" s="1178" t="e">
        <f t="shared" si="59"/>
        <v>#DIV/0!</v>
      </c>
    </row>
    <row r="251" spans="1:10">
      <c r="A251" s="1178">
        <f t="shared" si="55"/>
        <v>246</v>
      </c>
      <c r="B251" s="1269"/>
      <c r="C251" s="1269"/>
      <c r="D251" s="1341" t="str">
        <f t="shared" si="56"/>
        <v/>
      </c>
      <c r="E251" s="1341" t="str">
        <f t="shared" si="57"/>
        <v/>
      </c>
      <c r="F251" s="1341" t="str">
        <f t="shared" si="58"/>
        <v/>
      </c>
      <c r="G251" s="1343" t="str">
        <f t="shared" si="53"/>
        <v/>
      </c>
      <c r="H251" s="1343" t="str">
        <f t="shared" si="54"/>
        <v/>
      </c>
      <c r="I251" s="1178" t="e">
        <f t="shared" si="59"/>
        <v>#DIV/0!</v>
      </c>
      <c r="J251" s="1178" t="e">
        <f t="shared" si="59"/>
        <v>#DIV/0!</v>
      </c>
    </row>
    <row r="252" spans="1:10">
      <c r="A252" s="1178">
        <f t="shared" si="55"/>
        <v>247</v>
      </c>
      <c r="B252" s="1269"/>
      <c r="C252" s="1269"/>
      <c r="D252" s="1341" t="str">
        <f t="shared" si="56"/>
        <v/>
      </c>
      <c r="E252" s="1341" t="str">
        <f t="shared" si="57"/>
        <v/>
      </c>
      <c r="F252" s="1341" t="str">
        <f t="shared" si="58"/>
        <v/>
      </c>
      <c r="G252" s="1343" t="str">
        <f t="shared" si="53"/>
        <v/>
      </c>
      <c r="H252" s="1343" t="str">
        <f t="shared" si="54"/>
        <v/>
      </c>
      <c r="I252" s="1178" t="e">
        <f t="shared" si="59"/>
        <v>#DIV/0!</v>
      </c>
      <c r="J252" s="1178" t="e">
        <f t="shared" si="59"/>
        <v>#DIV/0!</v>
      </c>
    </row>
    <row r="253" spans="1:10">
      <c r="A253" s="1178">
        <f t="shared" si="55"/>
        <v>248</v>
      </c>
      <c r="B253" s="1269"/>
      <c r="C253" s="1269"/>
      <c r="D253" s="1341" t="str">
        <f t="shared" si="56"/>
        <v/>
      </c>
      <c r="E253" s="1341" t="str">
        <f t="shared" si="57"/>
        <v/>
      </c>
      <c r="F253" s="1341" t="str">
        <f t="shared" si="58"/>
        <v/>
      </c>
      <c r="G253" s="1343" t="str">
        <f t="shared" si="53"/>
        <v/>
      </c>
      <c r="H253" s="1343" t="str">
        <f t="shared" si="54"/>
        <v/>
      </c>
      <c r="I253" s="1178" t="e">
        <f t="shared" si="59"/>
        <v>#DIV/0!</v>
      </c>
      <c r="J253" s="1178" t="e">
        <f t="shared" si="59"/>
        <v>#DIV/0!</v>
      </c>
    </row>
    <row r="254" spans="1:10">
      <c r="A254" s="1178">
        <f t="shared" si="55"/>
        <v>249</v>
      </c>
      <c r="B254" s="1269"/>
      <c r="C254" s="1269"/>
      <c r="D254" s="1341" t="str">
        <f t="shared" si="56"/>
        <v/>
      </c>
      <c r="E254" s="1341" t="str">
        <f t="shared" si="57"/>
        <v/>
      </c>
      <c r="F254" s="1341" t="str">
        <f t="shared" si="58"/>
        <v/>
      </c>
      <c r="G254" s="1343" t="str">
        <f t="shared" si="53"/>
        <v/>
      </c>
      <c r="H254" s="1343" t="str">
        <f t="shared" si="54"/>
        <v/>
      </c>
      <c r="I254" s="1178" t="e">
        <f t="shared" si="59"/>
        <v>#DIV/0!</v>
      </c>
      <c r="J254" s="1178" t="e">
        <f t="shared" si="59"/>
        <v>#DIV/0!</v>
      </c>
    </row>
    <row r="255" spans="1:10">
      <c r="A255" s="1178">
        <f t="shared" si="55"/>
        <v>250</v>
      </c>
      <c r="B255" s="1269"/>
      <c r="C255" s="1269"/>
      <c r="D255" s="1341" t="str">
        <f t="shared" si="56"/>
        <v/>
      </c>
      <c r="E255" s="1341" t="str">
        <f t="shared" si="57"/>
        <v/>
      </c>
      <c r="F255" s="1341" t="str">
        <f t="shared" si="58"/>
        <v/>
      </c>
      <c r="G255" s="1343" t="str">
        <f t="shared" si="53"/>
        <v/>
      </c>
      <c r="H255" s="1343" t="str">
        <f t="shared" si="54"/>
        <v/>
      </c>
      <c r="I255" s="1178" t="e">
        <f t="shared" si="59"/>
        <v>#DIV/0!</v>
      </c>
      <c r="J255" s="1178" t="e">
        <f t="shared" si="59"/>
        <v>#DIV/0!</v>
      </c>
    </row>
    <row r="256" spans="1:10" ht="13.5" thickBot="1">
      <c r="A256" s="1178">
        <f t="shared" si="55"/>
        <v>251</v>
      </c>
      <c r="B256" s="1269"/>
      <c r="C256" s="1269"/>
      <c r="D256" s="1341" t="str">
        <f t="shared" si="56"/>
        <v/>
      </c>
      <c r="E256" s="1341" t="str">
        <f t="shared" si="57"/>
        <v/>
      </c>
      <c r="F256" s="1341" t="str">
        <f t="shared" si="58"/>
        <v/>
      </c>
      <c r="G256" s="1343" t="str">
        <f t="shared" si="53"/>
        <v/>
      </c>
      <c r="H256" s="1343" t="str">
        <f t="shared" si="54"/>
        <v/>
      </c>
      <c r="I256" s="1178" t="e">
        <f t="shared" si="59"/>
        <v>#DIV/0!</v>
      </c>
      <c r="J256" s="1178" t="e">
        <f t="shared" si="59"/>
        <v>#DIV/0!</v>
      </c>
    </row>
    <row r="257" spans="1:8" ht="13.5" thickBot="1">
      <c r="A257" s="1178" t="s">
        <v>1065</v>
      </c>
      <c r="B257" s="1340"/>
      <c r="C257" s="1352"/>
      <c r="D257" s="1341" t="str">
        <f t="shared" si="56"/>
        <v/>
      </c>
      <c r="E257" s="1341" t="str">
        <f t="shared" si="57"/>
        <v/>
      </c>
      <c r="F257" s="1341" t="str">
        <f t="shared" si="58"/>
        <v/>
      </c>
      <c r="G257" s="1343" t="str">
        <f>IF(B257="","",G$5)</f>
        <v/>
      </c>
      <c r="H257" s="1343" t="str">
        <f>IF(B257="","",H$5)</f>
        <v/>
      </c>
    </row>
  </sheetData>
  <sheetProtection password="CC08" sheet="1" objects="1" scenarios="1"/>
  <protectedRanges>
    <protectedRange sqref="C2:C3 H3 G5:H5 B5:C257" name="Range1"/>
  </protectedRanges>
  <mergeCells count="2">
    <mergeCell ref="C2:F2"/>
    <mergeCell ref="C3:F3"/>
  </mergeCells>
  <printOptions horizontalCentered="1"/>
  <pageMargins left="0.75" right="0.75" top="1" bottom="1" header="0.5" footer="0.5"/>
  <pageSetup orientation="portrait" r:id="rId1"/>
  <headerFooter alignWithMargins="0">
    <oddHeader>&amp;A</oddHeader>
    <oddFooter>&amp;L&amp;F&amp;CPage &amp;P of &amp;N&amp;R&amp;D</oddFooter>
  </headerFooter>
  <colBreaks count="1" manualBreakCount="1">
    <brk id="20" max="1048575" man="1"/>
  </colBreaks>
  <drawing r:id="rId2"/>
  <legacyDrawing r:id="rId3"/>
  <oleObjects>
    <oleObject progId="Equation.3" shapeId="163842" r:id="rId4"/>
    <oleObject progId="Equation.3" shapeId="163843" r:id="rId5"/>
  </oleObjects>
  <controls>
    <control shapeId="163844" r:id="rId6" name="MainMenu"/>
    <control shapeId="163846" r:id="rId7" name="AddRows"/>
  </controls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4"/>
  <dimension ref="A1:P432"/>
  <sheetViews>
    <sheetView showGridLines="0" workbookViewId="0">
      <selection activeCell="L38" sqref="L38"/>
    </sheetView>
  </sheetViews>
  <sheetFormatPr defaultRowHeight="12.75"/>
  <cols>
    <col min="1" max="1" width="14.42578125" customWidth="1"/>
    <col min="8" max="15" width="9.140625" style="92"/>
  </cols>
  <sheetData>
    <row r="1" spans="1:16">
      <c r="A1" s="794" t="s">
        <v>762</v>
      </c>
      <c r="B1" s="1587"/>
      <c r="C1" s="1587"/>
      <c r="D1" s="1587"/>
      <c r="E1" s="551" t="s">
        <v>68</v>
      </c>
      <c r="I1" s="1618">
        <f>B1</f>
        <v>0</v>
      </c>
      <c r="J1" s="1618"/>
      <c r="K1" s="1618"/>
      <c r="L1" s="1618"/>
      <c r="M1" s="1618"/>
      <c r="N1" s="1618"/>
      <c r="O1" s="1618"/>
      <c r="P1" s="1618"/>
    </row>
    <row r="2" spans="1:16">
      <c r="A2" s="794" t="s">
        <v>69</v>
      </c>
      <c r="B2" s="1587"/>
      <c r="C2" s="1587"/>
      <c r="D2" s="1587"/>
      <c r="E2" s="551" t="s">
        <v>70</v>
      </c>
      <c r="I2" s="1618">
        <f>B2</f>
        <v>0</v>
      </c>
      <c r="J2" s="1618"/>
      <c r="K2" s="1618"/>
      <c r="L2" s="1618"/>
      <c r="M2" s="1618"/>
      <c r="N2" s="1618"/>
      <c r="O2" s="1618"/>
      <c r="P2" s="1618"/>
    </row>
    <row r="3" spans="1:16">
      <c r="A3" s="794" t="s">
        <v>71</v>
      </c>
      <c r="B3" s="1587"/>
      <c r="C3" s="1587"/>
      <c r="D3" s="1587"/>
      <c r="F3" s="325" t="s">
        <v>72</v>
      </c>
      <c r="G3" s="278"/>
      <c r="I3" s="1619">
        <f>B3</f>
        <v>0</v>
      </c>
      <c r="J3" s="1619"/>
      <c r="K3" s="1619"/>
      <c r="L3" s="1619"/>
      <c r="M3" s="1619"/>
      <c r="N3" s="1619"/>
      <c r="O3" s="1619"/>
      <c r="P3" s="1619"/>
    </row>
    <row r="5" spans="1:16" ht="12.75" customHeight="1">
      <c r="B5" s="1620" t="s">
        <v>1033</v>
      </c>
      <c r="C5" s="1620"/>
      <c r="D5" s="1621" t="s">
        <v>73</v>
      </c>
      <c r="E5" s="1622"/>
      <c r="F5" s="541"/>
      <c r="G5" s="541"/>
      <c r="H5" s="541"/>
      <c r="P5" s="92"/>
    </row>
    <row r="6" spans="1:16" ht="13.5" thickBot="1">
      <c r="B6" s="882" t="s">
        <v>1052</v>
      </c>
      <c r="C6" s="882" t="s">
        <v>880</v>
      </c>
      <c r="D6" s="1176"/>
      <c r="E6" s="1177" t="s">
        <v>74</v>
      </c>
      <c r="F6" s="541"/>
      <c r="G6" s="541"/>
      <c r="H6" s="541"/>
      <c r="P6" s="92"/>
    </row>
    <row r="7" spans="1:16" ht="13.5" thickTop="1">
      <c r="B7" s="883"/>
      <c r="C7" s="883"/>
      <c r="D7" s="883"/>
      <c r="E7" s="883"/>
      <c r="F7" s="541"/>
      <c r="G7" s="541"/>
      <c r="H7" s="541"/>
      <c r="P7" s="92"/>
    </row>
    <row r="8" spans="1:16">
      <c r="F8" s="541"/>
      <c r="G8" s="541"/>
      <c r="H8" s="1165"/>
    </row>
    <row r="9" spans="1:16" ht="13.5" thickBot="1">
      <c r="A9" s="884" t="s">
        <v>113</v>
      </c>
      <c r="B9" s="882" t="s">
        <v>1052</v>
      </c>
      <c r="C9" s="882" t="s">
        <v>880</v>
      </c>
      <c r="E9" s="885" t="s">
        <v>75</v>
      </c>
      <c r="F9" s="885" t="s">
        <v>76</v>
      </c>
      <c r="G9" s="886" t="s">
        <v>77</v>
      </c>
      <c r="H9" s="887"/>
      <c r="I9" s="887"/>
      <c r="J9" s="887"/>
      <c r="K9" s="887"/>
      <c r="L9" s="887"/>
      <c r="M9" s="887"/>
      <c r="N9" s="887"/>
      <c r="O9" s="887"/>
    </row>
    <row r="10" spans="1:16" ht="13.5" thickTop="1">
      <c r="A10" s="183">
        <v>1</v>
      </c>
      <c r="B10" s="273"/>
      <c r="C10" s="273"/>
      <c r="E10" s="888">
        <f t="shared" ref="E10:E46" si="0">IF($G$47=2,$B$7+(E$7*COS(G10*PI()/180)),$B$7+((D$7/2)*COS(G10*PI()/180)))</f>
        <v>0</v>
      </c>
      <c r="F10" s="888">
        <f t="shared" ref="F10:F46" si="1">IF($G$47=2,$C$7+(E$7*SIN(G10*PI()/180)),$C$7+((D$7/2)*SIN(G10*PI()/180)))</f>
        <v>0</v>
      </c>
      <c r="G10" s="888">
        <v>0</v>
      </c>
      <c r="H10" s="201"/>
      <c r="I10" s="201"/>
      <c r="J10" s="201"/>
      <c r="K10" s="201"/>
      <c r="L10" s="201"/>
      <c r="M10" s="201"/>
      <c r="N10" s="201"/>
      <c r="O10" s="201"/>
    </row>
    <row r="11" spans="1:16">
      <c r="A11" s="183">
        <f t="shared" ref="A11:A74" si="2">A10+1</f>
        <v>2</v>
      </c>
      <c r="B11" s="278"/>
      <c r="C11" s="278"/>
      <c r="E11" s="888">
        <f t="shared" si="0"/>
        <v>0</v>
      </c>
      <c r="F11" s="888">
        <f t="shared" si="1"/>
        <v>0</v>
      </c>
      <c r="G11" s="888">
        <f t="shared" ref="G11:G46" si="3">G10+10</f>
        <v>10</v>
      </c>
      <c r="H11" s="201"/>
      <c r="I11" s="201"/>
      <c r="J11" s="201"/>
      <c r="K11" s="201"/>
      <c r="L11" s="201"/>
      <c r="M11" s="201"/>
      <c r="N11" s="201"/>
      <c r="O11" s="201"/>
    </row>
    <row r="12" spans="1:16">
      <c r="A12" s="183">
        <f t="shared" si="2"/>
        <v>3</v>
      </c>
      <c r="B12" s="278"/>
      <c r="C12" s="278"/>
      <c r="E12" s="888">
        <f t="shared" si="0"/>
        <v>0</v>
      </c>
      <c r="F12" s="888">
        <f t="shared" si="1"/>
        <v>0</v>
      </c>
      <c r="G12" s="888">
        <f t="shared" si="3"/>
        <v>20</v>
      </c>
      <c r="H12" s="201"/>
      <c r="I12" s="201"/>
      <c r="J12" s="201"/>
      <c r="K12" s="201"/>
      <c r="L12" s="201"/>
      <c r="M12" s="201"/>
      <c r="N12" s="201"/>
      <c r="O12" s="201"/>
    </row>
    <row r="13" spans="1:16">
      <c r="A13" s="183">
        <f t="shared" si="2"/>
        <v>4</v>
      </c>
      <c r="B13" s="278"/>
      <c r="C13" s="278"/>
      <c r="E13" s="888">
        <f t="shared" si="0"/>
        <v>0</v>
      </c>
      <c r="F13" s="888">
        <f t="shared" si="1"/>
        <v>0</v>
      </c>
      <c r="G13" s="888">
        <f t="shared" si="3"/>
        <v>30</v>
      </c>
      <c r="H13" s="201"/>
      <c r="I13" s="201"/>
      <c r="J13" s="201"/>
      <c r="K13" s="201"/>
      <c r="L13" s="201"/>
      <c r="M13" s="201"/>
      <c r="N13" s="201"/>
      <c r="O13" s="201"/>
    </row>
    <row r="14" spans="1:16">
      <c r="A14" s="183">
        <f t="shared" si="2"/>
        <v>5</v>
      </c>
      <c r="B14" s="278"/>
      <c r="C14" s="278"/>
      <c r="E14" s="888">
        <f t="shared" si="0"/>
        <v>0</v>
      </c>
      <c r="F14" s="888">
        <f t="shared" si="1"/>
        <v>0</v>
      </c>
      <c r="G14" s="888">
        <f t="shared" si="3"/>
        <v>40</v>
      </c>
      <c r="H14" s="201"/>
      <c r="I14" s="201"/>
      <c r="J14" s="201"/>
      <c r="K14" s="201"/>
      <c r="L14" s="201"/>
      <c r="M14" s="201"/>
      <c r="N14" s="201"/>
      <c r="O14" s="201"/>
    </row>
    <row r="15" spans="1:16">
      <c r="A15" s="183">
        <f t="shared" si="2"/>
        <v>6</v>
      </c>
      <c r="B15" s="278"/>
      <c r="C15" s="278"/>
      <c r="E15" s="888">
        <f t="shared" si="0"/>
        <v>0</v>
      </c>
      <c r="F15" s="888">
        <f t="shared" si="1"/>
        <v>0</v>
      </c>
      <c r="G15" s="888">
        <f t="shared" si="3"/>
        <v>50</v>
      </c>
      <c r="H15" s="201"/>
      <c r="I15" s="201"/>
      <c r="J15" s="201"/>
      <c r="K15" s="201"/>
      <c r="L15" s="201"/>
      <c r="M15" s="201"/>
      <c r="N15" s="201"/>
      <c r="O15" s="201"/>
    </row>
    <row r="16" spans="1:16">
      <c r="A16" s="183">
        <f t="shared" si="2"/>
        <v>7</v>
      </c>
      <c r="B16" s="278"/>
      <c r="C16" s="278"/>
      <c r="E16" s="888">
        <f t="shared" si="0"/>
        <v>0</v>
      </c>
      <c r="F16" s="888">
        <f t="shared" si="1"/>
        <v>0</v>
      </c>
      <c r="G16" s="888">
        <f t="shared" si="3"/>
        <v>60</v>
      </c>
      <c r="H16" s="201"/>
      <c r="I16" s="201"/>
      <c r="J16" s="201"/>
      <c r="K16" s="201"/>
      <c r="L16" s="201"/>
      <c r="M16" s="201"/>
      <c r="N16" s="201"/>
      <c r="O16" s="201"/>
    </row>
    <row r="17" spans="1:15">
      <c r="A17" s="183">
        <f t="shared" si="2"/>
        <v>8</v>
      </c>
      <c r="B17" s="278"/>
      <c r="C17" s="278"/>
      <c r="E17" s="888">
        <f t="shared" si="0"/>
        <v>0</v>
      </c>
      <c r="F17" s="888">
        <f t="shared" si="1"/>
        <v>0</v>
      </c>
      <c r="G17" s="888">
        <f t="shared" si="3"/>
        <v>70</v>
      </c>
      <c r="H17" s="201"/>
      <c r="I17" s="201"/>
      <c r="J17" s="201"/>
      <c r="K17" s="201"/>
      <c r="L17" s="201"/>
      <c r="M17" s="201"/>
      <c r="N17" s="201"/>
      <c r="O17" s="201"/>
    </row>
    <row r="18" spans="1:15">
      <c r="A18" s="183">
        <f t="shared" si="2"/>
        <v>9</v>
      </c>
      <c r="B18" s="278"/>
      <c r="C18" s="278"/>
      <c r="E18" s="888">
        <f t="shared" si="0"/>
        <v>0</v>
      </c>
      <c r="F18" s="888">
        <f t="shared" si="1"/>
        <v>0</v>
      </c>
      <c r="G18" s="888">
        <f t="shared" si="3"/>
        <v>80</v>
      </c>
      <c r="H18" s="201"/>
      <c r="I18" s="201"/>
      <c r="J18" s="201"/>
      <c r="K18" s="201"/>
      <c r="L18" s="201"/>
      <c r="M18" s="201"/>
      <c r="N18" s="201"/>
      <c r="O18" s="201"/>
    </row>
    <row r="19" spans="1:15">
      <c r="A19" s="183">
        <f t="shared" si="2"/>
        <v>10</v>
      </c>
      <c r="B19" s="278"/>
      <c r="C19" s="278"/>
      <c r="E19" s="888">
        <f t="shared" si="0"/>
        <v>0</v>
      </c>
      <c r="F19" s="888">
        <f t="shared" si="1"/>
        <v>0</v>
      </c>
      <c r="G19" s="888">
        <f t="shared" si="3"/>
        <v>90</v>
      </c>
      <c r="H19" s="201"/>
      <c r="I19" s="201"/>
      <c r="J19" s="201"/>
      <c r="K19" s="201"/>
      <c r="L19" s="201"/>
      <c r="M19" s="201"/>
      <c r="N19" s="201"/>
      <c r="O19" s="201"/>
    </row>
    <row r="20" spans="1:15">
      <c r="A20" s="183">
        <f t="shared" si="2"/>
        <v>11</v>
      </c>
      <c r="B20" s="278"/>
      <c r="C20" s="278"/>
      <c r="E20" s="888">
        <f t="shared" si="0"/>
        <v>0</v>
      </c>
      <c r="F20" s="888">
        <f t="shared" si="1"/>
        <v>0</v>
      </c>
      <c r="G20" s="888">
        <f t="shared" si="3"/>
        <v>100</v>
      </c>
      <c r="H20" s="201"/>
      <c r="I20" s="201"/>
      <c r="J20" s="201"/>
      <c r="K20" s="201"/>
      <c r="L20" s="201"/>
      <c r="M20" s="201"/>
      <c r="N20" s="201"/>
      <c r="O20" s="201"/>
    </row>
    <row r="21" spans="1:15">
      <c r="A21" s="183">
        <f t="shared" si="2"/>
        <v>12</v>
      </c>
      <c r="B21" s="278"/>
      <c r="C21" s="278"/>
      <c r="E21" s="888">
        <f t="shared" si="0"/>
        <v>0</v>
      </c>
      <c r="F21" s="888">
        <f t="shared" si="1"/>
        <v>0</v>
      </c>
      <c r="G21" s="888">
        <f t="shared" si="3"/>
        <v>110</v>
      </c>
      <c r="H21" s="201"/>
      <c r="I21" s="201"/>
      <c r="J21" s="201"/>
      <c r="K21" s="201"/>
      <c r="L21" s="201"/>
      <c r="M21" s="201"/>
      <c r="N21" s="201"/>
      <c r="O21" s="201"/>
    </row>
    <row r="22" spans="1:15">
      <c r="A22" s="183">
        <f t="shared" si="2"/>
        <v>13</v>
      </c>
      <c r="B22" s="278"/>
      <c r="C22" s="278"/>
      <c r="E22" s="888">
        <f t="shared" si="0"/>
        <v>0</v>
      </c>
      <c r="F22" s="888">
        <f t="shared" si="1"/>
        <v>0</v>
      </c>
      <c r="G22" s="888">
        <f t="shared" si="3"/>
        <v>120</v>
      </c>
      <c r="H22" s="201"/>
      <c r="I22" s="201"/>
      <c r="J22" s="201"/>
      <c r="K22" s="201"/>
      <c r="L22" s="201"/>
      <c r="M22" s="201"/>
      <c r="N22" s="201"/>
      <c r="O22" s="201"/>
    </row>
    <row r="23" spans="1:15">
      <c r="A23" s="183">
        <f t="shared" si="2"/>
        <v>14</v>
      </c>
      <c r="B23" s="278"/>
      <c r="C23" s="278"/>
      <c r="E23" s="888">
        <f t="shared" si="0"/>
        <v>0</v>
      </c>
      <c r="F23" s="888">
        <f t="shared" si="1"/>
        <v>0</v>
      </c>
      <c r="G23" s="888">
        <f t="shared" si="3"/>
        <v>130</v>
      </c>
      <c r="H23" s="201"/>
      <c r="I23" s="201"/>
      <c r="J23" s="201"/>
      <c r="K23" s="201"/>
      <c r="L23" s="201"/>
      <c r="M23" s="201"/>
      <c r="N23" s="201"/>
      <c r="O23" s="201"/>
    </row>
    <row r="24" spans="1:15">
      <c r="A24" s="183">
        <f t="shared" si="2"/>
        <v>15</v>
      </c>
      <c r="B24" s="278"/>
      <c r="C24" s="278"/>
      <c r="E24" s="888">
        <f t="shared" si="0"/>
        <v>0</v>
      </c>
      <c r="F24" s="888">
        <f t="shared" si="1"/>
        <v>0</v>
      </c>
      <c r="G24" s="888">
        <f t="shared" si="3"/>
        <v>140</v>
      </c>
      <c r="H24" s="201"/>
      <c r="I24" s="201"/>
      <c r="J24" s="201"/>
      <c r="K24" s="201"/>
      <c r="L24" s="201"/>
      <c r="M24" s="201"/>
      <c r="N24" s="201"/>
      <c r="O24" s="201"/>
    </row>
    <row r="25" spans="1:15">
      <c r="A25" s="183">
        <f t="shared" si="2"/>
        <v>16</v>
      </c>
      <c r="B25" s="278"/>
      <c r="C25" s="278"/>
      <c r="E25" s="888">
        <f t="shared" si="0"/>
        <v>0</v>
      </c>
      <c r="F25" s="888">
        <f t="shared" si="1"/>
        <v>0</v>
      </c>
      <c r="G25" s="888">
        <f t="shared" si="3"/>
        <v>150</v>
      </c>
      <c r="H25" s="201"/>
      <c r="I25" s="201"/>
      <c r="J25" s="201"/>
      <c r="K25" s="201"/>
      <c r="L25" s="201"/>
      <c r="M25" s="201"/>
      <c r="N25" s="201"/>
      <c r="O25" s="201"/>
    </row>
    <row r="26" spans="1:15">
      <c r="A26" s="183">
        <f t="shared" si="2"/>
        <v>17</v>
      </c>
      <c r="B26" s="278"/>
      <c r="C26" s="278"/>
      <c r="E26" s="888">
        <f t="shared" si="0"/>
        <v>0</v>
      </c>
      <c r="F26" s="888">
        <f t="shared" si="1"/>
        <v>0</v>
      </c>
      <c r="G26" s="888">
        <f t="shared" si="3"/>
        <v>160</v>
      </c>
      <c r="H26" s="201"/>
      <c r="I26" s="201"/>
      <c r="J26" s="201"/>
      <c r="K26" s="201"/>
      <c r="L26" s="201"/>
      <c r="M26" s="201"/>
      <c r="N26" s="201"/>
      <c r="O26" s="201"/>
    </row>
    <row r="27" spans="1:15">
      <c r="A27" s="183">
        <f t="shared" si="2"/>
        <v>18</v>
      </c>
      <c r="B27" s="278"/>
      <c r="C27" s="278"/>
      <c r="E27" s="888">
        <f t="shared" si="0"/>
        <v>0</v>
      </c>
      <c r="F27" s="888">
        <f t="shared" si="1"/>
        <v>0</v>
      </c>
      <c r="G27" s="888">
        <f t="shared" si="3"/>
        <v>170</v>
      </c>
      <c r="H27" s="201"/>
      <c r="I27" s="201"/>
      <c r="J27" s="201"/>
      <c r="K27" s="201"/>
      <c r="L27" s="201"/>
      <c r="M27" s="201"/>
      <c r="N27" s="201"/>
      <c r="O27" s="201"/>
    </row>
    <row r="28" spans="1:15">
      <c r="A28" s="183">
        <f t="shared" si="2"/>
        <v>19</v>
      </c>
      <c r="B28" s="278"/>
      <c r="C28" s="278"/>
      <c r="E28" s="888">
        <f t="shared" si="0"/>
        <v>0</v>
      </c>
      <c r="F28" s="888">
        <f t="shared" si="1"/>
        <v>0</v>
      </c>
      <c r="G28" s="888">
        <f t="shared" si="3"/>
        <v>180</v>
      </c>
      <c r="H28" s="201"/>
      <c r="I28" s="201"/>
      <c r="J28" s="201"/>
      <c r="K28" s="201"/>
      <c r="L28" s="201"/>
      <c r="M28" s="201"/>
      <c r="N28" s="201"/>
      <c r="O28" s="201"/>
    </row>
    <row r="29" spans="1:15">
      <c r="A29" s="183">
        <f t="shared" si="2"/>
        <v>20</v>
      </c>
      <c r="B29" s="278"/>
      <c r="C29" s="278"/>
      <c r="E29" s="888">
        <f t="shared" si="0"/>
        <v>0</v>
      </c>
      <c r="F29" s="888">
        <f t="shared" si="1"/>
        <v>0</v>
      </c>
      <c r="G29" s="888">
        <f t="shared" si="3"/>
        <v>190</v>
      </c>
      <c r="H29" s="201"/>
      <c r="I29" s="201"/>
      <c r="J29" s="201"/>
      <c r="K29" s="201"/>
      <c r="L29" s="201"/>
      <c r="M29" s="201"/>
      <c r="N29" s="201"/>
      <c r="O29" s="201"/>
    </row>
    <row r="30" spans="1:15">
      <c r="A30" s="183">
        <f t="shared" si="2"/>
        <v>21</v>
      </c>
      <c r="B30" s="278"/>
      <c r="C30" s="278"/>
      <c r="E30" s="888">
        <f t="shared" si="0"/>
        <v>0</v>
      </c>
      <c r="F30" s="888">
        <f t="shared" si="1"/>
        <v>0</v>
      </c>
      <c r="G30" s="888">
        <f t="shared" si="3"/>
        <v>200</v>
      </c>
      <c r="H30" s="201"/>
      <c r="I30" s="201"/>
      <c r="J30" s="201"/>
      <c r="K30" s="201"/>
      <c r="L30" s="201"/>
      <c r="M30" s="201"/>
      <c r="N30" s="201"/>
      <c r="O30" s="201"/>
    </row>
    <row r="31" spans="1:15">
      <c r="A31" s="183">
        <f t="shared" si="2"/>
        <v>22</v>
      </c>
      <c r="B31" s="278"/>
      <c r="C31" s="278"/>
      <c r="E31" s="888">
        <f t="shared" si="0"/>
        <v>0</v>
      </c>
      <c r="F31" s="888">
        <f t="shared" si="1"/>
        <v>0</v>
      </c>
      <c r="G31" s="888">
        <f t="shared" si="3"/>
        <v>210</v>
      </c>
      <c r="H31" s="201"/>
      <c r="I31" s="201"/>
      <c r="J31"/>
      <c r="K31"/>
      <c r="L31"/>
      <c r="M31"/>
      <c r="N31" s="201"/>
      <c r="O31" s="201"/>
    </row>
    <row r="32" spans="1:15">
      <c r="A32" s="183">
        <f t="shared" si="2"/>
        <v>23</v>
      </c>
      <c r="B32" s="278"/>
      <c r="C32" s="278"/>
      <c r="E32" s="888">
        <f t="shared" si="0"/>
        <v>0</v>
      </c>
      <c r="F32" s="888">
        <f t="shared" si="1"/>
        <v>0</v>
      </c>
      <c r="G32" s="888">
        <f t="shared" si="3"/>
        <v>220</v>
      </c>
      <c r="H32" s="201"/>
      <c r="I32" s="201"/>
      <c r="J32"/>
      <c r="O32" s="201"/>
    </row>
    <row r="33" spans="1:15">
      <c r="A33" s="183">
        <f t="shared" si="2"/>
        <v>24</v>
      </c>
      <c r="B33" s="278"/>
      <c r="C33" s="278"/>
      <c r="E33" s="888">
        <f t="shared" si="0"/>
        <v>0</v>
      </c>
      <c r="F33" s="888">
        <f t="shared" si="1"/>
        <v>0</v>
      </c>
      <c r="G33" s="888">
        <f t="shared" si="3"/>
        <v>230</v>
      </c>
      <c r="H33" s="201"/>
      <c r="I33" s="201"/>
      <c r="J33"/>
      <c r="O33" s="201"/>
    </row>
    <row r="34" spans="1:15">
      <c r="A34" s="183">
        <f t="shared" si="2"/>
        <v>25</v>
      </c>
      <c r="B34" s="278"/>
      <c r="C34" s="278"/>
      <c r="E34" s="888">
        <f t="shared" si="0"/>
        <v>0</v>
      </c>
      <c r="F34" s="888">
        <f t="shared" si="1"/>
        <v>0</v>
      </c>
      <c r="G34" s="888">
        <f t="shared" si="3"/>
        <v>240</v>
      </c>
      <c r="H34" s="201"/>
      <c r="I34" s="201"/>
      <c r="J34"/>
      <c r="O34" s="201"/>
    </row>
    <row r="35" spans="1:15">
      <c r="A35" s="183">
        <f t="shared" si="2"/>
        <v>26</v>
      </c>
      <c r="B35" s="278"/>
      <c r="C35" s="278"/>
      <c r="E35" s="888">
        <f t="shared" si="0"/>
        <v>0</v>
      </c>
      <c r="F35" s="888">
        <f t="shared" si="1"/>
        <v>0</v>
      </c>
      <c r="G35" s="888">
        <f t="shared" si="3"/>
        <v>250</v>
      </c>
      <c r="H35" s="201"/>
      <c r="I35" s="201"/>
      <c r="J35"/>
      <c r="O35" s="201"/>
    </row>
    <row r="36" spans="1:15">
      <c r="A36" s="183">
        <f t="shared" si="2"/>
        <v>27</v>
      </c>
      <c r="B36" s="278"/>
      <c r="C36" s="278"/>
      <c r="E36" s="888">
        <f t="shared" si="0"/>
        <v>0</v>
      </c>
      <c r="F36" s="888">
        <f t="shared" si="1"/>
        <v>0</v>
      </c>
      <c r="G36" s="888">
        <f t="shared" si="3"/>
        <v>260</v>
      </c>
      <c r="H36" s="201"/>
      <c r="I36" s="201"/>
      <c r="J36"/>
      <c r="O36" s="201"/>
    </row>
    <row r="37" spans="1:15">
      <c r="A37" s="183">
        <f t="shared" si="2"/>
        <v>28</v>
      </c>
      <c r="B37" s="278"/>
      <c r="C37" s="278"/>
      <c r="E37" s="888">
        <f t="shared" si="0"/>
        <v>0</v>
      </c>
      <c r="F37" s="888">
        <f t="shared" si="1"/>
        <v>0</v>
      </c>
      <c r="G37" s="888">
        <f t="shared" si="3"/>
        <v>270</v>
      </c>
      <c r="H37" s="201"/>
      <c r="I37" s="201"/>
      <c r="J37"/>
      <c r="O37" s="201"/>
    </row>
    <row r="38" spans="1:15">
      <c r="A38" s="183">
        <f t="shared" si="2"/>
        <v>29</v>
      </c>
      <c r="B38" s="278"/>
      <c r="C38" s="278"/>
      <c r="E38" s="888">
        <f t="shared" si="0"/>
        <v>0</v>
      </c>
      <c r="F38" s="888">
        <f t="shared" si="1"/>
        <v>0</v>
      </c>
      <c r="G38" s="888">
        <f t="shared" si="3"/>
        <v>280</v>
      </c>
      <c r="H38" s="201"/>
      <c r="I38" s="201"/>
      <c r="J38"/>
      <c r="O38" s="201"/>
    </row>
    <row r="39" spans="1:15">
      <c r="A39" s="183">
        <f t="shared" si="2"/>
        <v>30</v>
      </c>
      <c r="B39" s="278"/>
      <c r="C39" s="278"/>
      <c r="E39" s="888">
        <f t="shared" si="0"/>
        <v>0</v>
      </c>
      <c r="F39" s="888">
        <f t="shared" si="1"/>
        <v>0</v>
      </c>
      <c r="G39" s="888">
        <f t="shared" si="3"/>
        <v>290</v>
      </c>
      <c r="H39" s="201"/>
      <c r="I39" s="201"/>
      <c r="J39"/>
      <c r="O39" s="201"/>
    </row>
    <row r="40" spans="1:15">
      <c r="A40" s="183">
        <f t="shared" si="2"/>
        <v>31</v>
      </c>
      <c r="B40" s="278"/>
      <c r="C40" s="278"/>
      <c r="E40" s="888">
        <f t="shared" si="0"/>
        <v>0</v>
      </c>
      <c r="F40" s="888">
        <f t="shared" si="1"/>
        <v>0</v>
      </c>
      <c r="G40" s="888">
        <f t="shared" si="3"/>
        <v>300</v>
      </c>
      <c r="H40" s="201"/>
      <c r="I40" s="201"/>
      <c r="J40"/>
      <c r="K40"/>
      <c r="L40"/>
      <c r="M40"/>
      <c r="N40" s="201"/>
      <c r="O40" s="201"/>
    </row>
    <row r="41" spans="1:15">
      <c r="A41" s="183">
        <f t="shared" si="2"/>
        <v>32</v>
      </c>
      <c r="B41" s="278"/>
      <c r="C41" s="278"/>
      <c r="E41" s="888">
        <f t="shared" si="0"/>
        <v>0</v>
      </c>
      <c r="F41" s="888">
        <f t="shared" si="1"/>
        <v>0</v>
      </c>
      <c r="G41" s="888">
        <f t="shared" si="3"/>
        <v>310</v>
      </c>
      <c r="H41" s="201"/>
      <c r="I41" s="201"/>
      <c r="J41"/>
      <c r="K41"/>
      <c r="L41"/>
      <c r="M41"/>
      <c r="N41" s="201"/>
      <c r="O41" s="201"/>
    </row>
    <row r="42" spans="1:15">
      <c r="A42" s="183">
        <f t="shared" si="2"/>
        <v>33</v>
      </c>
      <c r="B42" s="278"/>
      <c r="C42" s="278"/>
      <c r="E42" s="888">
        <f t="shared" si="0"/>
        <v>0</v>
      </c>
      <c r="F42" s="888">
        <f t="shared" si="1"/>
        <v>0</v>
      </c>
      <c r="G42" s="888">
        <f t="shared" si="3"/>
        <v>320</v>
      </c>
      <c r="H42" s="201"/>
      <c r="I42" s="201"/>
      <c r="J42"/>
      <c r="K42" s="201"/>
      <c r="L42" s="201"/>
      <c r="M42"/>
      <c r="N42" s="201"/>
      <c r="O42" s="201"/>
    </row>
    <row r="43" spans="1:15">
      <c r="A43" s="183">
        <f t="shared" si="2"/>
        <v>34</v>
      </c>
      <c r="B43" s="278"/>
      <c r="C43" s="278"/>
      <c r="E43" s="888">
        <f t="shared" si="0"/>
        <v>0</v>
      </c>
      <c r="F43" s="888">
        <f t="shared" si="1"/>
        <v>0</v>
      </c>
      <c r="G43" s="888">
        <f t="shared" si="3"/>
        <v>330</v>
      </c>
      <c r="H43" s="201"/>
      <c r="I43" s="201"/>
      <c r="J43" s="201"/>
      <c r="K43" s="201"/>
      <c r="L43" s="201"/>
      <c r="M43" s="201"/>
      <c r="N43" s="201"/>
      <c r="O43" s="201"/>
    </row>
    <row r="44" spans="1:15">
      <c r="A44" s="183">
        <f t="shared" si="2"/>
        <v>35</v>
      </c>
      <c r="B44" s="278"/>
      <c r="C44" s="278"/>
      <c r="E44" s="888">
        <f t="shared" si="0"/>
        <v>0</v>
      </c>
      <c r="F44" s="888">
        <f t="shared" si="1"/>
        <v>0</v>
      </c>
      <c r="G44" s="888">
        <f t="shared" si="3"/>
        <v>340</v>
      </c>
      <c r="H44" s="201"/>
      <c r="I44" s="201"/>
      <c r="J44" s="201"/>
      <c r="K44" s="201"/>
      <c r="L44" s="201"/>
      <c r="M44" s="201"/>
      <c r="N44" s="201"/>
      <c r="O44" s="201"/>
    </row>
    <row r="45" spans="1:15">
      <c r="A45" s="183">
        <f t="shared" si="2"/>
        <v>36</v>
      </c>
      <c r="B45" s="278"/>
      <c r="C45" s="278"/>
      <c r="E45" s="888">
        <f t="shared" si="0"/>
        <v>0</v>
      </c>
      <c r="F45" s="888">
        <f t="shared" si="1"/>
        <v>0</v>
      </c>
      <c r="G45" s="888">
        <f t="shared" si="3"/>
        <v>350</v>
      </c>
      <c r="H45" s="201"/>
      <c r="I45" s="201"/>
      <c r="J45" s="201"/>
      <c r="K45" s="201"/>
      <c r="L45" s="201"/>
      <c r="M45" s="201"/>
      <c r="N45" s="201"/>
      <c r="O45" s="201"/>
    </row>
    <row r="46" spans="1:15">
      <c r="A46" s="183">
        <f t="shared" si="2"/>
        <v>37</v>
      </c>
      <c r="B46" s="278"/>
      <c r="C46" s="278"/>
      <c r="E46" s="888">
        <f t="shared" si="0"/>
        <v>0</v>
      </c>
      <c r="F46" s="888">
        <f t="shared" si="1"/>
        <v>0</v>
      </c>
      <c r="G46" s="888">
        <f t="shared" si="3"/>
        <v>360</v>
      </c>
      <c r="H46" s="201"/>
      <c r="I46" s="201"/>
      <c r="J46" s="201"/>
      <c r="M46" s="201"/>
      <c r="N46" s="201"/>
      <c r="O46" s="201"/>
    </row>
    <row r="47" spans="1:15">
      <c r="A47" s="183">
        <f t="shared" si="2"/>
        <v>38</v>
      </c>
      <c r="B47" s="278"/>
      <c r="C47" s="278"/>
      <c r="G47" s="541">
        <v>1</v>
      </c>
    </row>
    <row r="48" spans="1:15" ht="13.5" thickBot="1">
      <c r="A48" s="183">
        <f t="shared" si="2"/>
        <v>39</v>
      </c>
      <c r="B48" s="278"/>
      <c r="C48" s="278"/>
      <c r="E48" s="1617" t="s">
        <v>78</v>
      </c>
      <c r="F48" s="1617"/>
      <c r="G48" s="201"/>
    </row>
    <row r="49" spans="1:7" ht="13.5" thickTop="1">
      <c r="A49" s="183">
        <f t="shared" si="2"/>
        <v>40</v>
      </c>
      <c r="B49" s="278"/>
      <c r="C49" s="278"/>
      <c r="E49" s="889">
        <f>B7</f>
        <v>0</v>
      </c>
      <c r="F49" s="889">
        <f>C7</f>
        <v>0</v>
      </c>
      <c r="G49" s="890" t="s">
        <v>79</v>
      </c>
    </row>
    <row r="50" spans="1:7">
      <c r="A50" s="183">
        <f t="shared" si="2"/>
        <v>41</v>
      </c>
      <c r="B50" s="278"/>
      <c r="C50" s="278"/>
      <c r="E50" s="891">
        <f>B7</f>
        <v>0</v>
      </c>
      <c r="F50" s="891">
        <f>IF(G3="",C7+(MAX(B10:C409)-C7),C7+(MAX(B10:C409)-G3))</f>
        <v>0</v>
      </c>
      <c r="G50" s="890" t="s">
        <v>80</v>
      </c>
    </row>
    <row r="51" spans="1:7">
      <c r="A51" s="183">
        <f t="shared" si="2"/>
        <v>42</v>
      </c>
      <c r="B51" s="278"/>
      <c r="C51" s="278"/>
      <c r="E51" s="891">
        <f>B7</f>
        <v>0</v>
      </c>
      <c r="F51" s="891">
        <f>C7</f>
        <v>0</v>
      </c>
      <c r="G51" s="890" t="s">
        <v>81</v>
      </c>
    </row>
    <row r="52" spans="1:7">
      <c r="A52" s="183">
        <f t="shared" si="2"/>
        <v>43</v>
      </c>
      <c r="B52" s="278"/>
      <c r="C52" s="278"/>
      <c r="E52" s="891">
        <f>IF(G3="",B7+(MAX(B8:C409)-B7),B7+(MAX(B10:C409)-G3))</f>
        <v>0</v>
      </c>
      <c r="F52" s="891">
        <f>C7</f>
        <v>0</v>
      </c>
      <c r="G52" s="890" t="s">
        <v>82</v>
      </c>
    </row>
    <row r="53" spans="1:7">
      <c r="A53" s="183">
        <f t="shared" si="2"/>
        <v>44</v>
      </c>
      <c r="B53" s="278"/>
      <c r="C53" s="278"/>
      <c r="E53" s="782">
        <f>IF(G3="",B7-(MAX(B14:C413)-B7),B7-(MAX(B14:C413)-G3))</f>
        <v>0</v>
      </c>
      <c r="F53" s="891">
        <f>C7</f>
        <v>0</v>
      </c>
      <c r="G53" s="890" t="s">
        <v>83</v>
      </c>
    </row>
    <row r="54" spans="1:7">
      <c r="A54" s="183">
        <f t="shared" si="2"/>
        <v>45</v>
      </c>
      <c r="B54" s="278"/>
      <c r="C54" s="278"/>
      <c r="E54" s="782">
        <f>B7</f>
        <v>0</v>
      </c>
      <c r="F54" s="891">
        <f>C7</f>
        <v>0</v>
      </c>
      <c r="G54" s="890" t="s">
        <v>81</v>
      </c>
    </row>
    <row r="55" spans="1:7">
      <c r="A55" s="183">
        <f t="shared" si="2"/>
        <v>46</v>
      </c>
      <c r="B55" s="278"/>
      <c r="C55" s="278"/>
      <c r="E55" s="782">
        <f>B7</f>
        <v>0</v>
      </c>
      <c r="F55" s="782">
        <f>IF(G3="",C7-(MAX(B10:C409)-C7),C7-(MAX(B10:C409)-G3))</f>
        <v>0</v>
      </c>
      <c r="G55" s="890" t="s">
        <v>84</v>
      </c>
    </row>
    <row r="56" spans="1:7">
      <c r="A56" s="183">
        <f t="shared" si="2"/>
        <v>47</v>
      </c>
      <c r="B56" s="278"/>
      <c r="C56" s="278"/>
    </row>
    <row r="57" spans="1:7">
      <c r="A57" s="183">
        <f t="shared" si="2"/>
        <v>48</v>
      </c>
      <c r="B57" s="278"/>
      <c r="C57" s="278"/>
    </row>
    <row r="58" spans="1:7">
      <c r="A58" s="183">
        <f t="shared" si="2"/>
        <v>49</v>
      </c>
      <c r="B58" s="278"/>
      <c r="C58" s="278"/>
    </row>
    <row r="59" spans="1:7">
      <c r="A59" s="183">
        <f t="shared" si="2"/>
        <v>50</v>
      </c>
      <c r="B59" s="278"/>
      <c r="C59" s="278"/>
    </row>
    <row r="60" spans="1:7">
      <c r="A60" s="183">
        <f t="shared" si="2"/>
        <v>51</v>
      </c>
      <c r="B60" s="278"/>
      <c r="C60" s="278"/>
    </row>
    <row r="61" spans="1:7">
      <c r="A61" s="183">
        <f t="shared" si="2"/>
        <v>52</v>
      </c>
      <c r="B61" s="278"/>
      <c r="C61" s="278"/>
    </row>
    <row r="62" spans="1:7">
      <c r="A62" s="183">
        <f t="shared" si="2"/>
        <v>53</v>
      </c>
      <c r="B62" s="278"/>
      <c r="C62" s="278"/>
    </row>
    <row r="63" spans="1:7">
      <c r="A63" s="183">
        <f t="shared" si="2"/>
        <v>54</v>
      </c>
      <c r="B63" s="278"/>
      <c r="C63" s="278"/>
    </row>
    <row r="64" spans="1:7">
      <c r="A64" s="183">
        <f t="shared" si="2"/>
        <v>55</v>
      </c>
      <c r="B64" s="278"/>
      <c r="C64" s="278"/>
    </row>
    <row r="65" spans="1:3">
      <c r="A65" s="183">
        <f t="shared" si="2"/>
        <v>56</v>
      </c>
      <c r="B65" s="278"/>
      <c r="C65" s="278"/>
    </row>
    <row r="66" spans="1:3">
      <c r="A66" s="183">
        <f t="shared" si="2"/>
        <v>57</v>
      </c>
      <c r="B66" s="278"/>
      <c r="C66" s="278"/>
    </row>
    <row r="67" spans="1:3">
      <c r="A67" s="183">
        <f t="shared" si="2"/>
        <v>58</v>
      </c>
      <c r="B67" s="278"/>
      <c r="C67" s="278"/>
    </row>
    <row r="68" spans="1:3">
      <c r="A68" s="183">
        <f t="shared" si="2"/>
        <v>59</v>
      </c>
      <c r="B68" s="278"/>
      <c r="C68" s="278"/>
    </row>
    <row r="69" spans="1:3">
      <c r="A69" s="183">
        <f t="shared" si="2"/>
        <v>60</v>
      </c>
      <c r="B69" s="278"/>
      <c r="C69" s="278"/>
    </row>
    <row r="70" spans="1:3">
      <c r="A70" s="183">
        <f t="shared" si="2"/>
        <v>61</v>
      </c>
      <c r="B70" s="278"/>
      <c r="C70" s="278"/>
    </row>
    <row r="71" spans="1:3">
      <c r="A71" s="183">
        <f t="shared" si="2"/>
        <v>62</v>
      </c>
      <c r="B71" s="278"/>
      <c r="C71" s="278"/>
    </row>
    <row r="72" spans="1:3">
      <c r="A72" s="183">
        <f t="shared" si="2"/>
        <v>63</v>
      </c>
      <c r="B72" s="278"/>
      <c r="C72" s="278"/>
    </row>
    <row r="73" spans="1:3">
      <c r="A73" s="183">
        <f t="shared" si="2"/>
        <v>64</v>
      </c>
      <c r="B73" s="278"/>
      <c r="C73" s="278"/>
    </row>
    <row r="74" spans="1:3">
      <c r="A74" s="183">
        <f t="shared" si="2"/>
        <v>65</v>
      </c>
      <c r="B74" s="278"/>
      <c r="C74" s="278"/>
    </row>
    <row r="75" spans="1:3">
      <c r="A75" s="183">
        <f t="shared" ref="A75:A138" si="4">A74+1</f>
        <v>66</v>
      </c>
      <c r="B75" s="278"/>
      <c r="C75" s="278"/>
    </row>
    <row r="76" spans="1:3">
      <c r="A76" s="183">
        <f t="shared" si="4"/>
        <v>67</v>
      </c>
      <c r="B76" s="278"/>
      <c r="C76" s="278"/>
    </row>
    <row r="77" spans="1:3">
      <c r="A77" s="183">
        <f t="shared" si="4"/>
        <v>68</v>
      </c>
      <c r="B77" s="278"/>
      <c r="C77" s="278"/>
    </row>
    <row r="78" spans="1:3">
      <c r="A78" s="183">
        <f t="shared" si="4"/>
        <v>69</v>
      </c>
      <c r="B78" s="278"/>
      <c r="C78" s="278"/>
    </row>
    <row r="79" spans="1:3">
      <c r="A79" s="183">
        <f t="shared" si="4"/>
        <v>70</v>
      </c>
      <c r="B79" s="278"/>
      <c r="C79" s="278"/>
    </row>
    <row r="80" spans="1:3">
      <c r="A80" s="183">
        <f t="shared" si="4"/>
        <v>71</v>
      </c>
      <c r="B80" s="278"/>
      <c r="C80" s="278"/>
    </row>
    <row r="81" spans="1:3">
      <c r="A81" s="183">
        <f t="shared" si="4"/>
        <v>72</v>
      </c>
      <c r="B81" s="278"/>
      <c r="C81" s="278"/>
    </row>
    <row r="82" spans="1:3">
      <c r="A82" s="183">
        <f t="shared" si="4"/>
        <v>73</v>
      </c>
      <c r="B82" s="278"/>
      <c r="C82" s="278"/>
    </row>
    <row r="83" spans="1:3">
      <c r="A83" s="183">
        <f t="shared" si="4"/>
        <v>74</v>
      </c>
      <c r="B83" s="278"/>
      <c r="C83" s="278"/>
    </row>
    <row r="84" spans="1:3">
      <c r="A84" s="183">
        <f t="shared" si="4"/>
        <v>75</v>
      </c>
      <c r="B84" s="278"/>
      <c r="C84" s="278"/>
    </row>
    <row r="85" spans="1:3">
      <c r="A85" s="183">
        <f t="shared" si="4"/>
        <v>76</v>
      </c>
      <c r="B85" s="278"/>
      <c r="C85" s="278"/>
    </row>
    <row r="86" spans="1:3">
      <c r="A86" s="183">
        <f t="shared" si="4"/>
        <v>77</v>
      </c>
      <c r="B86" s="278"/>
      <c r="C86" s="278"/>
    </row>
    <row r="87" spans="1:3">
      <c r="A87" s="183">
        <f t="shared" si="4"/>
        <v>78</v>
      </c>
      <c r="B87" s="278"/>
      <c r="C87" s="278"/>
    </row>
    <row r="88" spans="1:3">
      <c r="A88" s="183">
        <f t="shared" si="4"/>
        <v>79</v>
      </c>
      <c r="B88" s="278"/>
      <c r="C88" s="278"/>
    </row>
    <row r="89" spans="1:3">
      <c r="A89" s="183">
        <f t="shared" si="4"/>
        <v>80</v>
      </c>
      <c r="B89" s="278"/>
      <c r="C89" s="278"/>
    </row>
    <row r="90" spans="1:3">
      <c r="A90" s="183">
        <f t="shared" si="4"/>
        <v>81</v>
      </c>
      <c r="B90" s="278"/>
      <c r="C90" s="278"/>
    </row>
    <row r="91" spans="1:3">
      <c r="A91" s="183">
        <f t="shared" si="4"/>
        <v>82</v>
      </c>
      <c r="B91" s="278"/>
      <c r="C91" s="278"/>
    </row>
    <row r="92" spans="1:3">
      <c r="A92" s="183">
        <f t="shared" si="4"/>
        <v>83</v>
      </c>
      <c r="B92" s="278"/>
      <c r="C92" s="278"/>
    </row>
    <row r="93" spans="1:3">
      <c r="A93" s="183">
        <f t="shared" si="4"/>
        <v>84</v>
      </c>
      <c r="B93" s="278"/>
      <c r="C93" s="278"/>
    </row>
    <row r="94" spans="1:3">
      <c r="A94" s="183">
        <f t="shared" si="4"/>
        <v>85</v>
      </c>
      <c r="B94" s="278"/>
      <c r="C94" s="278"/>
    </row>
    <row r="95" spans="1:3">
      <c r="A95" s="183">
        <f t="shared" si="4"/>
        <v>86</v>
      </c>
      <c r="B95" s="278"/>
      <c r="C95" s="278"/>
    </row>
    <row r="96" spans="1:3">
      <c r="A96" s="183">
        <f t="shared" si="4"/>
        <v>87</v>
      </c>
      <c r="B96" s="278"/>
      <c r="C96" s="278"/>
    </row>
    <row r="97" spans="1:3">
      <c r="A97" s="183">
        <f t="shared" si="4"/>
        <v>88</v>
      </c>
      <c r="B97" s="278"/>
      <c r="C97" s="278"/>
    </row>
    <row r="98" spans="1:3">
      <c r="A98" s="183">
        <f t="shared" si="4"/>
        <v>89</v>
      </c>
      <c r="B98" s="278"/>
      <c r="C98" s="278"/>
    </row>
    <row r="99" spans="1:3">
      <c r="A99" s="183">
        <f t="shared" si="4"/>
        <v>90</v>
      </c>
      <c r="B99" s="278"/>
      <c r="C99" s="278"/>
    </row>
    <row r="100" spans="1:3">
      <c r="A100" s="183">
        <f t="shared" si="4"/>
        <v>91</v>
      </c>
      <c r="B100" s="278"/>
      <c r="C100" s="278"/>
    </row>
    <row r="101" spans="1:3">
      <c r="A101" s="183">
        <f t="shared" si="4"/>
        <v>92</v>
      </c>
      <c r="B101" s="278"/>
      <c r="C101" s="278"/>
    </row>
    <row r="102" spans="1:3">
      <c r="A102" s="183">
        <f t="shared" si="4"/>
        <v>93</v>
      </c>
      <c r="B102" s="278"/>
      <c r="C102" s="278"/>
    </row>
    <row r="103" spans="1:3">
      <c r="A103" s="183">
        <f t="shared" si="4"/>
        <v>94</v>
      </c>
      <c r="B103" s="278"/>
      <c r="C103" s="278"/>
    </row>
    <row r="104" spans="1:3">
      <c r="A104" s="183">
        <f t="shared" si="4"/>
        <v>95</v>
      </c>
      <c r="B104" s="278"/>
      <c r="C104" s="278"/>
    </row>
    <row r="105" spans="1:3">
      <c r="A105" s="183">
        <f t="shared" si="4"/>
        <v>96</v>
      </c>
      <c r="B105" s="278"/>
      <c r="C105" s="278"/>
    </row>
    <row r="106" spans="1:3">
      <c r="A106" s="183">
        <f t="shared" si="4"/>
        <v>97</v>
      </c>
      <c r="B106" s="278"/>
      <c r="C106" s="278"/>
    </row>
    <row r="107" spans="1:3">
      <c r="A107" s="183">
        <f t="shared" si="4"/>
        <v>98</v>
      </c>
      <c r="B107" s="278"/>
      <c r="C107" s="278"/>
    </row>
    <row r="108" spans="1:3">
      <c r="A108" s="183">
        <f t="shared" si="4"/>
        <v>99</v>
      </c>
      <c r="B108" s="278"/>
      <c r="C108" s="278"/>
    </row>
    <row r="109" spans="1:3">
      <c r="A109" s="183">
        <f t="shared" si="4"/>
        <v>100</v>
      </c>
      <c r="B109" s="278"/>
      <c r="C109" s="278"/>
    </row>
    <row r="110" spans="1:3">
      <c r="A110" s="183">
        <f t="shared" si="4"/>
        <v>101</v>
      </c>
      <c r="B110" s="278"/>
      <c r="C110" s="278"/>
    </row>
    <row r="111" spans="1:3">
      <c r="A111" s="183">
        <f t="shared" si="4"/>
        <v>102</v>
      </c>
      <c r="B111" s="278"/>
      <c r="C111" s="278"/>
    </row>
    <row r="112" spans="1:3">
      <c r="A112" s="183">
        <f t="shared" si="4"/>
        <v>103</v>
      </c>
      <c r="B112" s="278"/>
      <c r="C112" s="278"/>
    </row>
    <row r="113" spans="1:3">
      <c r="A113" s="183">
        <f t="shared" si="4"/>
        <v>104</v>
      </c>
      <c r="B113" s="278"/>
      <c r="C113" s="278"/>
    </row>
    <row r="114" spans="1:3">
      <c r="A114" s="183">
        <f t="shared" si="4"/>
        <v>105</v>
      </c>
      <c r="B114" s="278"/>
      <c r="C114" s="278"/>
    </row>
    <row r="115" spans="1:3">
      <c r="A115" s="183">
        <f t="shared" si="4"/>
        <v>106</v>
      </c>
      <c r="B115" s="278"/>
      <c r="C115" s="278"/>
    </row>
    <row r="116" spans="1:3">
      <c r="A116" s="183">
        <f t="shared" si="4"/>
        <v>107</v>
      </c>
      <c r="B116" s="278"/>
      <c r="C116" s="278"/>
    </row>
    <row r="117" spans="1:3">
      <c r="A117" s="183">
        <f t="shared" si="4"/>
        <v>108</v>
      </c>
      <c r="B117" s="278"/>
      <c r="C117" s="278"/>
    </row>
    <row r="118" spans="1:3">
      <c r="A118" s="183">
        <f t="shared" si="4"/>
        <v>109</v>
      </c>
      <c r="B118" s="278"/>
      <c r="C118" s="278"/>
    </row>
    <row r="119" spans="1:3">
      <c r="A119" s="183">
        <f t="shared" si="4"/>
        <v>110</v>
      </c>
      <c r="B119" s="278"/>
      <c r="C119" s="278"/>
    </row>
    <row r="120" spans="1:3">
      <c r="A120" s="183">
        <f t="shared" si="4"/>
        <v>111</v>
      </c>
      <c r="B120" s="278"/>
      <c r="C120" s="278"/>
    </row>
    <row r="121" spans="1:3">
      <c r="A121" s="183">
        <f t="shared" si="4"/>
        <v>112</v>
      </c>
      <c r="B121" s="278"/>
      <c r="C121" s="278"/>
    </row>
    <row r="122" spans="1:3">
      <c r="A122" s="183">
        <f t="shared" si="4"/>
        <v>113</v>
      </c>
      <c r="B122" s="278"/>
      <c r="C122" s="278"/>
    </row>
    <row r="123" spans="1:3">
      <c r="A123" s="183">
        <f t="shared" si="4"/>
        <v>114</v>
      </c>
      <c r="B123" s="278"/>
      <c r="C123" s="278"/>
    </row>
    <row r="124" spans="1:3">
      <c r="A124" s="183">
        <f t="shared" si="4"/>
        <v>115</v>
      </c>
      <c r="B124" s="278"/>
      <c r="C124" s="278"/>
    </row>
    <row r="125" spans="1:3">
      <c r="A125" s="183">
        <f t="shared" si="4"/>
        <v>116</v>
      </c>
      <c r="B125" s="278"/>
      <c r="C125" s="278"/>
    </row>
    <row r="126" spans="1:3">
      <c r="A126" s="183">
        <f t="shared" si="4"/>
        <v>117</v>
      </c>
      <c r="B126" s="278"/>
      <c r="C126" s="278"/>
    </row>
    <row r="127" spans="1:3">
      <c r="A127" s="183">
        <f t="shared" si="4"/>
        <v>118</v>
      </c>
      <c r="B127" s="278"/>
      <c r="C127" s="278"/>
    </row>
    <row r="128" spans="1:3">
      <c r="A128" s="183">
        <f t="shared" si="4"/>
        <v>119</v>
      </c>
      <c r="B128" s="278"/>
      <c r="C128" s="278"/>
    </row>
    <row r="129" spans="1:3">
      <c r="A129" s="183">
        <f t="shared" si="4"/>
        <v>120</v>
      </c>
      <c r="B129" s="278"/>
      <c r="C129" s="278"/>
    </row>
    <row r="130" spans="1:3">
      <c r="A130" s="183">
        <f t="shared" si="4"/>
        <v>121</v>
      </c>
      <c r="B130" s="278"/>
      <c r="C130" s="278"/>
    </row>
    <row r="131" spans="1:3">
      <c r="A131" s="183">
        <f t="shared" si="4"/>
        <v>122</v>
      </c>
      <c r="B131" s="278"/>
      <c r="C131" s="278"/>
    </row>
    <row r="132" spans="1:3">
      <c r="A132" s="183">
        <f t="shared" si="4"/>
        <v>123</v>
      </c>
      <c r="B132" s="278"/>
      <c r="C132" s="278"/>
    </row>
    <row r="133" spans="1:3">
      <c r="A133" s="183">
        <f t="shared" si="4"/>
        <v>124</v>
      </c>
      <c r="B133" s="278"/>
      <c r="C133" s="278"/>
    </row>
    <row r="134" spans="1:3">
      <c r="A134" s="183">
        <f t="shared" si="4"/>
        <v>125</v>
      </c>
      <c r="B134" s="278"/>
      <c r="C134" s="278"/>
    </row>
    <row r="135" spans="1:3">
      <c r="A135" s="183">
        <f t="shared" si="4"/>
        <v>126</v>
      </c>
      <c r="B135" s="278"/>
      <c r="C135" s="278"/>
    </row>
    <row r="136" spans="1:3">
      <c r="A136" s="183">
        <f t="shared" si="4"/>
        <v>127</v>
      </c>
      <c r="B136" s="278"/>
      <c r="C136" s="278"/>
    </row>
    <row r="137" spans="1:3">
      <c r="A137" s="183">
        <f t="shared" si="4"/>
        <v>128</v>
      </c>
      <c r="B137" s="278"/>
      <c r="C137" s="278"/>
    </row>
    <row r="138" spans="1:3">
      <c r="A138" s="183">
        <f t="shared" si="4"/>
        <v>129</v>
      </c>
      <c r="B138" s="278"/>
      <c r="C138" s="278"/>
    </row>
    <row r="139" spans="1:3">
      <c r="A139" s="183">
        <f t="shared" ref="A139:A202" si="5">A138+1</f>
        <v>130</v>
      </c>
      <c r="B139" s="278"/>
      <c r="C139" s="278"/>
    </row>
    <row r="140" spans="1:3">
      <c r="A140" s="183">
        <f t="shared" si="5"/>
        <v>131</v>
      </c>
      <c r="B140" s="278"/>
      <c r="C140" s="278"/>
    </row>
    <row r="141" spans="1:3">
      <c r="A141" s="183">
        <f t="shared" si="5"/>
        <v>132</v>
      </c>
      <c r="B141" s="278"/>
      <c r="C141" s="278"/>
    </row>
    <row r="142" spans="1:3">
      <c r="A142" s="183">
        <f t="shared" si="5"/>
        <v>133</v>
      </c>
      <c r="B142" s="278"/>
      <c r="C142" s="278"/>
    </row>
    <row r="143" spans="1:3">
      <c r="A143" s="183">
        <f t="shared" si="5"/>
        <v>134</v>
      </c>
      <c r="B143" s="278"/>
      <c r="C143" s="278"/>
    </row>
    <row r="144" spans="1:3">
      <c r="A144" s="183">
        <f t="shared" si="5"/>
        <v>135</v>
      </c>
      <c r="B144" s="278"/>
      <c r="C144" s="278"/>
    </row>
    <row r="145" spans="1:3">
      <c r="A145" s="183">
        <f t="shared" si="5"/>
        <v>136</v>
      </c>
      <c r="B145" s="278"/>
      <c r="C145" s="278"/>
    </row>
    <row r="146" spans="1:3">
      <c r="A146" s="183">
        <f t="shared" si="5"/>
        <v>137</v>
      </c>
      <c r="B146" s="278"/>
      <c r="C146" s="278"/>
    </row>
    <row r="147" spans="1:3">
      <c r="A147" s="183">
        <f t="shared" si="5"/>
        <v>138</v>
      </c>
      <c r="B147" s="278"/>
      <c r="C147" s="278"/>
    </row>
    <row r="148" spans="1:3">
      <c r="A148" s="183">
        <f t="shared" si="5"/>
        <v>139</v>
      </c>
      <c r="B148" s="278"/>
      <c r="C148" s="278"/>
    </row>
    <row r="149" spans="1:3">
      <c r="A149" s="183">
        <f t="shared" si="5"/>
        <v>140</v>
      </c>
      <c r="B149" s="278"/>
      <c r="C149" s="278"/>
    </row>
    <row r="150" spans="1:3">
      <c r="A150" s="183">
        <f t="shared" si="5"/>
        <v>141</v>
      </c>
      <c r="B150" s="278"/>
      <c r="C150" s="278"/>
    </row>
    <row r="151" spans="1:3">
      <c r="A151" s="183">
        <f t="shared" si="5"/>
        <v>142</v>
      </c>
      <c r="B151" s="278"/>
      <c r="C151" s="278"/>
    </row>
    <row r="152" spans="1:3">
      <c r="A152" s="183">
        <f t="shared" si="5"/>
        <v>143</v>
      </c>
      <c r="B152" s="278"/>
      <c r="C152" s="278"/>
    </row>
    <row r="153" spans="1:3">
      <c r="A153" s="183">
        <f t="shared" si="5"/>
        <v>144</v>
      </c>
      <c r="B153" s="278"/>
      <c r="C153" s="278"/>
    </row>
    <row r="154" spans="1:3">
      <c r="A154" s="183">
        <f t="shared" si="5"/>
        <v>145</v>
      </c>
      <c r="B154" s="278"/>
      <c r="C154" s="278"/>
    </row>
    <row r="155" spans="1:3">
      <c r="A155" s="183">
        <f t="shared" si="5"/>
        <v>146</v>
      </c>
      <c r="B155" s="278"/>
      <c r="C155" s="278"/>
    </row>
    <row r="156" spans="1:3">
      <c r="A156" s="183">
        <f t="shared" si="5"/>
        <v>147</v>
      </c>
      <c r="B156" s="278"/>
      <c r="C156" s="278"/>
    </row>
    <row r="157" spans="1:3">
      <c r="A157" s="183">
        <f t="shared" si="5"/>
        <v>148</v>
      </c>
      <c r="B157" s="278"/>
      <c r="C157" s="278"/>
    </row>
    <row r="158" spans="1:3">
      <c r="A158" s="183">
        <f t="shared" si="5"/>
        <v>149</v>
      </c>
      <c r="B158" s="278"/>
      <c r="C158" s="278"/>
    </row>
    <row r="159" spans="1:3">
      <c r="A159" s="183">
        <f t="shared" si="5"/>
        <v>150</v>
      </c>
      <c r="B159" s="278"/>
      <c r="C159" s="278"/>
    </row>
    <row r="160" spans="1:3">
      <c r="A160" s="183">
        <f t="shared" si="5"/>
        <v>151</v>
      </c>
      <c r="B160" s="278"/>
      <c r="C160" s="278"/>
    </row>
    <row r="161" spans="1:3">
      <c r="A161" s="183">
        <f t="shared" si="5"/>
        <v>152</v>
      </c>
      <c r="B161" s="278"/>
      <c r="C161" s="278"/>
    </row>
    <row r="162" spans="1:3">
      <c r="A162" s="183">
        <f t="shared" si="5"/>
        <v>153</v>
      </c>
      <c r="B162" s="278"/>
      <c r="C162" s="278"/>
    </row>
    <row r="163" spans="1:3">
      <c r="A163" s="183">
        <f t="shared" si="5"/>
        <v>154</v>
      </c>
      <c r="B163" s="278"/>
      <c r="C163" s="278"/>
    </row>
    <row r="164" spans="1:3">
      <c r="A164" s="183">
        <f t="shared" si="5"/>
        <v>155</v>
      </c>
      <c r="B164" s="278"/>
      <c r="C164" s="278"/>
    </row>
    <row r="165" spans="1:3">
      <c r="A165" s="183">
        <f t="shared" si="5"/>
        <v>156</v>
      </c>
      <c r="B165" s="278"/>
      <c r="C165" s="278"/>
    </row>
    <row r="166" spans="1:3">
      <c r="A166" s="183">
        <f t="shared" si="5"/>
        <v>157</v>
      </c>
      <c r="B166" s="278"/>
      <c r="C166" s="278"/>
    </row>
    <row r="167" spans="1:3">
      <c r="A167" s="183">
        <f t="shared" si="5"/>
        <v>158</v>
      </c>
      <c r="B167" s="278"/>
      <c r="C167" s="278"/>
    </row>
    <row r="168" spans="1:3">
      <c r="A168" s="183">
        <f t="shared" si="5"/>
        <v>159</v>
      </c>
      <c r="B168" s="278"/>
      <c r="C168" s="278"/>
    </row>
    <row r="169" spans="1:3">
      <c r="A169" s="183">
        <f t="shared" si="5"/>
        <v>160</v>
      </c>
      <c r="B169" s="278"/>
      <c r="C169" s="278"/>
    </row>
    <row r="170" spans="1:3">
      <c r="A170" s="183">
        <f t="shared" si="5"/>
        <v>161</v>
      </c>
      <c r="B170" s="278"/>
      <c r="C170" s="278"/>
    </row>
    <row r="171" spans="1:3">
      <c r="A171" s="183">
        <f t="shared" si="5"/>
        <v>162</v>
      </c>
      <c r="B171" s="278"/>
      <c r="C171" s="278"/>
    </row>
    <row r="172" spans="1:3">
      <c r="A172" s="183">
        <f t="shared" si="5"/>
        <v>163</v>
      </c>
      <c r="B172" s="278"/>
      <c r="C172" s="278"/>
    </row>
    <row r="173" spans="1:3">
      <c r="A173" s="183">
        <f t="shared" si="5"/>
        <v>164</v>
      </c>
      <c r="B173" s="278"/>
      <c r="C173" s="278"/>
    </row>
    <row r="174" spans="1:3">
      <c r="A174" s="183">
        <f t="shared" si="5"/>
        <v>165</v>
      </c>
      <c r="B174" s="278"/>
      <c r="C174" s="278"/>
    </row>
    <row r="175" spans="1:3">
      <c r="A175" s="183">
        <f t="shared" si="5"/>
        <v>166</v>
      </c>
      <c r="B175" s="278"/>
      <c r="C175" s="278"/>
    </row>
    <row r="176" spans="1:3">
      <c r="A176" s="183">
        <f t="shared" si="5"/>
        <v>167</v>
      </c>
      <c r="B176" s="278"/>
      <c r="C176" s="278"/>
    </row>
    <row r="177" spans="1:3">
      <c r="A177" s="183">
        <f t="shared" si="5"/>
        <v>168</v>
      </c>
      <c r="B177" s="278"/>
      <c r="C177" s="278"/>
    </row>
    <row r="178" spans="1:3">
      <c r="A178" s="183">
        <f t="shared" si="5"/>
        <v>169</v>
      </c>
      <c r="B178" s="278"/>
      <c r="C178" s="278"/>
    </row>
    <row r="179" spans="1:3">
      <c r="A179" s="183">
        <f t="shared" si="5"/>
        <v>170</v>
      </c>
      <c r="B179" s="278"/>
      <c r="C179" s="278"/>
    </row>
    <row r="180" spans="1:3">
      <c r="A180" s="183">
        <f t="shared" si="5"/>
        <v>171</v>
      </c>
      <c r="B180" s="278"/>
      <c r="C180" s="278"/>
    </row>
    <row r="181" spans="1:3">
      <c r="A181" s="183">
        <f t="shared" si="5"/>
        <v>172</v>
      </c>
      <c r="B181" s="278"/>
      <c r="C181" s="278"/>
    </row>
    <row r="182" spans="1:3">
      <c r="A182" s="183">
        <f t="shared" si="5"/>
        <v>173</v>
      </c>
      <c r="B182" s="278"/>
      <c r="C182" s="278"/>
    </row>
    <row r="183" spans="1:3">
      <c r="A183" s="183">
        <f t="shared" si="5"/>
        <v>174</v>
      </c>
      <c r="B183" s="278"/>
      <c r="C183" s="278"/>
    </row>
    <row r="184" spans="1:3">
      <c r="A184" s="183">
        <f t="shared" si="5"/>
        <v>175</v>
      </c>
      <c r="B184" s="278"/>
      <c r="C184" s="278"/>
    </row>
    <row r="185" spans="1:3">
      <c r="A185" s="183">
        <f t="shared" si="5"/>
        <v>176</v>
      </c>
      <c r="B185" s="278"/>
      <c r="C185" s="278"/>
    </row>
    <row r="186" spans="1:3">
      <c r="A186" s="183">
        <f t="shared" si="5"/>
        <v>177</v>
      </c>
      <c r="B186" s="278"/>
      <c r="C186" s="278"/>
    </row>
    <row r="187" spans="1:3">
      <c r="A187" s="183">
        <f t="shared" si="5"/>
        <v>178</v>
      </c>
      <c r="B187" s="278"/>
      <c r="C187" s="278"/>
    </row>
    <row r="188" spans="1:3">
      <c r="A188" s="183">
        <f t="shared" si="5"/>
        <v>179</v>
      </c>
      <c r="B188" s="278"/>
      <c r="C188" s="278"/>
    </row>
    <row r="189" spans="1:3">
      <c r="A189" s="183">
        <f t="shared" si="5"/>
        <v>180</v>
      </c>
      <c r="B189" s="278"/>
      <c r="C189" s="278"/>
    </row>
    <row r="190" spans="1:3">
      <c r="A190" s="183">
        <f t="shared" si="5"/>
        <v>181</v>
      </c>
      <c r="B190" s="278"/>
      <c r="C190" s="278"/>
    </row>
    <row r="191" spans="1:3">
      <c r="A191" s="183">
        <f t="shared" si="5"/>
        <v>182</v>
      </c>
      <c r="B191" s="278"/>
      <c r="C191" s="278"/>
    </row>
    <row r="192" spans="1:3">
      <c r="A192" s="183">
        <f t="shared" si="5"/>
        <v>183</v>
      </c>
      <c r="B192" s="278"/>
      <c r="C192" s="278"/>
    </row>
    <row r="193" spans="1:3">
      <c r="A193" s="183">
        <f t="shared" si="5"/>
        <v>184</v>
      </c>
      <c r="B193" s="278"/>
      <c r="C193" s="278"/>
    </row>
    <row r="194" spans="1:3">
      <c r="A194" s="183">
        <f t="shared" si="5"/>
        <v>185</v>
      </c>
      <c r="B194" s="278"/>
      <c r="C194" s="278"/>
    </row>
    <row r="195" spans="1:3">
      <c r="A195" s="183">
        <f t="shared" si="5"/>
        <v>186</v>
      </c>
      <c r="B195" s="278"/>
      <c r="C195" s="278"/>
    </row>
    <row r="196" spans="1:3">
      <c r="A196" s="183">
        <f t="shared" si="5"/>
        <v>187</v>
      </c>
      <c r="B196" s="278"/>
      <c r="C196" s="278"/>
    </row>
    <row r="197" spans="1:3">
      <c r="A197" s="183">
        <f t="shared" si="5"/>
        <v>188</v>
      </c>
      <c r="B197" s="278"/>
      <c r="C197" s="278"/>
    </row>
    <row r="198" spans="1:3">
      <c r="A198" s="183">
        <f t="shared" si="5"/>
        <v>189</v>
      </c>
      <c r="B198" s="278"/>
      <c r="C198" s="278"/>
    </row>
    <row r="199" spans="1:3">
      <c r="A199" s="183">
        <f t="shared" si="5"/>
        <v>190</v>
      </c>
      <c r="B199" s="278"/>
      <c r="C199" s="278"/>
    </row>
    <row r="200" spans="1:3">
      <c r="A200" s="183">
        <f t="shared" si="5"/>
        <v>191</v>
      </c>
      <c r="B200" s="278"/>
      <c r="C200" s="278"/>
    </row>
    <row r="201" spans="1:3">
      <c r="A201" s="183">
        <f t="shared" si="5"/>
        <v>192</v>
      </c>
      <c r="B201" s="278"/>
      <c r="C201" s="278"/>
    </row>
    <row r="202" spans="1:3">
      <c r="A202" s="183">
        <f t="shared" si="5"/>
        <v>193</v>
      </c>
      <c r="B202" s="278"/>
      <c r="C202" s="278"/>
    </row>
    <row r="203" spans="1:3">
      <c r="A203" s="183">
        <f t="shared" ref="A203:A266" si="6">A202+1</f>
        <v>194</v>
      </c>
      <c r="B203" s="278"/>
      <c r="C203" s="278"/>
    </row>
    <row r="204" spans="1:3">
      <c r="A204" s="183">
        <f t="shared" si="6"/>
        <v>195</v>
      </c>
      <c r="B204" s="278"/>
      <c r="C204" s="278"/>
    </row>
    <row r="205" spans="1:3">
      <c r="A205" s="183">
        <f t="shared" si="6"/>
        <v>196</v>
      </c>
      <c r="B205" s="278"/>
      <c r="C205" s="278"/>
    </row>
    <row r="206" spans="1:3">
      <c r="A206" s="183">
        <f t="shared" si="6"/>
        <v>197</v>
      </c>
      <c r="B206" s="278"/>
      <c r="C206" s="278"/>
    </row>
    <row r="207" spans="1:3">
      <c r="A207" s="183">
        <f t="shared" si="6"/>
        <v>198</v>
      </c>
      <c r="B207" s="278"/>
      <c r="C207" s="278"/>
    </row>
    <row r="208" spans="1:3">
      <c r="A208" s="183">
        <f t="shared" si="6"/>
        <v>199</v>
      </c>
      <c r="B208" s="278"/>
      <c r="C208" s="278"/>
    </row>
    <row r="209" spans="1:3">
      <c r="A209" s="183">
        <f t="shared" si="6"/>
        <v>200</v>
      </c>
      <c r="B209" s="278"/>
      <c r="C209" s="278"/>
    </row>
    <row r="210" spans="1:3">
      <c r="A210" s="183">
        <f t="shared" si="6"/>
        <v>201</v>
      </c>
      <c r="B210" s="278"/>
      <c r="C210" s="278"/>
    </row>
    <row r="211" spans="1:3">
      <c r="A211" s="183">
        <f t="shared" si="6"/>
        <v>202</v>
      </c>
      <c r="B211" s="278"/>
      <c r="C211" s="278"/>
    </row>
    <row r="212" spans="1:3">
      <c r="A212" s="183">
        <f t="shared" si="6"/>
        <v>203</v>
      </c>
      <c r="B212" s="278"/>
      <c r="C212" s="278"/>
    </row>
    <row r="213" spans="1:3">
      <c r="A213" s="183">
        <f t="shared" si="6"/>
        <v>204</v>
      </c>
      <c r="B213" s="278"/>
      <c r="C213" s="278"/>
    </row>
    <row r="214" spans="1:3">
      <c r="A214" s="183">
        <f t="shared" si="6"/>
        <v>205</v>
      </c>
      <c r="B214" s="278"/>
      <c r="C214" s="278"/>
    </row>
    <row r="215" spans="1:3">
      <c r="A215" s="183">
        <f t="shared" si="6"/>
        <v>206</v>
      </c>
      <c r="B215" s="278"/>
      <c r="C215" s="278"/>
    </row>
    <row r="216" spans="1:3">
      <c r="A216" s="183">
        <f t="shared" si="6"/>
        <v>207</v>
      </c>
      <c r="B216" s="278"/>
      <c r="C216" s="278"/>
    </row>
    <row r="217" spans="1:3">
      <c r="A217" s="183">
        <f t="shared" si="6"/>
        <v>208</v>
      </c>
      <c r="B217" s="278"/>
      <c r="C217" s="278"/>
    </row>
    <row r="218" spans="1:3">
      <c r="A218" s="183">
        <f t="shared" si="6"/>
        <v>209</v>
      </c>
      <c r="B218" s="278"/>
      <c r="C218" s="278"/>
    </row>
    <row r="219" spans="1:3">
      <c r="A219" s="183">
        <f t="shared" si="6"/>
        <v>210</v>
      </c>
      <c r="B219" s="278"/>
      <c r="C219" s="278"/>
    </row>
    <row r="220" spans="1:3">
      <c r="A220" s="183">
        <f t="shared" si="6"/>
        <v>211</v>
      </c>
      <c r="B220" s="278"/>
      <c r="C220" s="278"/>
    </row>
    <row r="221" spans="1:3">
      <c r="A221" s="183">
        <f t="shared" si="6"/>
        <v>212</v>
      </c>
      <c r="B221" s="278"/>
      <c r="C221" s="278"/>
    </row>
    <row r="222" spans="1:3">
      <c r="A222" s="183">
        <f t="shared" si="6"/>
        <v>213</v>
      </c>
      <c r="B222" s="278"/>
      <c r="C222" s="278"/>
    </row>
    <row r="223" spans="1:3">
      <c r="A223" s="183">
        <f t="shared" si="6"/>
        <v>214</v>
      </c>
      <c r="B223" s="278"/>
      <c r="C223" s="278"/>
    </row>
    <row r="224" spans="1:3">
      <c r="A224" s="183">
        <f t="shared" si="6"/>
        <v>215</v>
      </c>
      <c r="B224" s="278"/>
      <c r="C224" s="278"/>
    </row>
    <row r="225" spans="1:3">
      <c r="A225" s="183">
        <f t="shared" si="6"/>
        <v>216</v>
      </c>
      <c r="B225" s="278"/>
      <c r="C225" s="278"/>
    </row>
    <row r="226" spans="1:3">
      <c r="A226" s="183">
        <f t="shared" si="6"/>
        <v>217</v>
      </c>
      <c r="B226" s="278"/>
      <c r="C226" s="278"/>
    </row>
    <row r="227" spans="1:3">
      <c r="A227" s="183">
        <f t="shared" si="6"/>
        <v>218</v>
      </c>
      <c r="B227" s="278"/>
      <c r="C227" s="278"/>
    </row>
    <row r="228" spans="1:3">
      <c r="A228" s="183">
        <f t="shared" si="6"/>
        <v>219</v>
      </c>
      <c r="B228" s="278"/>
      <c r="C228" s="278"/>
    </row>
    <row r="229" spans="1:3">
      <c r="A229" s="183">
        <f t="shared" si="6"/>
        <v>220</v>
      </c>
      <c r="B229" s="278"/>
      <c r="C229" s="278"/>
    </row>
    <row r="230" spans="1:3">
      <c r="A230" s="183">
        <f t="shared" si="6"/>
        <v>221</v>
      </c>
      <c r="B230" s="278"/>
      <c r="C230" s="278"/>
    </row>
    <row r="231" spans="1:3">
      <c r="A231" s="183">
        <f t="shared" si="6"/>
        <v>222</v>
      </c>
      <c r="B231" s="278"/>
      <c r="C231" s="278"/>
    </row>
    <row r="232" spans="1:3">
      <c r="A232" s="183">
        <f t="shared" si="6"/>
        <v>223</v>
      </c>
      <c r="B232" s="278"/>
      <c r="C232" s="278"/>
    </row>
    <row r="233" spans="1:3">
      <c r="A233" s="183">
        <f t="shared" si="6"/>
        <v>224</v>
      </c>
      <c r="B233" s="278"/>
      <c r="C233" s="278"/>
    </row>
    <row r="234" spans="1:3">
      <c r="A234" s="183">
        <f t="shared" si="6"/>
        <v>225</v>
      </c>
      <c r="B234" s="278"/>
      <c r="C234" s="278"/>
    </row>
    <row r="235" spans="1:3">
      <c r="A235" s="183">
        <f t="shared" si="6"/>
        <v>226</v>
      </c>
      <c r="B235" s="278"/>
      <c r="C235" s="278"/>
    </row>
    <row r="236" spans="1:3">
      <c r="A236" s="183">
        <f t="shared" si="6"/>
        <v>227</v>
      </c>
      <c r="B236" s="278"/>
      <c r="C236" s="278"/>
    </row>
    <row r="237" spans="1:3">
      <c r="A237" s="183">
        <f t="shared" si="6"/>
        <v>228</v>
      </c>
      <c r="B237" s="278"/>
      <c r="C237" s="278"/>
    </row>
    <row r="238" spans="1:3">
      <c r="A238" s="183">
        <f t="shared" si="6"/>
        <v>229</v>
      </c>
      <c r="B238" s="278"/>
      <c r="C238" s="278"/>
    </row>
    <row r="239" spans="1:3">
      <c r="A239" s="183">
        <f t="shared" si="6"/>
        <v>230</v>
      </c>
      <c r="B239" s="278"/>
      <c r="C239" s="278"/>
    </row>
    <row r="240" spans="1:3">
      <c r="A240" s="183">
        <f t="shared" si="6"/>
        <v>231</v>
      </c>
      <c r="B240" s="278"/>
      <c r="C240" s="278"/>
    </row>
    <row r="241" spans="1:3">
      <c r="A241" s="183">
        <f t="shared" si="6"/>
        <v>232</v>
      </c>
      <c r="B241" s="278"/>
      <c r="C241" s="278"/>
    </row>
    <row r="242" spans="1:3">
      <c r="A242" s="183">
        <f t="shared" si="6"/>
        <v>233</v>
      </c>
      <c r="B242" s="278"/>
      <c r="C242" s="278"/>
    </row>
    <row r="243" spans="1:3">
      <c r="A243" s="183">
        <f t="shared" si="6"/>
        <v>234</v>
      </c>
      <c r="B243" s="278"/>
      <c r="C243" s="278"/>
    </row>
    <row r="244" spans="1:3">
      <c r="A244" s="183">
        <f t="shared" si="6"/>
        <v>235</v>
      </c>
      <c r="B244" s="278"/>
      <c r="C244" s="278"/>
    </row>
    <row r="245" spans="1:3">
      <c r="A245" s="183">
        <f t="shared" si="6"/>
        <v>236</v>
      </c>
      <c r="B245" s="278"/>
      <c r="C245" s="278"/>
    </row>
    <row r="246" spans="1:3">
      <c r="A246" s="183">
        <f t="shared" si="6"/>
        <v>237</v>
      </c>
      <c r="B246" s="278"/>
      <c r="C246" s="278"/>
    </row>
    <row r="247" spans="1:3">
      <c r="A247" s="183">
        <f t="shared" si="6"/>
        <v>238</v>
      </c>
      <c r="B247" s="278"/>
      <c r="C247" s="278"/>
    </row>
    <row r="248" spans="1:3">
      <c r="A248" s="183">
        <f t="shared" si="6"/>
        <v>239</v>
      </c>
      <c r="B248" s="278"/>
      <c r="C248" s="278"/>
    </row>
    <row r="249" spans="1:3">
      <c r="A249" s="183">
        <f t="shared" si="6"/>
        <v>240</v>
      </c>
      <c r="B249" s="278"/>
      <c r="C249" s="278"/>
    </row>
    <row r="250" spans="1:3">
      <c r="A250" s="183">
        <f t="shared" si="6"/>
        <v>241</v>
      </c>
      <c r="B250" s="278"/>
      <c r="C250" s="278"/>
    </row>
    <row r="251" spans="1:3">
      <c r="A251" s="183">
        <f t="shared" si="6"/>
        <v>242</v>
      </c>
      <c r="B251" s="278"/>
      <c r="C251" s="278"/>
    </row>
    <row r="252" spans="1:3">
      <c r="A252" s="183">
        <f t="shared" si="6"/>
        <v>243</v>
      </c>
      <c r="B252" s="278"/>
      <c r="C252" s="278"/>
    </row>
    <row r="253" spans="1:3">
      <c r="A253" s="183">
        <f t="shared" si="6"/>
        <v>244</v>
      </c>
      <c r="B253" s="278"/>
      <c r="C253" s="278"/>
    </row>
    <row r="254" spans="1:3">
      <c r="A254" s="183">
        <f t="shared" si="6"/>
        <v>245</v>
      </c>
      <c r="B254" s="278"/>
      <c r="C254" s="278"/>
    </row>
    <row r="255" spans="1:3">
      <c r="A255" s="183">
        <f t="shared" si="6"/>
        <v>246</v>
      </c>
      <c r="B255" s="278"/>
      <c r="C255" s="278"/>
    </row>
    <row r="256" spans="1:3">
      <c r="A256" s="183">
        <f t="shared" si="6"/>
        <v>247</v>
      </c>
      <c r="B256" s="278"/>
      <c r="C256" s="278"/>
    </row>
    <row r="257" spans="1:3">
      <c r="A257" s="183">
        <f t="shared" si="6"/>
        <v>248</v>
      </c>
      <c r="B257" s="278"/>
      <c r="C257" s="278"/>
    </row>
    <row r="258" spans="1:3">
      <c r="A258" s="183">
        <f t="shared" si="6"/>
        <v>249</v>
      </c>
      <c r="B258" s="278"/>
      <c r="C258" s="278"/>
    </row>
    <row r="259" spans="1:3">
      <c r="A259" s="183">
        <f t="shared" si="6"/>
        <v>250</v>
      </c>
      <c r="B259" s="278"/>
      <c r="C259" s="278"/>
    </row>
    <row r="260" spans="1:3">
      <c r="A260" s="183">
        <f t="shared" si="6"/>
        <v>251</v>
      </c>
      <c r="B260" s="278"/>
      <c r="C260" s="278"/>
    </row>
    <row r="261" spans="1:3">
      <c r="A261" s="183">
        <f t="shared" si="6"/>
        <v>252</v>
      </c>
      <c r="B261" s="278"/>
      <c r="C261" s="278"/>
    </row>
    <row r="262" spans="1:3">
      <c r="A262" s="183">
        <f t="shared" si="6"/>
        <v>253</v>
      </c>
      <c r="B262" s="278"/>
      <c r="C262" s="278"/>
    </row>
    <row r="263" spans="1:3">
      <c r="A263" s="183">
        <f t="shared" si="6"/>
        <v>254</v>
      </c>
      <c r="B263" s="278"/>
      <c r="C263" s="278"/>
    </row>
    <row r="264" spans="1:3">
      <c r="A264" s="183">
        <f t="shared" si="6"/>
        <v>255</v>
      </c>
      <c r="B264" s="278"/>
      <c r="C264" s="278"/>
    </row>
    <row r="265" spans="1:3">
      <c r="A265" s="183">
        <f t="shared" si="6"/>
        <v>256</v>
      </c>
      <c r="B265" s="278"/>
      <c r="C265" s="278"/>
    </row>
    <row r="266" spans="1:3">
      <c r="A266" s="183">
        <f t="shared" si="6"/>
        <v>257</v>
      </c>
      <c r="B266" s="278"/>
      <c r="C266" s="278"/>
    </row>
    <row r="267" spans="1:3">
      <c r="A267" s="183">
        <f t="shared" ref="A267:A330" si="7">A266+1</f>
        <v>258</v>
      </c>
      <c r="B267" s="278"/>
      <c r="C267" s="278"/>
    </row>
    <row r="268" spans="1:3">
      <c r="A268" s="183">
        <f t="shared" si="7"/>
        <v>259</v>
      </c>
      <c r="B268" s="278"/>
      <c r="C268" s="278"/>
    </row>
    <row r="269" spans="1:3">
      <c r="A269" s="183">
        <f t="shared" si="7"/>
        <v>260</v>
      </c>
      <c r="B269" s="278"/>
      <c r="C269" s="278"/>
    </row>
    <row r="270" spans="1:3">
      <c r="A270" s="183">
        <f t="shared" si="7"/>
        <v>261</v>
      </c>
      <c r="B270" s="278"/>
      <c r="C270" s="278"/>
    </row>
    <row r="271" spans="1:3">
      <c r="A271" s="183">
        <f t="shared" si="7"/>
        <v>262</v>
      </c>
      <c r="B271" s="278"/>
      <c r="C271" s="278"/>
    </row>
    <row r="272" spans="1:3">
      <c r="A272" s="183">
        <f t="shared" si="7"/>
        <v>263</v>
      </c>
      <c r="B272" s="278"/>
      <c r="C272" s="278"/>
    </row>
    <row r="273" spans="1:3">
      <c r="A273" s="183">
        <f t="shared" si="7"/>
        <v>264</v>
      </c>
      <c r="B273" s="278"/>
      <c r="C273" s="278"/>
    </row>
    <row r="274" spans="1:3">
      <c r="A274" s="183">
        <f t="shared" si="7"/>
        <v>265</v>
      </c>
      <c r="B274" s="278"/>
      <c r="C274" s="278"/>
    </row>
    <row r="275" spans="1:3">
      <c r="A275" s="183">
        <f t="shared" si="7"/>
        <v>266</v>
      </c>
      <c r="B275" s="278"/>
      <c r="C275" s="278"/>
    </row>
    <row r="276" spans="1:3">
      <c r="A276" s="183">
        <f t="shared" si="7"/>
        <v>267</v>
      </c>
      <c r="B276" s="278"/>
      <c r="C276" s="278"/>
    </row>
    <row r="277" spans="1:3">
      <c r="A277" s="183">
        <f t="shared" si="7"/>
        <v>268</v>
      </c>
      <c r="B277" s="278"/>
      <c r="C277" s="278"/>
    </row>
    <row r="278" spans="1:3">
      <c r="A278" s="183">
        <f t="shared" si="7"/>
        <v>269</v>
      </c>
      <c r="B278" s="278"/>
      <c r="C278" s="278"/>
    </row>
    <row r="279" spans="1:3">
      <c r="A279" s="183">
        <f t="shared" si="7"/>
        <v>270</v>
      </c>
      <c r="B279" s="278"/>
      <c r="C279" s="278"/>
    </row>
    <row r="280" spans="1:3">
      <c r="A280" s="183">
        <f t="shared" si="7"/>
        <v>271</v>
      </c>
      <c r="B280" s="278"/>
      <c r="C280" s="278"/>
    </row>
    <row r="281" spans="1:3">
      <c r="A281" s="183">
        <f t="shared" si="7"/>
        <v>272</v>
      </c>
      <c r="B281" s="278"/>
      <c r="C281" s="278"/>
    </row>
    <row r="282" spans="1:3">
      <c r="A282" s="183">
        <f t="shared" si="7"/>
        <v>273</v>
      </c>
      <c r="B282" s="278"/>
      <c r="C282" s="278"/>
    </row>
    <row r="283" spans="1:3">
      <c r="A283" s="183">
        <f t="shared" si="7"/>
        <v>274</v>
      </c>
      <c r="B283" s="278"/>
      <c r="C283" s="278"/>
    </row>
    <row r="284" spans="1:3">
      <c r="A284" s="183">
        <f t="shared" si="7"/>
        <v>275</v>
      </c>
      <c r="B284" s="278"/>
      <c r="C284" s="278"/>
    </row>
    <row r="285" spans="1:3">
      <c r="A285" s="183">
        <f t="shared" si="7"/>
        <v>276</v>
      </c>
      <c r="B285" s="278"/>
      <c r="C285" s="278"/>
    </row>
    <row r="286" spans="1:3">
      <c r="A286" s="183">
        <f t="shared" si="7"/>
        <v>277</v>
      </c>
      <c r="B286" s="278"/>
      <c r="C286" s="278"/>
    </row>
    <row r="287" spans="1:3">
      <c r="A287" s="183">
        <f t="shared" si="7"/>
        <v>278</v>
      </c>
      <c r="B287" s="278"/>
      <c r="C287" s="278"/>
    </row>
    <row r="288" spans="1:3">
      <c r="A288" s="183">
        <f t="shared" si="7"/>
        <v>279</v>
      </c>
      <c r="B288" s="278"/>
      <c r="C288" s="278"/>
    </row>
    <row r="289" spans="1:3">
      <c r="A289" s="183">
        <f t="shared" si="7"/>
        <v>280</v>
      </c>
      <c r="B289" s="278"/>
      <c r="C289" s="278"/>
    </row>
    <row r="290" spans="1:3">
      <c r="A290" s="183">
        <f t="shared" si="7"/>
        <v>281</v>
      </c>
      <c r="B290" s="278"/>
      <c r="C290" s="278"/>
    </row>
    <row r="291" spans="1:3">
      <c r="A291" s="183">
        <f t="shared" si="7"/>
        <v>282</v>
      </c>
      <c r="B291" s="278"/>
      <c r="C291" s="278"/>
    </row>
    <row r="292" spans="1:3">
      <c r="A292" s="183">
        <f t="shared" si="7"/>
        <v>283</v>
      </c>
      <c r="B292" s="278"/>
      <c r="C292" s="278"/>
    </row>
    <row r="293" spans="1:3">
      <c r="A293" s="183">
        <f t="shared" si="7"/>
        <v>284</v>
      </c>
      <c r="B293" s="278"/>
      <c r="C293" s="278"/>
    </row>
    <row r="294" spans="1:3">
      <c r="A294" s="183">
        <f t="shared" si="7"/>
        <v>285</v>
      </c>
      <c r="B294" s="278"/>
      <c r="C294" s="278"/>
    </row>
    <row r="295" spans="1:3">
      <c r="A295" s="183">
        <f t="shared" si="7"/>
        <v>286</v>
      </c>
      <c r="B295" s="278"/>
      <c r="C295" s="278"/>
    </row>
    <row r="296" spans="1:3">
      <c r="A296" s="183">
        <f t="shared" si="7"/>
        <v>287</v>
      </c>
      <c r="B296" s="278"/>
      <c r="C296" s="278"/>
    </row>
    <row r="297" spans="1:3">
      <c r="A297" s="183">
        <f t="shared" si="7"/>
        <v>288</v>
      </c>
      <c r="B297" s="278"/>
      <c r="C297" s="278"/>
    </row>
    <row r="298" spans="1:3">
      <c r="A298" s="183">
        <f t="shared" si="7"/>
        <v>289</v>
      </c>
      <c r="B298" s="278"/>
      <c r="C298" s="278"/>
    </row>
    <row r="299" spans="1:3">
      <c r="A299" s="183">
        <f t="shared" si="7"/>
        <v>290</v>
      </c>
      <c r="B299" s="278"/>
      <c r="C299" s="278"/>
    </row>
    <row r="300" spans="1:3">
      <c r="A300" s="183">
        <f t="shared" si="7"/>
        <v>291</v>
      </c>
      <c r="B300" s="278"/>
      <c r="C300" s="278"/>
    </row>
    <row r="301" spans="1:3">
      <c r="A301" s="183">
        <f t="shared" si="7"/>
        <v>292</v>
      </c>
      <c r="B301" s="278"/>
      <c r="C301" s="278"/>
    </row>
    <row r="302" spans="1:3">
      <c r="A302" s="183">
        <f t="shared" si="7"/>
        <v>293</v>
      </c>
      <c r="B302" s="278"/>
      <c r="C302" s="278"/>
    </row>
    <row r="303" spans="1:3">
      <c r="A303" s="183">
        <f t="shared" si="7"/>
        <v>294</v>
      </c>
      <c r="B303" s="278"/>
      <c r="C303" s="278"/>
    </row>
    <row r="304" spans="1:3">
      <c r="A304" s="183">
        <f t="shared" si="7"/>
        <v>295</v>
      </c>
      <c r="B304" s="278"/>
      <c r="C304" s="278"/>
    </row>
    <row r="305" spans="1:3">
      <c r="A305" s="183">
        <f t="shared" si="7"/>
        <v>296</v>
      </c>
      <c r="B305" s="278"/>
      <c r="C305" s="278"/>
    </row>
    <row r="306" spans="1:3">
      <c r="A306" s="183">
        <f t="shared" si="7"/>
        <v>297</v>
      </c>
      <c r="B306" s="278"/>
      <c r="C306" s="278"/>
    </row>
    <row r="307" spans="1:3">
      <c r="A307" s="183">
        <f t="shared" si="7"/>
        <v>298</v>
      </c>
      <c r="B307" s="278"/>
      <c r="C307" s="278"/>
    </row>
    <row r="308" spans="1:3">
      <c r="A308" s="183">
        <f t="shared" si="7"/>
        <v>299</v>
      </c>
      <c r="B308" s="278"/>
      <c r="C308" s="278"/>
    </row>
    <row r="309" spans="1:3">
      <c r="A309" s="183">
        <f t="shared" si="7"/>
        <v>300</v>
      </c>
      <c r="B309" s="278"/>
      <c r="C309" s="278"/>
    </row>
    <row r="310" spans="1:3">
      <c r="A310" s="183">
        <f t="shared" si="7"/>
        <v>301</v>
      </c>
      <c r="B310" s="278"/>
      <c r="C310" s="278"/>
    </row>
    <row r="311" spans="1:3">
      <c r="A311" s="183">
        <f t="shared" si="7"/>
        <v>302</v>
      </c>
      <c r="B311" s="278"/>
      <c r="C311" s="278"/>
    </row>
    <row r="312" spans="1:3">
      <c r="A312" s="183">
        <f t="shared" si="7"/>
        <v>303</v>
      </c>
      <c r="B312" s="278"/>
      <c r="C312" s="278"/>
    </row>
    <row r="313" spans="1:3">
      <c r="A313" s="183">
        <f t="shared" si="7"/>
        <v>304</v>
      </c>
      <c r="B313" s="278"/>
      <c r="C313" s="278"/>
    </row>
    <row r="314" spans="1:3">
      <c r="A314" s="183">
        <f t="shared" si="7"/>
        <v>305</v>
      </c>
      <c r="B314" s="278"/>
      <c r="C314" s="278"/>
    </row>
    <row r="315" spans="1:3">
      <c r="A315" s="183">
        <f t="shared" si="7"/>
        <v>306</v>
      </c>
      <c r="B315" s="278"/>
      <c r="C315" s="278"/>
    </row>
    <row r="316" spans="1:3">
      <c r="A316" s="183">
        <f t="shared" si="7"/>
        <v>307</v>
      </c>
      <c r="B316" s="278"/>
      <c r="C316" s="278"/>
    </row>
    <row r="317" spans="1:3">
      <c r="A317" s="183">
        <f t="shared" si="7"/>
        <v>308</v>
      </c>
      <c r="B317" s="278"/>
      <c r="C317" s="278"/>
    </row>
    <row r="318" spans="1:3">
      <c r="A318" s="183">
        <f t="shared" si="7"/>
        <v>309</v>
      </c>
      <c r="B318" s="278"/>
      <c r="C318" s="278"/>
    </row>
    <row r="319" spans="1:3">
      <c r="A319" s="183">
        <f t="shared" si="7"/>
        <v>310</v>
      </c>
      <c r="B319" s="278"/>
      <c r="C319" s="278"/>
    </row>
    <row r="320" spans="1:3">
      <c r="A320" s="183">
        <f t="shared" si="7"/>
        <v>311</v>
      </c>
      <c r="B320" s="278"/>
      <c r="C320" s="278"/>
    </row>
    <row r="321" spans="1:3">
      <c r="A321" s="183">
        <f t="shared" si="7"/>
        <v>312</v>
      </c>
      <c r="B321" s="278"/>
      <c r="C321" s="278"/>
    </row>
    <row r="322" spans="1:3">
      <c r="A322" s="183">
        <f t="shared" si="7"/>
        <v>313</v>
      </c>
      <c r="B322" s="278"/>
      <c r="C322" s="278"/>
    </row>
    <row r="323" spans="1:3">
      <c r="A323" s="183">
        <f t="shared" si="7"/>
        <v>314</v>
      </c>
      <c r="B323" s="278"/>
      <c r="C323" s="278"/>
    </row>
    <row r="324" spans="1:3">
      <c r="A324" s="183">
        <f t="shared" si="7"/>
        <v>315</v>
      </c>
      <c r="B324" s="278"/>
      <c r="C324" s="278"/>
    </row>
    <row r="325" spans="1:3">
      <c r="A325" s="183">
        <f t="shared" si="7"/>
        <v>316</v>
      </c>
      <c r="B325" s="278"/>
      <c r="C325" s="278"/>
    </row>
    <row r="326" spans="1:3">
      <c r="A326" s="183">
        <f t="shared" si="7"/>
        <v>317</v>
      </c>
      <c r="B326" s="278"/>
      <c r="C326" s="278"/>
    </row>
    <row r="327" spans="1:3">
      <c r="A327" s="183">
        <f t="shared" si="7"/>
        <v>318</v>
      </c>
      <c r="B327" s="278"/>
      <c r="C327" s="278"/>
    </row>
    <row r="328" spans="1:3">
      <c r="A328" s="183">
        <f t="shared" si="7"/>
        <v>319</v>
      </c>
      <c r="B328" s="278"/>
      <c r="C328" s="278"/>
    </row>
    <row r="329" spans="1:3">
      <c r="A329" s="183">
        <f t="shared" si="7"/>
        <v>320</v>
      </c>
      <c r="B329" s="278"/>
      <c r="C329" s="278"/>
    </row>
    <row r="330" spans="1:3">
      <c r="A330" s="183">
        <f t="shared" si="7"/>
        <v>321</v>
      </c>
      <c r="B330" s="278"/>
      <c r="C330" s="278"/>
    </row>
    <row r="331" spans="1:3">
      <c r="A331" s="183">
        <f t="shared" ref="A331:A394" si="8">A330+1</f>
        <v>322</v>
      </c>
      <c r="B331" s="278"/>
      <c r="C331" s="278"/>
    </row>
    <row r="332" spans="1:3">
      <c r="A332" s="183">
        <f t="shared" si="8"/>
        <v>323</v>
      </c>
      <c r="B332" s="278"/>
      <c r="C332" s="278"/>
    </row>
    <row r="333" spans="1:3">
      <c r="A333" s="183">
        <f t="shared" si="8"/>
        <v>324</v>
      </c>
      <c r="B333" s="278"/>
      <c r="C333" s="278"/>
    </row>
    <row r="334" spans="1:3">
      <c r="A334" s="183">
        <f t="shared" si="8"/>
        <v>325</v>
      </c>
      <c r="B334" s="278"/>
      <c r="C334" s="278"/>
    </row>
    <row r="335" spans="1:3">
      <c r="A335" s="183">
        <f t="shared" si="8"/>
        <v>326</v>
      </c>
      <c r="B335" s="278"/>
      <c r="C335" s="278"/>
    </row>
    <row r="336" spans="1:3">
      <c r="A336" s="183">
        <f t="shared" si="8"/>
        <v>327</v>
      </c>
      <c r="B336" s="278"/>
      <c r="C336" s="278"/>
    </row>
    <row r="337" spans="1:3">
      <c r="A337" s="183">
        <f t="shared" si="8"/>
        <v>328</v>
      </c>
      <c r="B337" s="278"/>
      <c r="C337" s="278"/>
    </row>
    <row r="338" spans="1:3">
      <c r="A338" s="183">
        <f t="shared" si="8"/>
        <v>329</v>
      </c>
      <c r="B338" s="278"/>
      <c r="C338" s="278"/>
    </row>
    <row r="339" spans="1:3">
      <c r="A339" s="183">
        <f t="shared" si="8"/>
        <v>330</v>
      </c>
      <c r="B339" s="278"/>
      <c r="C339" s="278"/>
    </row>
    <row r="340" spans="1:3">
      <c r="A340" s="183">
        <f t="shared" si="8"/>
        <v>331</v>
      </c>
      <c r="B340" s="278"/>
      <c r="C340" s="278"/>
    </row>
    <row r="341" spans="1:3">
      <c r="A341" s="183">
        <f t="shared" si="8"/>
        <v>332</v>
      </c>
      <c r="B341" s="278"/>
      <c r="C341" s="278"/>
    </row>
    <row r="342" spans="1:3">
      <c r="A342" s="183">
        <f t="shared" si="8"/>
        <v>333</v>
      </c>
      <c r="B342" s="278"/>
      <c r="C342" s="278"/>
    </row>
    <row r="343" spans="1:3">
      <c r="A343" s="183">
        <f t="shared" si="8"/>
        <v>334</v>
      </c>
      <c r="B343" s="278"/>
      <c r="C343" s="278"/>
    </row>
    <row r="344" spans="1:3">
      <c r="A344" s="183">
        <f t="shared" si="8"/>
        <v>335</v>
      </c>
      <c r="B344" s="278"/>
      <c r="C344" s="278"/>
    </row>
    <row r="345" spans="1:3">
      <c r="A345" s="183">
        <f t="shared" si="8"/>
        <v>336</v>
      </c>
      <c r="B345" s="278"/>
      <c r="C345" s="278"/>
    </row>
    <row r="346" spans="1:3">
      <c r="A346" s="183">
        <f t="shared" si="8"/>
        <v>337</v>
      </c>
      <c r="B346" s="278"/>
      <c r="C346" s="278"/>
    </row>
    <row r="347" spans="1:3">
      <c r="A347" s="183">
        <f t="shared" si="8"/>
        <v>338</v>
      </c>
      <c r="B347" s="278"/>
      <c r="C347" s="278"/>
    </row>
    <row r="348" spans="1:3">
      <c r="A348" s="183">
        <f t="shared" si="8"/>
        <v>339</v>
      </c>
      <c r="B348" s="278"/>
      <c r="C348" s="278"/>
    </row>
    <row r="349" spans="1:3">
      <c r="A349" s="183">
        <f t="shared" si="8"/>
        <v>340</v>
      </c>
      <c r="B349" s="278"/>
      <c r="C349" s="278"/>
    </row>
    <row r="350" spans="1:3">
      <c r="A350" s="183">
        <f t="shared" si="8"/>
        <v>341</v>
      </c>
      <c r="B350" s="278"/>
      <c r="C350" s="278"/>
    </row>
    <row r="351" spans="1:3">
      <c r="A351" s="183">
        <f t="shared" si="8"/>
        <v>342</v>
      </c>
      <c r="B351" s="278"/>
      <c r="C351" s="278"/>
    </row>
    <row r="352" spans="1:3">
      <c r="A352" s="183">
        <f t="shared" si="8"/>
        <v>343</v>
      </c>
      <c r="B352" s="278"/>
      <c r="C352" s="278"/>
    </row>
    <row r="353" spans="1:3">
      <c r="A353" s="183">
        <f t="shared" si="8"/>
        <v>344</v>
      </c>
      <c r="B353" s="278"/>
      <c r="C353" s="278"/>
    </row>
    <row r="354" spans="1:3">
      <c r="A354" s="183">
        <f t="shared" si="8"/>
        <v>345</v>
      </c>
      <c r="B354" s="278"/>
      <c r="C354" s="278"/>
    </row>
    <row r="355" spans="1:3">
      <c r="A355" s="183">
        <f t="shared" si="8"/>
        <v>346</v>
      </c>
      <c r="B355" s="278"/>
      <c r="C355" s="278"/>
    </row>
    <row r="356" spans="1:3">
      <c r="A356" s="183">
        <f t="shared" si="8"/>
        <v>347</v>
      </c>
      <c r="B356" s="278"/>
      <c r="C356" s="278"/>
    </row>
    <row r="357" spans="1:3">
      <c r="A357" s="183">
        <f t="shared" si="8"/>
        <v>348</v>
      </c>
      <c r="B357" s="278"/>
      <c r="C357" s="278"/>
    </row>
    <row r="358" spans="1:3">
      <c r="A358" s="183">
        <f t="shared" si="8"/>
        <v>349</v>
      </c>
      <c r="B358" s="278"/>
      <c r="C358" s="278"/>
    </row>
    <row r="359" spans="1:3">
      <c r="A359" s="183">
        <f t="shared" si="8"/>
        <v>350</v>
      </c>
      <c r="B359" s="278"/>
      <c r="C359" s="278"/>
    </row>
    <row r="360" spans="1:3">
      <c r="A360" s="183">
        <f t="shared" si="8"/>
        <v>351</v>
      </c>
      <c r="B360" s="278"/>
      <c r="C360" s="278"/>
    </row>
    <row r="361" spans="1:3">
      <c r="A361" s="183">
        <f t="shared" si="8"/>
        <v>352</v>
      </c>
      <c r="B361" s="278"/>
      <c r="C361" s="278"/>
    </row>
    <row r="362" spans="1:3">
      <c r="A362" s="183">
        <f t="shared" si="8"/>
        <v>353</v>
      </c>
      <c r="B362" s="278"/>
      <c r="C362" s="278"/>
    </row>
    <row r="363" spans="1:3">
      <c r="A363" s="183">
        <f t="shared" si="8"/>
        <v>354</v>
      </c>
      <c r="B363" s="278"/>
      <c r="C363" s="278"/>
    </row>
    <row r="364" spans="1:3">
      <c r="A364" s="183">
        <f t="shared" si="8"/>
        <v>355</v>
      </c>
      <c r="B364" s="278"/>
      <c r="C364" s="278"/>
    </row>
    <row r="365" spans="1:3">
      <c r="A365" s="183">
        <f t="shared" si="8"/>
        <v>356</v>
      </c>
      <c r="B365" s="278"/>
      <c r="C365" s="278"/>
    </row>
    <row r="366" spans="1:3">
      <c r="A366" s="183">
        <f t="shared" si="8"/>
        <v>357</v>
      </c>
      <c r="B366" s="278"/>
      <c r="C366" s="278"/>
    </row>
    <row r="367" spans="1:3">
      <c r="A367" s="183">
        <f t="shared" si="8"/>
        <v>358</v>
      </c>
      <c r="B367" s="278"/>
      <c r="C367" s="278"/>
    </row>
    <row r="368" spans="1:3">
      <c r="A368" s="183">
        <f t="shared" si="8"/>
        <v>359</v>
      </c>
      <c r="B368" s="278"/>
      <c r="C368" s="278"/>
    </row>
    <row r="369" spans="1:3">
      <c r="A369" s="183">
        <f t="shared" si="8"/>
        <v>360</v>
      </c>
      <c r="B369" s="278"/>
      <c r="C369" s="278"/>
    </row>
    <row r="370" spans="1:3">
      <c r="A370" s="183">
        <f t="shared" si="8"/>
        <v>361</v>
      </c>
      <c r="B370" s="278"/>
      <c r="C370" s="278"/>
    </row>
    <row r="371" spans="1:3">
      <c r="A371" s="183">
        <f t="shared" si="8"/>
        <v>362</v>
      </c>
      <c r="B371" s="278"/>
      <c r="C371" s="278"/>
    </row>
    <row r="372" spans="1:3">
      <c r="A372" s="183">
        <f t="shared" si="8"/>
        <v>363</v>
      </c>
      <c r="B372" s="278"/>
      <c r="C372" s="278"/>
    </row>
    <row r="373" spans="1:3">
      <c r="A373" s="183">
        <f t="shared" si="8"/>
        <v>364</v>
      </c>
      <c r="B373" s="278"/>
      <c r="C373" s="278"/>
    </row>
    <row r="374" spans="1:3">
      <c r="A374" s="183">
        <f t="shared" si="8"/>
        <v>365</v>
      </c>
      <c r="B374" s="278"/>
      <c r="C374" s="278"/>
    </row>
    <row r="375" spans="1:3">
      <c r="A375" s="183">
        <f t="shared" si="8"/>
        <v>366</v>
      </c>
      <c r="B375" s="278"/>
      <c r="C375" s="278"/>
    </row>
    <row r="376" spans="1:3">
      <c r="A376" s="183">
        <f t="shared" si="8"/>
        <v>367</v>
      </c>
      <c r="B376" s="278"/>
      <c r="C376" s="278"/>
    </row>
    <row r="377" spans="1:3">
      <c r="A377" s="183">
        <f t="shared" si="8"/>
        <v>368</v>
      </c>
      <c r="B377" s="278"/>
      <c r="C377" s="278"/>
    </row>
    <row r="378" spans="1:3">
      <c r="A378" s="183">
        <f t="shared" si="8"/>
        <v>369</v>
      </c>
      <c r="B378" s="278"/>
      <c r="C378" s="278"/>
    </row>
    <row r="379" spans="1:3">
      <c r="A379" s="183">
        <f t="shared" si="8"/>
        <v>370</v>
      </c>
      <c r="B379" s="278"/>
      <c r="C379" s="278"/>
    </row>
    <row r="380" spans="1:3">
      <c r="A380" s="183">
        <f t="shared" si="8"/>
        <v>371</v>
      </c>
      <c r="B380" s="278"/>
      <c r="C380" s="278"/>
    </row>
    <row r="381" spans="1:3">
      <c r="A381" s="183">
        <f t="shared" si="8"/>
        <v>372</v>
      </c>
      <c r="B381" s="278"/>
      <c r="C381" s="278"/>
    </row>
    <row r="382" spans="1:3">
      <c r="A382" s="183">
        <f t="shared" si="8"/>
        <v>373</v>
      </c>
      <c r="B382" s="278"/>
      <c r="C382" s="278"/>
    </row>
    <row r="383" spans="1:3">
      <c r="A383" s="183">
        <f t="shared" si="8"/>
        <v>374</v>
      </c>
      <c r="B383" s="278"/>
      <c r="C383" s="278"/>
    </row>
    <row r="384" spans="1:3">
      <c r="A384" s="183">
        <f t="shared" si="8"/>
        <v>375</v>
      </c>
      <c r="B384" s="278"/>
      <c r="C384" s="278"/>
    </row>
    <row r="385" spans="1:3">
      <c r="A385" s="183">
        <f t="shared" si="8"/>
        <v>376</v>
      </c>
      <c r="B385" s="278"/>
      <c r="C385" s="278"/>
    </row>
    <row r="386" spans="1:3">
      <c r="A386" s="183">
        <f t="shared" si="8"/>
        <v>377</v>
      </c>
      <c r="B386" s="278"/>
      <c r="C386" s="278"/>
    </row>
    <row r="387" spans="1:3">
      <c r="A387" s="183">
        <f t="shared" si="8"/>
        <v>378</v>
      </c>
      <c r="B387" s="278"/>
      <c r="C387" s="278"/>
    </row>
    <row r="388" spans="1:3">
      <c r="A388" s="183">
        <f t="shared" si="8"/>
        <v>379</v>
      </c>
      <c r="B388" s="278"/>
      <c r="C388" s="278"/>
    </row>
    <row r="389" spans="1:3">
      <c r="A389" s="183">
        <f t="shared" si="8"/>
        <v>380</v>
      </c>
      <c r="B389" s="278"/>
      <c r="C389" s="278"/>
    </row>
    <row r="390" spans="1:3">
      <c r="A390" s="183">
        <f t="shared" si="8"/>
        <v>381</v>
      </c>
      <c r="B390" s="278"/>
      <c r="C390" s="278"/>
    </row>
    <row r="391" spans="1:3">
      <c r="A391" s="183">
        <f t="shared" si="8"/>
        <v>382</v>
      </c>
      <c r="B391" s="278"/>
      <c r="C391" s="278"/>
    </row>
    <row r="392" spans="1:3">
      <c r="A392" s="183">
        <f t="shared" si="8"/>
        <v>383</v>
      </c>
      <c r="B392" s="278"/>
      <c r="C392" s="278"/>
    </row>
    <row r="393" spans="1:3">
      <c r="A393" s="183">
        <f t="shared" si="8"/>
        <v>384</v>
      </c>
      <c r="B393" s="278"/>
      <c r="C393" s="278"/>
    </row>
    <row r="394" spans="1:3">
      <c r="A394" s="183">
        <f t="shared" si="8"/>
        <v>385</v>
      </c>
      <c r="B394" s="278"/>
      <c r="C394" s="278"/>
    </row>
    <row r="395" spans="1:3">
      <c r="A395" s="183">
        <f t="shared" ref="A395:A432" si="9">A394+1</f>
        <v>386</v>
      </c>
      <c r="B395" s="278"/>
      <c r="C395" s="278"/>
    </row>
    <row r="396" spans="1:3">
      <c r="A396" s="183">
        <f t="shared" si="9"/>
        <v>387</v>
      </c>
      <c r="B396" s="278"/>
      <c r="C396" s="278"/>
    </row>
    <row r="397" spans="1:3">
      <c r="A397" s="183">
        <f t="shared" si="9"/>
        <v>388</v>
      </c>
      <c r="B397" s="278"/>
      <c r="C397" s="278"/>
    </row>
    <row r="398" spans="1:3">
      <c r="A398" s="183">
        <f t="shared" si="9"/>
        <v>389</v>
      </c>
      <c r="B398" s="278"/>
      <c r="C398" s="278"/>
    </row>
    <row r="399" spans="1:3">
      <c r="A399" s="183">
        <f t="shared" si="9"/>
        <v>390</v>
      </c>
      <c r="B399" s="278"/>
      <c r="C399" s="278"/>
    </row>
    <row r="400" spans="1:3">
      <c r="A400" s="183">
        <f t="shared" si="9"/>
        <v>391</v>
      </c>
      <c r="B400" s="278"/>
      <c r="C400" s="278"/>
    </row>
    <row r="401" spans="1:3">
      <c r="A401" s="183">
        <f t="shared" si="9"/>
        <v>392</v>
      </c>
      <c r="B401" s="278"/>
      <c r="C401" s="278"/>
    </row>
    <row r="402" spans="1:3">
      <c r="A402" s="183">
        <f t="shared" si="9"/>
        <v>393</v>
      </c>
      <c r="B402" s="278"/>
      <c r="C402" s="278"/>
    </row>
    <row r="403" spans="1:3">
      <c r="A403" s="183">
        <f t="shared" si="9"/>
        <v>394</v>
      </c>
      <c r="B403" s="278"/>
      <c r="C403" s="278"/>
    </row>
    <row r="404" spans="1:3">
      <c r="A404" s="183">
        <f t="shared" si="9"/>
        <v>395</v>
      </c>
      <c r="B404" s="278"/>
      <c r="C404" s="278"/>
    </row>
    <row r="405" spans="1:3">
      <c r="A405" s="183">
        <f t="shared" si="9"/>
        <v>396</v>
      </c>
      <c r="B405" s="278"/>
      <c r="C405" s="278"/>
    </row>
    <row r="406" spans="1:3">
      <c r="A406" s="183">
        <f t="shared" si="9"/>
        <v>397</v>
      </c>
      <c r="B406" s="278"/>
      <c r="C406" s="278"/>
    </row>
    <row r="407" spans="1:3">
      <c r="A407" s="183">
        <f t="shared" si="9"/>
        <v>398</v>
      </c>
      <c r="B407" s="278"/>
      <c r="C407" s="278"/>
    </row>
    <row r="408" spans="1:3">
      <c r="A408" s="183">
        <f t="shared" si="9"/>
        <v>399</v>
      </c>
      <c r="B408" s="278"/>
      <c r="C408" s="278"/>
    </row>
    <row r="409" spans="1:3">
      <c r="A409" s="183">
        <f t="shared" si="9"/>
        <v>400</v>
      </c>
      <c r="B409" s="278"/>
      <c r="C409" s="278"/>
    </row>
    <row r="410" spans="1:3">
      <c r="A410" s="183">
        <f t="shared" si="9"/>
        <v>401</v>
      </c>
      <c r="B410" s="278"/>
      <c r="C410" s="278"/>
    </row>
    <row r="411" spans="1:3">
      <c r="A411" s="183">
        <f t="shared" si="9"/>
        <v>402</v>
      </c>
      <c r="B411" s="278"/>
      <c r="C411" s="278"/>
    </row>
    <row r="412" spans="1:3">
      <c r="A412" s="183">
        <f t="shared" si="9"/>
        <v>403</v>
      </c>
      <c r="B412" s="278"/>
      <c r="C412" s="278"/>
    </row>
    <row r="413" spans="1:3">
      <c r="A413" s="183">
        <f t="shared" si="9"/>
        <v>404</v>
      </c>
      <c r="B413" s="278"/>
      <c r="C413" s="278"/>
    </row>
    <row r="414" spans="1:3">
      <c r="A414" s="183">
        <f t="shared" si="9"/>
        <v>405</v>
      </c>
      <c r="B414" s="278"/>
      <c r="C414" s="278"/>
    </row>
    <row r="415" spans="1:3">
      <c r="A415" s="183">
        <f t="shared" si="9"/>
        <v>406</v>
      </c>
      <c r="B415" s="278"/>
      <c r="C415" s="278"/>
    </row>
    <row r="416" spans="1:3">
      <c r="A416" s="183">
        <f t="shared" si="9"/>
        <v>407</v>
      </c>
      <c r="B416" s="278"/>
      <c r="C416" s="278"/>
    </row>
    <row r="417" spans="1:3">
      <c r="A417" s="183">
        <f t="shared" si="9"/>
        <v>408</v>
      </c>
      <c r="B417" s="278"/>
      <c r="C417" s="278"/>
    </row>
    <row r="418" spans="1:3">
      <c r="A418" s="183">
        <f t="shared" si="9"/>
        <v>409</v>
      </c>
      <c r="B418" s="278"/>
      <c r="C418" s="278"/>
    </row>
    <row r="419" spans="1:3">
      <c r="A419" s="183">
        <f t="shared" si="9"/>
        <v>410</v>
      </c>
      <c r="B419" s="278"/>
      <c r="C419" s="278"/>
    </row>
    <row r="420" spans="1:3">
      <c r="A420" s="183">
        <f t="shared" si="9"/>
        <v>411</v>
      </c>
      <c r="B420" s="278"/>
      <c r="C420" s="278"/>
    </row>
    <row r="421" spans="1:3">
      <c r="A421" s="183">
        <f t="shared" si="9"/>
        <v>412</v>
      </c>
      <c r="B421" s="278"/>
      <c r="C421" s="278"/>
    </row>
    <row r="422" spans="1:3">
      <c r="A422" s="183">
        <f t="shared" si="9"/>
        <v>413</v>
      </c>
      <c r="B422" s="278"/>
      <c r="C422" s="278"/>
    </row>
    <row r="423" spans="1:3">
      <c r="A423" s="183">
        <f t="shared" si="9"/>
        <v>414</v>
      </c>
      <c r="B423" s="278"/>
      <c r="C423" s="278"/>
    </row>
    <row r="424" spans="1:3">
      <c r="A424" s="183">
        <f t="shared" si="9"/>
        <v>415</v>
      </c>
      <c r="B424" s="278"/>
      <c r="C424" s="278"/>
    </row>
    <row r="425" spans="1:3">
      <c r="A425" s="183">
        <f t="shared" si="9"/>
        <v>416</v>
      </c>
      <c r="B425" s="278"/>
      <c r="C425" s="278"/>
    </row>
    <row r="426" spans="1:3">
      <c r="A426" s="183">
        <f t="shared" si="9"/>
        <v>417</v>
      </c>
      <c r="B426" s="278"/>
      <c r="C426" s="278"/>
    </row>
    <row r="427" spans="1:3">
      <c r="A427" s="183">
        <f t="shared" si="9"/>
        <v>418</v>
      </c>
      <c r="B427" s="278"/>
      <c r="C427" s="278"/>
    </row>
    <row r="428" spans="1:3">
      <c r="A428" s="183">
        <f t="shared" si="9"/>
        <v>419</v>
      </c>
      <c r="B428" s="278"/>
      <c r="C428" s="278"/>
    </row>
    <row r="429" spans="1:3">
      <c r="A429" s="183">
        <f t="shared" si="9"/>
        <v>420</v>
      </c>
      <c r="B429" s="278"/>
      <c r="C429" s="278"/>
    </row>
    <row r="430" spans="1:3">
      <c r="A430" s="183">
        <f t="shared" si="9"/>
        <v>421</v>
      </c>
      <c r="B430" s="278"/>
      <c r="C430" s="278"/>
    </row>
    <row r="431" spans="1:3">
      <c r="A431" s="183">
        <f t="shared" si="9"/>
        <v>422</v>
      </c>
      <c r="B431" s="278"/>
      <c r="C431" s="278"/>
    </row>
    <row r="432" spans="1:3">
      <c r="A432" s="183">
        <f t="shared" si="9"/>
        <v>423</v>
      </c>
      <c r="B432" s="278"/>
      <c r="C432" s="278"/>
    </row>
  </sheetData>
  <sheetProtection password="CC08" sheet="1" scenarios="1"/>
  <protectedRanges>
    <protectedRange sqref="B1:D3 G3 B7:E7 B10:C432" name="Range1"/>
  </protectedRanges>
  <mergeCells count="9">
    <mergeCell ref="E48:F48"/>
    <mergeCell ref="I1:P1"/>
    <mergeCell ref="I2:P2"/>
    <mergeCell ref="I3:P3"/>
    <mergeCell ref="B5:C5"/>
    <mergeCell ref="B1:D1"/>
    <mergeCell ref="B2:D2"/>
    <mergeCell ref="B3:D3"/>
    <mergeCell ref="D5:E5"/>
  </mergeCells>
  <phoneticPr fontId="0" type="noConversion"/>
  <conditionalFormatting sqref="D7">
    <cfRule type="expression" dxfId="10" priority="1" stopIfTrue="1">
      <formula>$G$47=2</formula>
    </cfRule>
  </conditionalFormatting>
  <conditionalFormatting sqref="E7">
    <cfRule type="expression" dxfId="9" priority="2" stopIfTrue="1">
      <formula>$G$47=1</formula>
    </cfRule>
  </conditionalFormatting>
  <printOptions horizontalCentered="1"/>
  <pageMargins left="0.75" right="0.75" top="1" bottom="1" header="0.5" footer="0.5"/>
  <pageSetup orientation="portrait" r:id="rId1"/>
  <headerFooter alignWithMargins="0">
    <oddHeader>&amp;C&amp;"Arial,Bold"&amp;12Capability Analysis
True Position Plot</oddHeader>
    <oddFooter>&amp;Cpage &amp;P of &amp;N</oddFooter>
  </headerFooter>
  <drawing r:id="rId2"/>
  <legacyDrawing r:id="rId3"/>
  <controls>
    <control shapeId="70663" r:id="rId4" name="MainMenu"/>
  </controls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5">
    <pageSetUpPr fitToPage="1"/>
  </sheetPr>
  <dimension ref="B1:M19"/>
  <sheetViews>
    <sheetView showGridLines="0" workbookViewId="0"/>
  </sheetViews>
  <sheetFormatPr defaultRowHeight="12.75"/>
  <cols>
    <col min="1" max="1" width="4.5703125" customWidth="1"/>
    <col min="2" max="2" width="9.7109375" customWidth="1"/>
    <col min="3" max="3" width="11" customWidth="1"/>
    <col min="4" max="4" width="13" customWidth="1"/>
    <col min="5" max="5" width="12.28515625" customWidth="1"/>
    <col min="6" max="6" width="11.28515625" bestFit="1" customWidth="1"/>
    <col min="7" max="7" width="0.7109375" customWidth="1"/>
    <col min="8" max="8" width="15.7109375" customWidth="1"/>
    <col min="9" max="9" width="12.7109375" style="80" customWidth="1"/>
    <col min="10" max="10" width="11.28515625" style="256" customWidth="1"/>
    <col min="11" max="11" width="14.85546875" customWidth="1"/>
    <col min="12" max="12" width="11.7109375" customWidth="1"/>
  </cols>
  <sheetData>
    <row r="1" spans="2:13" ht="19.899999999999999" customHeight="1">
      <c r="B1" s="155" t="s">
        <v>85</v>
      </c>
      <c r="C1" s="155"/>
      <c r="D1" s="155"/>
    </row>
    <row r="2" spans="2:13" ht="18" customHeight="1">
      <c r="B2" s="892" t="s">
        <v>86</v>
      </c>
      <c r="C2" s="892"/>
      <c r="D2" s="892"/>
    </row>
    <row r="3" spans="2:13" ht="13.9" customHeight="1"/>
    <row r="4" spans="2:13" ht="25.15" customHeight="1">
      <c r="D4" s="1625" t="s">
        <v>87</v>
      </c>
      <c r="E4" s="1626"/>
    </row>
    <row r="5" spans="2:13" ht="42.6" customHeight="1" thickBot="1">
      <c r="B5" s="893"/>
      <c r="C5" s="894"/>
      <c r="D5" s="895" t="s">
        <v>88</v>
      </c>
      <c r="E5" s="896" t="s">
        <v>89</v>
      </c>
      <c r="F5" s="897" t="s">
        <v>434</v>
      </c>
      <c r="G5" s="898"/>
      <c r="H5" s="899" t="s">
        <v>90</v>
      </c>
      <c r="J5" s="899" t="s">
        <v>91</v>
      </c>
      <c r="K5" s="899" t="s">
        <v>92</v>
      </c>
      <c r="L5" s="900" t="s">
        <v>93</v>
      </c>
      <c r="M5" s="900" t="s">
        <v>94</v>
      </c>
    </row>
    <row r="6" spans="2:13" ht="30" customHeight="1" thickTop="1">
      <c r="B6" s="1629" t="s">
        <v>95</v>
      </c>
      <c r="C6" s="1632" t="s">
        <v>88</v>
      </c>
      <c r="D6" s="966"/>
      <c r="E6" s="967"/>
      <c r="F6" s="1636">
        <f>D6+E6</f>
        <v>0</v>
      </c>
      <c r="G6" s="1638"/>
      <c r="H6" s="1640" t="s">
        <v>96</v>
      </c>
      <c r="I6" s="1642" t="e">
        <f>D6/F6</f>
        <v>#DIV/0!</v>
      </c>
      <c r="J6" s="1644">
        <v>0.9</v>
      </c>
      <c r="K6" s="1646">
        <f>BETADIST(1-J6,E6+1,D6+1)</f>
        <v>9.9999999999766415E-2</v>
      </c>
      <c r="L6" s="1648">
        <v>0.95</v>
      </c>
      <c r="M6" s="1650" t="str">
        <f>IF(K6&gt;=L6,"PASS","FAIL")</f>
        <v>FAIL</v>
      </c>
    </row>
    <row r="7" spans="2:13" ht="16.149999999999999" customHeight="1">
      <c r="B7" s="1630"/>
      <c r="C7" s="1633"/>
      <c r="D7" s="901" t="s">
        <v>97</v>
      </c>
      <c r="E7" s="902" t="s">
        <v>98</v>
      </c>
      <c r="F7" s="1637"/>
      <c r="G7" s="1639"/>
      <c r="H7" s="1641"/>
      <c r="I7" s="1643"/>
      <c r="J7" s="1645"/>
      <c r="K7" s="1647"/>
      <c r="L7" s="1649"/>
      <c r="M7" s="1651"/>
    </row>
    <row r="8" spans="2:13" ht="27" customHeight="1">
      <c r="B8" s="1630"/>
      <c r="C8" s="1627" t="s">
        <v>89</v>
      </c>
      <c r="D8" s="968"/>
      <c r="E8" s="969"/>
      <c r="F8" s="1652">
        <f>D8+E8</f>
        <v>0</v>
      </c>
      <c r="G8" s="1654"/>
      <c r="H8" s="1655" t="s">
        <v>99</v>
      </c>
      <c r="I8" s="1656" t="e">
        <f>E8/F8</f>
        <v>#DIV/0!</v>
      </c>
      <c r="J8" s="1657">
        <v>0.9</v>
      </c>
      <c r="K8" s="1658">
        <f>BETADIST(1-J8,D8+1,E8+1)</f>
        <v>9.9999999999766415E-2</v>
      </c>
      <c r="L8" s="1634">
        <v>0.95</v>
      </c>
      <c r="M8" s="1635" t="str">
        <f>IF(K8&gt;=L8,"PASS","FAIL")</f>
        <v>FAIL</v>
      </c>
    </row>
    <row r="9" spans="2:13" ht="15.6" customHeight="1" thickBot="1">
      <c r="B9" s="1631"/>
      <c r="C9" s="1628"/>
      <c r="D9" s="905" t="s">
        <v>100</v>
      </c>
      <c r="E9" s="906" t="s">
        <v>101</v>
      </c>
      <c r="F9" s="1653"/>
      <c r="G9" s="1654"/>
      <c r="H9" s="1655"/>
      <c r="I9" s="1656"/>
      <c r="J9" s="1657"/>
      <c r="K9" s="1658"/>
      <c r="L9" s="1634"/>
      <c r="M9" s="1635"/>
    </row>
    <row r="10" spans="2:13" ht="18" customHeight="1" thickTop="1">
      <c r="C10" s="907" t="s">
        <v>434</v>
      </c>
      <c r="D10" s="908">
        <f>D6+D8</f>
        <v>0</v>
      </c>
      <c r="E10" s="909">
        <f>E6+E8</f>
        <v>0</v>
      </c>
      <c r="F10" s="910">
        <f>SUM(D10:E10)</f>
        <v>0</v>
      </c>
      <c r="G10" s="911"/>
    </row>
    <row r="11" spans="2:13" ht="3" customHeight="1">
      <c r="D11" s="95"/>
      <c r="E11" s="95"/>
      <c r="F11" s="95"/>
    </row>
    <row r="12" spans="2:13" ht="26.45" customHeight="1">
      <c r="C12" s="796" t="s">
        <v>90</v>
      </c>
      <c r="D12" s="881" t="s">
        <v>102</v>
      </c>
      <c r="E12" s="881" t="s">
        <v>103</v>
      </c>
      <c r="F12" s="437" t="s">
        <v>104</v>
      </c>
    </row>
    <row r="13" spans="2:13" ht="28.15" customHeight="1">
      <c r="C13" s="912"/>
      <c r="D13" s="903" t="e">
        <f>D6/D10</f>
        <v>#DIV/0!</v>
      </c>
      <c r="E13" s="903" t="e">
        <f>E8/E10</f>
        <v>#DIV/0!</v>
      </c>
      <c r="F13" s="903" t="e">
        <f>(D6+D8)/(D6+E6+E8+D8)</f>
        <v>#DIV/0!</v>
      </c>
    </row>
    <row r="14" spans="2:13" s="893" customFormat="1" ht="30.6" customHeight="1">
      <c r="B14" s="1623" t="s">
        <v>105</v>
      </c>
      <c r="C14" s="1624"/>
      <c r="D14" s="971">
        <v>0.99</v>
      </c>
      <c r="E14" s="971">
        <v>0.99</v>
      </c>
      <c r="I14" s="913"/>
      <c r="J14" s="297"/>
    </row>
    <row r="15" spans="2:13" hidden="1">
      <c r="D15" s="109"/>
      <c r="E15" s="109"/>
    </row>
    <row r="16" spans="2:13" hidden="1">
      <c r="B16" s="914"/>
      <c r="C16" s="915" t="s">
        <v>106</v>
      </c>
      <c r="D16" s="109" t="e">
        <f>BINOMDIST(D6-1,D10,D14,TRUE)</f>
        <v>#NUM!</v>
      </c>
      <c r="E16" s="109" t="e">
        <f>BINOMDIST(E8-1,E10,E14,TRUE)</f>
        <v>#NUM!</v>
      </c>
    </row>
    <row r="17" spans="2:10" s="893" customFormat="1" ht="31.9" customHeight="1">
      <c r="B17" s="1623" t="s">
        <v>92</v>
      </c>
      <c r="C17" s="1624"/>
      <c r="D17" s="904">
        <f>BETADIST(1-D14,D8+1,D6+1)</f>
        <v>9.9999999999766491E-3</v>
      </c>
      <c r="E17" s="904">
        <f>BETADIST(1-E14,E6+1,E8+1)</f>
        <v>9.9999999999766491E-3</v>
      </c>
      <c r="H17"/>
      <c r="I17"/>
      <c r="J17" s="297"/>
    </row>
    <row r="18" spans="2:10" ht="25.15" customHeight="1">
      <c r="B18" s="916"/>
      <c r="C18" s="917" t="s">
        <v>93</v>
      </c>
      <c r="D18" s="970">
        <v>0.95</v>
      </c>
      <c r="E18" s="970">
        <v>0.95</v>
      </c>
      <c r="I18"/>
    </row>
    <row r="19" spans="2:10" ht="26.45" customHeight="1">
      <c r="B19" s="916"/>
      <c r="C19" s="917" t="s">
        <v>94</v>
      </c>
      <c r="D19" s="918" t="str">
        <f>IF(D17&gt;=D18,"PASS","FAIL")</f>
        <v>FAIL</v>
      </c>
      <c r="E19" s="918" t="str">
        <f>IF(E17&gt;=E18,"PASS","FAIL")</f>
        <v>FAIL</v>
      </c>
      <c r="I19"/>
    </row>
  </sheetData>
  <sheetProtection password="CC08" sheet="1" objects="1" scenarios="1"/>
  <protectedRanges>
    <protectedRange sqref="D6 E6 D8 E8 D14 E14 D18 E18 J6 J8 L6 L8" name="Range1"/>
  </protectedRanges>
  <mergeCells count="22">
    <mergeCell ref="L8:L9"/>
    <mergeCell ref="M8:M9"/>
    <mergeCell ref="F6:F7"/>
    <mergeCell ref="G6:G7"/>
    <mergeCell ref="H6:H7"/>
    <mergeCell ref="I6:I7"/>
    <mergeCell ref="J6:J7"/>
    <mergeCell ref="K6:K7"/>
    <mergeCell ref="L6:L7"/>
    <mergeCell ref="M6:M7"/>
    <mergeCell ref="F8:F9"/>
    <mergeCell ref="G8:G9"/>
    <mergeCell ref="H8:H9"/>
    <mergeCell ref="I8:I9"/>
    <mergeCell ref="J8:J9"/>
    <mergeCell ref="K8:K9"/>
    <mergeCell ref="B14:C14"/>
    <mergeCell ref="B17:C17"/>
    <mergeCell ref="D4:E4"/>
    <mergeCell ref="C8:C9"/>
    <mergeCell ref="B6:B9"/>
    <mergeCell ref="C6:C7"/>
  </mergeCells>
  <phoneticPr fontId="5" type="noConversion"/>
  <pageMargins left="0.75" right="0.75" top="1" bottom="1" header="0.5" footer="0.5"/>
  <pageSetup scale="93" orientation="landscape" r:id="rId1"/>
  <headerFooter alignWithMargins="0"/>
  <legacyDrawing r:id="rId2"/>
  <controls>
    <control shapeId="89089" r:id="rId3" name="MainMenu"/>
  </controls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58"/>
  <dimension ref="A1:M82"/>
  <sheetViews>
    <sheetView workbookViewId="0">
      <selection activeCell="I11" sqref="I11"/>
    </sheetView>
  </sheetViews>
  <sheetFormatPr defaultRowHeight="12.75"/>
  <cols>
    <col min="1" max="1" width="9.5703125" customWidth="1"/>
    <col min="2" max="2" width="11.42578125" bestFit="1" customWidth="1"/>
    <col min="3" max="3" width="9.5703125" bestFit="1" customWidth="1"/>
    <col min="4" max="4" width="10.28515625" customWidth="1"/>
  </cols>
  <sheetData>
    <row r="1" spans="1:13">
      <c r="A1" s="551" t="s">
        <v>1373</v>
      </c>
    </row>
    <row r="3" spans="1:13">
      <c r="B3" s="99" t="s">
        <v>1374</v>
      </c>
      <c r="C3" s="1146">
        <v>0.05</v>
      </c>
      <c r="D3" s="1147"/>
    </row>
    <row r="4" spans="1:13">
      <c r="B4" s="99" t="s">
        <v>1375</v>
      </c>
      <c r="C4" s="930" t="s">
        <v>1376</v>
      </c>
      <c r="D4" s="1147"/>
      <c r="M4" s="94"/>
    </row>
    <row r="5" spans="1:13">
      <c r="B5" s="99" t="s">
        <v>1377</v>
      </c>
      <c r="C5" s="930"/>
      <c r="M5" s="94"/>
    </row>
    <row r="6" spans="1:13" s="94" customFormat="1">
      <c r="B6" s="1148"/>
      <c r="C6" s="96"/>
    </row>
    <row r="7" spans="1:13">
      <c r="M7" s="94"/>
    </row>
    <row r="8" spans="1:13">
      <c r="C8" s="1488" t="s">
        <v>1378</v>
      </c>
      <c r="D8" s="1488"/>
      <c r="M8" s="94"/>
    </row>
    <row r="9" spans="1:13" ht="13.5" customHeight="1" thickBot="1">
      <c r="C9" s="1149" t="s">
        <v>148</v>
      </c>
      <c r="D9" s="93" t="s">
        <v>149</v>
      </c>
      <c r="M9" s="94"/>
    </row>
    <row r="10" spans="1:13" ht="34.5" customHeight="1" thickBot="1">
      <c r="A10" s="1659" t="s">
        <v>1379</v>
      </c>
      <c r="B10" s="1150" t="s">
        <v>148</v>
      </c>
      <c r="C10" s="1151"/>
      <c r="D10" s="1151"/>
    </row>
    <row r="11" spans="1:13" ht="34.5" customHeight="1">
      <c r="A11" s="1659"/>
      <c r="B11" s="1152" t="s">
        <v>149</v>
      </c>
      <c r="C11" s="1151"/>
      <c r="D11" s="1151"/>
    </row>
    <row r="14" spans="1:13">
      <c r="C14" s="1153" t="str">
        <f>IF(C4="","",IF(OR(C5=0,C5=""),(IF(AND(SUM(C10:D11)&lt;=20,C4="One-Tailed"),"One-Tailed p",IF(AND(SUM(C10:D11)&lt;=20,C4="Two-Tailed"),"Two-Tailed p",IF(AND(SUM(C10:D11)&gt;20,C4="One-Tailed"),("One-Tailed p"),"Two-Tailed p")))),""))</f>
        <v>Two-Tailed p</v>
      </c>
      <c r="D14" s="1154">
        <f>IF(C4="","",IF(OR(C5=0,C5=""),(IF(AND(SUM(C10:D11)&lt;=20,C4="One-Tailed"),(1-BINOMDIST(MAX(C11,D10),SUM(D10,C11),0.5,TRUE)),IF(AND(SUM(C10:D11)&lt;=20,C4="Two-Tailed"),(2*(1-BINOMDIST(MAX(C11,D10),SUM(D10,C11),0.5,TRUE))),IF(AND(SUM(C10:D11)&gt;20,C4="One-Tailed"),(CHIDIST((((ABS(D10-C11)-1)^2)/(D10+C11)),1)/2),CHIDIST((((ABS(D10-C11)-1)^2)/(D10+C11)),1))))),""))</f>
        <v>0</v>
      </c>
      <c r="E14" s="184" t="str">
        <f>IF(C4="","",IF(OR(C5=0,C5=""),(IF(AND(SUM(C10:D11)&lt;=20,C4="One-Tailed"),"Exact Binomial Test",IF(AND(SUM(C10:D11)&lt;=20,C4="Two-Tailed"),"Exact Binomial Test",IF(AND(SUM(C10:D11)&gt;20,C4="One-Tailed"),("Chi Square Test"),"Chi Square Test")))),""))</f>
        <v>Exact Binomial Test</v>
      </c>
    </row>
    <row r="16" spans="1:13">
      <c r="C16" s="1155" t="str">
        <f>IF(C4="","",IF(OR(C5=0,C5=""),(IF(D14&gt;C3,"No statistically significant difference detected","The difference is statistically significant")),""))</f>
        <v>The difference is statistically significant</v>
      </c>
    </row>
    <row r="60" spans="1:4">
      <c r="C60" s="1488" t="s">
        <v>1378</v>
      </c>
      <c r="D60" s="1488"/>
    </row>
    <row r="61" spans="1:4" ht="13.5" thickBot="1">
      <c r="C61" s="1149" t="s">
        <v>148</v>
      </c>
      <c r="D61" s="93" t="s">
        <v>149</v>
      </c>
    </row>
    <row r="62" spans="1:4" ht="38.25" customHeight="1">
      <c r="A62" s="1659" t="s">
        <v>1379</v>
      </c>
      <c r="B62" s="1150" t="s">
        <v>148</v>
      </c>
      <c r="C62" s="1156" t="str">
        <f>IF(C10="","",C10/SUM(C10:D11))</f>
        <v/>
      </c>
      <c r="D62" s="1157" t="str">
        <f>IF(C10="","",D10/SUM(C10:D11))</f>
        <v/>
      </c>
    </row>
    <row r="63" spans="1:4" ht="38.25" customHeight="1" thickBot="1">
      <c r="A63" s="1659"/>
      <c r="B63" s="1152" t="s">
        <v>149</v>
      </c>
      <c r="C63" s="1158" t="str">
        <f>IF(C10="","",C11/SUM(C10:D11))</f>
        <v/>
      </c>
      <c r="D63" s="1159" t="str">
        <f>IF(C10="","",D11/SUM(C10:D11))</f>
        <v/>
      </c>
    </row>
    <row r="66" spans="1:4">
      <c r="A66" t="s">
        <v>1380</v>
      </c>
      <c r="B66" s="1160" t="str">
        <f>IF(C10="","",SUM(C10:C11)/SUM(C10:D11))</f>
        <v/>
      </c>
    </row>
    <row r="67" spans="1:4">
      <c r="A67" t="s">
        <v>1381</v>
      </c>
      <c r="B67" s="1160" t="str">
        <f>IF(C10="","",SUM(C10:D10)/SUM(C10:D11))</f>
        <v/>
      </c>
    </row>
    <row r="68" spans="1:4" ht="15.75">
      <c r="A68" t="s">
        <v>1382</v>
      </c>
      <c r="B68" s="1160" t="str">
        <f>IF(C10="","",SQRT((B66*(1-B66)+B67*(1-B67)-2*(C62*D63-D62*C63))/SUM(C10:D11)))</f>
        <v/>
      </c>
    </row>
    <row r="70" spans="1:4">
      <c r="A70" t="s">
        <v>1383</v>
      </c>
      <c r="C70" s="1160">
        <f>IF(C10="",0,ABS(B66-B67))</f>
        <v>0</v>
      </c>
    </row>
    <row r="71" spans="1:4">
      <c r="A71" t="s">
        <v>1384</v>
      </c>
      <c r="C71" s="1161">
        <f>IF(C10="",0,IF(ISERROR(VLOOKUP(C3,B78:C82,2,0)),"Invalid Alpha",C70+VLOOKUP(C3,B78:C82,2,0)*B68))</f>
        <v>0</v>
      </c>
    </row>
    <row r="72" spans="1:4">
      <c r="A72" t="s">
        <v>1385</v>
      </c>
      <c r="C72" s="1161">
        <f>IF(C10="",0,IF(ISERROR(VLOOKUP(C3,B78:C82,2,0)),"Invalid Alpha",C70-VLOOKUP(C3,B78:C82,2,0)*B68))</f>
        <v>0</v>
      </c>
    </row>
    <row r="73" spans="1:4">
      <c r="A73" t="s">
        <v>1386</v>
      </c>
      <c r="B73" s="1160">
        <f>IF(C5="", 0,C5)</f>
        <v>0</v>
      </c>
      <c r="C73" s="1160">
        <f>B73</f>
        <v>0</v>
      </c>
      <c r="D73" s="1160">
        <f>C73</f>
        <v>0</v>
      </c>
    </row>
    <row r="77" spans="1:4" ht="15">
      <c r="A77" s="1162" t="s">
        <v>484</v>
      </c>
      <c r="B77" s="1163" t="s">
        <v>1387</v>
      </c>
      <c r="C77" s="1162" t="s">
        <v>1388</v>
      </c>
    </row>
    <row r="78" spans="1:4">
      <c r="A78" s="1164">
        <v>0.8</v>
      </c>
      <c r="B78" s="1164">
        <v>0.2</v>
      </c>
      <c r="C78" s="1164">
        <v>1.282</v>
      </c>
    </row>
    <row r="79" spans="1:4">
      <c r="A79" s="1164">
        <v>0.9</v>
      </c>
      <c r="B79" s="1164">
        <v>0.1</v>
      </c>
      <c r="C79" s="1164">
        <v>1.645</v>
      </c>
    </row>
    <row r="80" spans="1:4">
      <c r="A80" s="1164">
        <v>0.95</v>
      </c>
      <c r="B80" s="1164">
        <v>0.05</v>
      </c>
      <c r="C80" s="1164">
        <v>1.96</v>
      </c>
    </row>
    <row r="81" spans="1:3">
      <c r="A81" s="1164">
        <v>0.99</v>
      </c>
      <c r="B81" s="1164">
        <v>0.01</v>
      </c>
      <c r="C81" s="1164">
        <v>2.5760000000000001</v>
      </c>
    </row>
    <row r="82" spans="1:3">
      <c r="A82" s="1164">
        <v>0.999</v>
      </c>
      <c r="B82" s="1164">
        <v>1E-3</v>
      </c>
      <c r="C82" s="1164">
        <v>3.2909999999999999</v>
      </c>
    </row>
  </sheetData>
  <sheetProtection password="CC08" sheet="1" scenarios="1"/>
  <protectedRanges>
    <protectedRange sqref="C3:C5 C10:D11" name="Range1"/>
  </protectedRanges>
  <mergeCells count="4">
    <mergeCell ref="C8:D8"/>
    <mergeCell ref="A10:A11"/>
    <mergeCell ref="C60:D60"/>
    <mergeCell ref="A62:A63"/>
  </mergeCells>
  <phoneticPr fontId="5" type="noConversion"/>
  <conditionalFormatting sqref="E10">
    <cfRule type="cellIs" dxfId="8" priority="1" stopIfTrue="1" operator="equal">
      <formula>""""""</formula>
    </cfRule>
    <cfRule type="cellIs" dxfId="7" priority="2" stopIfTrue="1" operator="greaterThanOrEqual">
      <formula>0</formula>
    </cfRule>
  </conditionalFormatting>
  <conditionalFormatting sqref="C10 D11">
    <cfRule type="cellIs" dxfId="6" priority="3" stopIfTrue="1" operator="equal">
      <formula>0</formula>
    </cfRule>
    <cfRule type="cellIs" dxfId="5" priority="4" stopIfTrue="1" operator="greaterThanOrEqual">
      <formula>0</formula>
    </cfRule>
  </conditionalFormatting>
  <conditionalFormatting sqref="C11 D10">
    <cfRule type="cellIs" dxfId="4" priority="5" stopIfTrue="1" operator="equal">
      <formula>0</formula>
    </cfRule>
    <cfRule type="cellIs" dxfId="3" priority="6" stopIfTrue="1" operator="greaterThan">
      <formula>0</formula>
    </cfRule>
  </conditionalFormatting>
  <dataValidations count="1">
    <dataValidation type="list" allowBlank="1" showInputMessage="1" showErrorMessage="1" sqref="C4">
      <formula1>"One-Tailed, Two-Tailed"</formula1>
    </dataValidation>
  </dataValidations>
  <pageMargins left="0.75" right="0.75" top="1" bottom="1" header="0.5" footer="0.5"/>
  <pageSetup orientation="portrait" horizontalDpi="4294967294" verticalDpi="0" r:id="rId1"/>
  <headerFooter alignWithMargins="0"/>
  <drawing r:id="rId2"/>
  <legacyDrawing r:id="rId3"/>
  <controls>
    <control shapeId="86020" r:id="rId4" name="MainMenu"/>
  </controls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31"/>
  <dimension ref="A1:AJ135"/>
  <sheetViews>
    <sheetView showGridLines="0" zoomScale="75" workbookViewId="0">
      <selection activeCell="I14" sqref="I14"/>
    </sheetView>
  </sheetViews>
  <sheetFormatPr defaultColWidth="8" defaultRowHeight="12.75"/>
  <cols>
    <col min="1" max="1" width="8" style="978" customWidth="1"/>
    <col min="2" max="2" width="7.42578125" style="978" customWidth="1"/>
    <col min="3" max="5" width="8" style="978" customWidth="1"/>
    <col min="6" max="7" width="9.28515625" style="978" bestFit="1" customWidth="1"/>
    <col min="8" max="10" width="8" style="978" customWidth="1"/>
    <col min="11" max="11" width="10.7109375" style="978" customWidth="1"/>
    <col min="12" max="15" width="8" style="978" customWidth="1"/>
    <col min="16" max="16" width="8.85546875" style="978" bestFit="1" customWidth="1"/>
    <col min="17" max="16384" width="8" style="978"/>
  </cols>
  <sheetData>
    <row r="1" spans="2:36">
      <c r="B1" s="973" t="s">
        <v>445</v>
      </c>
      <c r="C1" s="974"/>
      <c r="D1" s="975"/>
      <c r="E1" s="975"/>
      <c r="F1" s="975"/>
      <c r="G1" s="976"/>
      <c r="H1" s="977" t="s">
        <v>865</v>
      </c>
      <c r="I1" s="977" t="s">
        <v>866</v>
      </c>
      <c r="X1" s="1662" t="s">
        <v>867</v>
      </c>
      <c r="Y1" s="1662"/>
      <c r="Z1" s="1662"/>
      <c r="AA1" s="1662"/>
    </row>
    <row r="2" spans="2:36">
      <c r="B2" s="973" t="s">
        <v>868</v>
      </c>
      <c r="C2" s="974"/>
      <c r="D2" s="975"/>
      <c r="E2" s="975"/>
      <c r="F2" s="975"/>
      <c r="G2" s="976"/>
      <c r="H2" s="980"/>
      <c r="I2" s="980"/>
      <c r="V2" s="1662">
        <f>C1</f>
        <v>0</v>
      </c>
      <c r="W2" s="1662"/>
      <c r="X2" s="1662"/>
      <c r="Y2" s="1662"/>
      <c r="Z2" s="1662"/>
      <c r="AA2" s="1662"/>
      <c r="AB2" s="1662"/>
      <c r="AC2" s="1662"/>
    </row>
    <row r="3" spans="2:36">
      <c r="B3" s="973" t="s">
        <v>869</v>
      </c>
      <c r="C3" s="974"/>
      <c r="D3" s="975"/>
      <c r="E3" s="975"/>
      <c r="F3" s="975"/>
      <c r="G3" s="976"/>
      <c r="H3" s="980"/>
      <c r="I3" s="980"/>
      <c r="W3" s="979">
        <f>C2</f>
        <v>0</v>
      </c>
      <c r="AB3" s="979">
        <f>C3</f>
        <v>0</v>
      </c>
    </row>
    <row r="4" spans="2:36">
      <c r="B4" s="973" t="s">
        <v>919</v>
      </c>
      <c r="C4" s="980">
        <v>0.95</v>
      </c>
      <c r="E4" s="973" t="s">
        <v>841</v>
      </c>
      <c r="F4" s="980">
        <v>3</v>
      </c>
      <c r="G4" s="981" t="str">
        <f>IF(F4&lt;2,"You must have at least 2 replicates!","")</f>
        <v/>
      </c>
      <c r="L4" s="1664">
        <f>C1</f>
        <v>0</v>
      </c>
      <c r="M4" s="1664"/>
      <c r="N4" s="1664"/>
      <c r="O4" s="1664"/>
      <c r="P4" s="1664"/>
      <c r="Q4" s="1664"/>
      <c r="R4" s="1664"/>
      <c r="S4" s="1664"/>
    </row>
    <row r="5" spans="2:36" ht="15.75">
      <c r="E5" s="983" t="s">
        <v>920</v>
      </c>
      <c r="Y5" s="984"/>
      <c r="Z5" s="984"/>
      <c r="AA5" s="984"/>
      <c r="AB5" s="984"/>
      <c r="AC5" s="984"/>
      <c r="AD5" s="984"/>
      <c r="AG5" s="984"/>
      <c r="AH5" s="984"/>
      <c r="AI5" s="984"/>
      <c r="AJ5" s="984"/>
    </row>
    <row r="6" spans="2:36">
      <c r="D6" s="983" t="s">
        <v>870</v>
      </c>
      <c r="E6" s="983"/>
      <c r="F6" s="985" t="s">
        <v>871</v>
      </c>
      <c r="G6" s="983"/>
      <c r="T6" s="986"/>
    </row>
    <row r="7" spans="2:36">
      <c r="D7" s="987" t="s">
        <v>872</v>
      </c>
      <c r="E7" s="988"/>
      <c r="F7" s="989" t="s">
        <v>460</v>
      </c>
      <c r="G7" s="988"/>
    </row>
    <row r="8" spans="2:36">
      <c r="C8" s="982" t="s">
        <v>873</v>
      </c>
      <c r="D8" s="990"/>
      <c r="E8" s="991"/>
      <c r="F8" s="990"/>
      <c r="G8" s="991"/>
    </row>
    <row r="9" spans="2:36">
      <c r="C9" s="992"/>
      <c r="D9" s="993"/>
      <c r="E9" s="994"/>
      <c r="F9" s="993"/>
      <c r="G9" s="994"/>
    </row>
    <row r="10" spans="2:36">
      <c r="C10" s="979"/>
      <c r="D10" s="989" t="s">
        <v>874</v>
      </c>
      <c r="E10" s="988"/>
      <c r="F10" s="989" t="s">
        <v>875</v>
      </c>
      <c r="G10" s="988"/>
    </row>
    <row r="11" spans="2:36">
      <c r="C11" s="982" t="s">
        <v>876</v>
      </c>
      <c r="D11" s="990"/>
      <c r="E11" s="991"/>
      <c r="F11" s="990"/>
      <c r="G11" s="991"/>
    </row>
    <row r="12" spans="2:36">
      <c r="C12" s="995"/>
      <c r="D12" s="993"/>
      <c r="E12" s="994"/>
      <c r="F12" s="993"/>
      <c r="G12" s="994"/>
    </row>
    <row r="14" spans="2:36">
      <c r="B14" s="996" t="str">
        <f>IF(E96&gt;E98,"You need more replicates for this analysis","")</f>
        <v>You need more replicates for this analysis</v>
      </c>
    </row>
    <row r="15" spans="2:36">
      <c r="B15" s="981" t="str">
        <f>IF(B33="","Don't forget to enter the random run order of your trials in the ANOVA Table!","")</f>
        <v/>
      </c>
      <c r="C15" s="997"/>
      <c r="E15" s="998"/>
    </row>
    <row r="17" spans="2:36">
      <c r="B17" s="983" t="s">
        <v>877</v>
      </c>
      <c r="C17" s="984"/>
      <c r="D17" s="984"/>
      <c r="E17" s="984"/>
      <c r="F17" s="984"/>
      <c r="G17" s="984"/>
      <c r="H17" s="984"/>
      <c r="I17" s="984"/>
    </row>
    <row r="18" spans="2:36">
      <c r="B18" s="999" t="s">
        <v>878</v>
      </c>
      <c r="C18" s="984"/>
      <c r="D18" s="984"/>
      <c r="E18" s="984"/>
      <c r="F18" s="984"/>
      <c r="G18" s="984"/>
      <c r="H18" s="984"/>
      <c r="I18" s="984"/>
    </row>
    <row r="19" spans="2:36">
      <c r="Y19" s="984"/>
      <c r="Z19" s="984"/>
      <c r="AA19" s="984"/>
      <c r="AB19" s="984"/>
      <c r="AC19" s="984"/>
      <c r="AD19" s="984"/>
      <c r="AG19" s="984"/>
      <c r="AH19" s="984"/>
      <c r="AI19" s="984"/>
      <c r="AJ19" s="984"/>
    </row>
    <row r="20" spans="2:36">
      <c r="B20" s="1000" t="s">
        <v>879</v>
      </c>
      <c r="C20" s="1000" t="s">
        <v>880</v>
      </c>
      <c r="D20" s="1000">
        <v>1</v>
      </c>
      <c r="E20" s="1000">
        <v>2</v>
      </c>
      <c r="F20" s="1001" t="s">
        <v>921</v>
      </c>
      <c r="I20" s="1002" t="s">
        <v>881</v>
      </c>
    </row>
    <row r="21" spans="2:36">
      <c r="B21" s="1003" t="s">
        <v>872</v>
      </c>
      <c r="C21" s="1004" t="e">
        <f>AVERAGE(E7:E9)</f>
        <v>#DIV/0!</v>
      </c>
      <c r="D21" s="1005" t="e">
        <f>C22+C21</f>
        <v>#DIV/0!</v>
      </c>
      <c r="E21" s="1006" t="e">
        <f>D22+D21</f>
        <v>#DIV/0!</v>
      </c>
      <c r="F21" s="1007" t="s">
        <v>922</v>
      </c>
      <c r="G21" s="1000" t="s">
        <v>882</v>
      </c>
      <c r="H21" s="1000" t="s">
        <v>883</v>
      </c>
      <c r="I21" s="1007" t="s">
        <v>884</v>
      </c>
      <c r="L21" s="1008" t="s">
        <v>885</v>
      </c>
      <c r="M21" s="1009" t="e">
        <f>G26</f>
        <v>#DIV/0!</v>
      </c>
      <c r="N21" s="1663" t="e">
        <f>IF(M21="A",C2,IF(M21="B",C3,"Interaction Between "&amp;C2&amp;" and "&amp;C3))</f>
        <v>#DIV/0!</v>
      </c>
      <c r="O21" s="1663"/>
      <c r="P21" s="1663"/>
      <c r="Q21" s="1663"/>
      <c r="R21" s="1663"/>
      <c r="S21" s="1663"/>
    </row>
    <row r="22" spans="2:36">
      <c r="B22" s="1010" t="s">
        <v>460</v>
      </c>
      <c r="C22" s="1004" t="e">
        <f>AVERAGE(G7:G9)</f>
        <v>#DIV/0!</v>
      </c>
      <c r="D22" s="1011" t="e">
        <f>C24+C23</f>
        <v>#DIV/0!</v>
      </c>
      <c r="E22" s="1011" t="e">
        <f>D24+D23</f>
        <v>#DIV/0!</v>
      </c>
      <c r="F22" s="1011" t="e">
        <f>E22/2</f>
        <v>#DIV/0!</v>
      </c>
      <c r="G22" s="1000" t="s">
        <v>114</v>
      </c>
      <c r="H22" s="1011" t="e">
        <f>RANK(I22,S$82:S$84,0)</f>
        <v>#DIV/0!</v>
      </c>
      <c r="I22" s="1011" t="e">
        <f>ABS(F22)</f>
        <v>#DIV/0!</v>
      </c>
      <c r="N22" s="1663"/>
      <c r="O22" s="1663"/>
      <c r="P22" s="1663"/>
      <c r="Q22" s="1663"/>
      <c r="R22" s="1663"/>
      <c r="S22" s="1663"/>
    </row>
    <row r="23" spans="2:36">
      <c r="B23" s="1010" t="s">
        <v>874</v>
      </c>
      <c r="C23" s="1004" t="e">
        <f>AVERAGE(E10:E12)</f>
        <v>#DIV/0!</v>
      </c>
      <c r="D23" s="1011" t="e">
        <f>C22-C21</f>
        <v>#DIV/0!</v>
      </c>
      <c r="E23" s="1011" t="e">
        <f>D22-D21</f>
        <v>#DIV/0!</v>
      </c>
      <c r="F23" s="1011" t="e">
        <f>E23/2</f>
        <v>#DIV/0!</v>
      </c>
      <c r="G23" s="1000" t="s">
        <v>115</v>
      </c>
      <c r="H23" s="1011" t="e">
        <f>RANK(I23,S$82:S$84,0)</f>
        <v>#DIV/0!</v>
      </c>
      <c r="I23" s="1011" t="e">
        <f>ABS(F23)</f>
        <v>#DIV/0!</v>
      </c>
      <c r="N23" s="1663"/>
      <c r="O23" s="1663"/>
      <c r="P23" s="1663"/>
      <c r="Q23" s="1663"/>
      <c r="R23" s="1663"/>
      <c r="S23" s="1663"/>
    </row>
    <row r="24" spans="2:36">
      <c r="B24" s="1010" t="s">
        <v>875</v>
      </c>
      <c r="C24" s="1004" t="e">
        <f>AVERAGE(G10:G12)</f>
        <v>#DIV/0!</v>
      </c>
      <c r="D24" s="1011" t="e">
        <f>C24-C23</f>
        <v>#DIV/0!</v>
      </c>
      <c r="E24" s="1011" t="e">
        <f>D24-D23</f>
        <v>#DIV/0!</v>
      </c>
      <c r="F24" s="1011" t="e">
        <f>E24/2</f>
        <v>#DIV/0!</v>
      </c>
      <c r="G24" s="1000" t="s">
        <v>886</v>
      </c>
      <c r="H24" s="1011" t="e">
        <f>RANK(I24,S$82:S$84,0)</f>
        <v>#DIV/0!</v>
      </c>
      <c r="I24" s="1011" t="e">
        <f>ABS(F24)</f>
        <v>#DIV/0!</v>
      </c>
      <c r="M24" s="1665" t="s">
        <v>887</v>
      </c>
      <c r="N24" s="1666"/>
      <c r="O24" s="1666"/>
      <c r="P24" s="1666"/>
      <c r="Q24" s="1667"/>
    </row>
    <row r="25" spans="2:36" ht="13.5" thickBot="1">
      <c r="C25" s="1012" t="e">
        <f>SUM(C21:C24)</f>
        <v>#DIV/0!</v>
      </c>
      <c r="M25" s="1013" t="s">
        <v>888</v>
      </c>
      <c r="N25" s="1014"/>
      <c r="O25" s="1014"/>
      <c r="P25" s="1015" t="s">
        <v>889</v>
      </c>
      <c r="Q25" s="1016" t="s">
        <v>890</v>
      </c>
    </row>
    <row r="26" spans="2:36" ht="13.5" thickTop="1">
      <c r="C26" s="1017"/>
      <c r="F26" s="1018" t="s">
        <v>885</v>
      </c>
      <c r="G26" s="997" t="e">
        <f>IF(H22=1,G22,IF(H23=1,G23,IF(H24=1,G24,"")))</f>
        <v>#DIV/0!</v>
      </c>
      <c r="M26" s="993">
        <f>C2</f>
        <v>0</v>
      </c>
      <c r="N26" s="1019"/>
      <c r="O26" s="1020"/>
      <c r="P26" s="1021">
        <f>D45</f>
        <v>2</v>
      </c>
      <c r="Q26" s="1021">
        <f>D46</f>
        <v>0</v>
      </c>
    </row>
    <row r="27" spans="2:36">
      <c r="M27" s="1022">
        <f>C3</f>
        <v>0</v>
      </c>
      <c r="N27" s="1023"/>
      <c r="O27" s="1024"/>
      <c r="P27" s="1011">
        <f>E45</f>
        <v>4</v>
      </c>
      <c r="Q27" s="1011">
        <f>E46</f>
        <v>2</v>
      </c>
    </row>
    <row r="28" spans="2:36">
      <c r="B28" s="997"/>
      <c r="C28" s="983" t="s">
        <v>891</v>
      </c>
      <c r="D28" s="984"/>
      <c r="E28" s="984"/>
      <c r="F28" s="984"/>
      <c r="G28" s="984"/>
      <c r="J28" s="995"/>
      <c r="M28" s="1022" t="s">
        <v>892</v>
      </c>
      <c r="N28" s="1023"/>
      <c r="O28" s="1024"/>
      <c r="P28" s="1011">
        <f>F45</f>
        <v>0</v>
      </c>
      <c r="Q28" s="1011">
        <f>F46</f>
        <v>0</v>
      </c>
    </row>
    <row r="29" spans="2:36">
      <c r="B29" s="997"/>
      <c r="C29" s="984" t="s">
        <v>893</v>
      </c>
      <c r="D29" s="984"/>
      <c r="E29" s="984"/>
      <c r="F29" s="984"/>
      <c r="G29" s="984"/>
      <c r="J29" s="995"/>
      <c r="O29" s="1025" t="s">
        <v>894</v>
      </c>
      <c r="P29" s="1026">
        <f>E96</f>
        <v>6</v>
      </c>
    </row>
    <row r="30" spans="2:36">
      <c r="C30" s="1027"/>
      <c r="J30" s="995"/>
      <c r="P30" s="1025" t="s">
        <v>895</v>
      </c>
      <c r="Q30" s="1026">
        <f>F117</f>
        <v>5</v>
      </c>
    </row>
    <row r="31" spans="2:36">
      <c r="B31" s="1002" t="s">
        <v>896</v>
      </c>
      <c r="C31" s="995"/>
      <c r="D31" s="1028"/>
      <c r="E31" s="1029" t="s">
        <v>897</v>
      </c>
      <c r="F31" s="1030"/>
      <c r="G31" s="986"/>
      <c r="H31" s="1002" t="s">
        <v>898</v>
      </c>
      <c r="J31" s="995"/>
    </row>
    <row r="32" spans="2:36">
      <c r="B32" s="1175" t="s">
        <v>899</v>
      </c>
      <c r="C32" s="1000" t="s">
        <v>879</v>
      </c>
      <c r="D32" s="1000" t="s">
        <v>114</v>
      </c>
      <c r="E32" s="1000" t="s">
        <v>115</v>
      </c>
      <c r="F32" s="1000" t="s">
        <v>886</v>
      </c>
      <c r="G32" s="1000" t="s">
        <v>880</v>
      </c>
      <c r="H32" s="1031" t="s">
        <v>899</v>
      </c>
      <c r="J32" s="995"/>
    </row>
    <row r="33" spans="2:10">
      <c r="B33" s="972">
        <v>4</v>
      </c>
      <c r="C33" s="1173" t="s">
        <v>872</v>
      </c>
      <c r="D33" s="1032" t="s">
        <v>900</v>
      </c>
      <c r="E33" s="1032" t="s">
        <v>900</v>
      </c>
      <c r="F33" s="1032" t="s">
        <v>901</v>
      </c>
      <c r="G33" s="1033"/>
      <c r="H33" s="1034">
        <v>1</v>
      </c>
      <c r="I33" s="1035"/>
      <c r="J33" s="995"/>
    </row>
    <row r="34" spans="2:10">
      <c r="B34" s="972">
        <v>2</v>
      </c>
      <c r="C34" s="1174" t="s">
        <v>460</v>
      </c>
      <c r="D34" s="1032" t="s">
        <v>901</v>
      </c>
      <c r="E34" s="1032" t="s">
        <v>900</v>
      </c>
      <c r="F34" s="1032" t="s">
        <v>900</v>
      </c>
      <c r="G34" s="1033"/>
      <c r="H34" s="1034">
        <v>2</v>
      </c>
      <c r="I34" s="1035"/>
      <c r="J34" s="995"/>
    </row>
    <row r="35" spans="2:10">
      <c r="B35" s="972">
        <v>7</v>
      </c>
      <c r="C35" s="1174" t="s">
        <v>874</v>
      </c>
      <c r="D35" s="1032" t="s">
        <v>900</v>
      </c>
      <c r="E35" s="1032" t="s">
        <v>901</v>
      </c>
      <c r="F35" s="1032" t="s">
        <v>900</v>
      </c>
      <c r="G35" s="1033"/>
      <c r="H35" s="1034">
        <v>3</v>
      </c>
      <c r="I35" s="1035"/>
      <c r="J35" s="995"/>
    </row>
    <row r="36" spans="2:10">
      <c r="B36" s="972">
        <v>12</v>
      </c>
      <c r="C36" s="1174" t="s">
        <v>875</v>
      </c>
      <c r="D36" s="1036" t="s">
        <v>901</v>
      </c>
      <c r="E36" s="1036" t="s">
        <v>901</v>
      </c>
      <c r="F36" s="1036" t="s">
        <v>901</v>
      </c>
      <c r="G36" s="1037"/>
      <c r="H36" s="1034">
        <v>4</v>
      </c>
      <c r="I36" s="1038"/>
      <c r="J36" s="995"/>
    </row>
    <row r="37" spans="2:10">
      <c r="B37" s="972">
        <v>10</v>
      </c>
      <c r="C37" s="1173" t="s">
        <v>872</v>
      </c>
      <c r="D37" s="1032" t="s">
        <v>900</v>
      </c>
      <c r="E37" s="1032" t="s">
        <v>900</v>
      </c>
      <c r="F37" s="1032" t="s">
        <v>901</v>
      </c>
      <c r="G37" s="1033"/>
      <c r="H37" s="1034">
        <v>5</v>
      </c>
      <c r="I37" s="1035"/>
      <c r="J37" s="995"/>
    </row>
    <row r="38" spans="2:10">
      <c r="B38" s="972">
        <v>5</v>
      </c>
      <c r="C38" s="1174" t="s">
        <v>460</v>
      </c>
      <c r="D38" s="1032" t="s">
        <v>901</v>
      </c>
      <c r="E38" s="1032" t="s">
        <v>900</v>
      </c>
      <c r="F38" s="1032" t="s">
        <v>900</v>
      </c>
      <c r="G38" s="1033"/>
      <c r="H38" s="1034">
        <v>6</v>
      </c>
      <c r="I38" s="1035"/>
      <c r="J38" s="995"/>
    </row>
    <row r="39" spans="2:10">
      <c r="B39" s="972">
        <v>1</v>
      </c>
      <c r="C39" s="1174" t="s">
        <v>874</v>
      </c>
      <c r="D39" s="1032" t="s">
        <v>900</v>
      </c>
      <c r="E39" s="1032" t="s">
        <v>901</v>
      </c>
      <c r="F39" s="1032" t="s">
        <v>900</v>
      </c>
      <c r="G39" s="1033"/>
      <c r="H39" s="1034">
        <v>7</v>
      </c>
      <c r="I39" s="1035"/>
      <c r="J39" s="995"/>
    </row>
    <row r="40" spans="2:10">
      <c r="B40" s="972">
        <v>8</v>
      </c>
      <c r="C40" s="1174" t="s">
        <v>875</v>
      </c>
      <c r="D40" s="1036" t="s">
        <v>901</v>
      </c>
      <c r="E40" s="1036" t="s">
        <v>901</v>
      </c>
      <c r="F40" s="1036" t="s">
        <v>901</v>
      </c>
      <c r="G40" s="1037"/>
      <c r="H40" s="1034">
        <v>8</v>
      </c>
      <c r="I40" s="1038"/>
      <c r="J40" s="995"/>
    </row>
    <row r="41" spans="2:10">
      <c r="B41" s="972">
        <v>3</v>
      </c>
      <c r="C41" s="1173" t="s">
        <v>872</v>
      </c>
      <c r="D41" s="1032" t="str">
        <f>IF(G41="","","-")</f>
        <v/>
      </c>
      <c r="E41" s="1032" t="str">
        <f>IF(G41="","","-")</f>
        <v/>
      </c>
      <c r="F41" s="1032" t="str">
        <f>IF(G41="","","+")</f>
        <v/>
      </c>
      <c r="G41" s="1033"/>
      <c r="H41" s="1034">
        <v>9</v>
      </c>
      <c r="I41" s="1035"/>
      <c r="J41" s="995"/>
    </row>
    <row r="42" spans="2:10">
      <c r="B42" s="972">
        <v>6</v>
      </c>
      <c r="C42" s="1174" t="s">
        <v>460</v>
      </c>
      <c r="D42" s="1032" t="str">
        <f>IF(G42="","","+")</f>
        <v/>
      </c>
      <c r="E42" s="1032" t="str">
        <f>IF(G42="","","-")</f>
        <v/>
      </c>
      <c r="F42" s="1032" t="str">
        <f>IF(G42="","","-")</f>
        <v/>
      </c>
      <c r="G42" s="1033"/>
      <c r="H42" s="1034">
        <v>10</v>
      </c>
      <c r="I42" s="1035"/>
      <c r="J42" s="995"/>
    </row>
    <row r="43" spans="2:10">
      <c r="B43" s="972">
        <v>9</v>
      </c>
      <c r="C43" s="1174" t="s">
        <v>874</v>
      </c>
      <c r="D43" s="1032" t="str">
        <f>IF(G43="","","-")</f>
        <v/>
      </c>
      <c r="E43" s="1032" t="str">
        <f>IF(G43="","","+")</f>
        <v/>
      </c>
      <c r="F43" s="1032" t="str">
        <f>IF(G43="","","-")</f>
        <v/>
      </c>
      <c r="G43" s="1033"/>
      <c r="H43" s="1034">
        <v>11</v>
      </c>
      <c r="I43" s="1035"/>
    </row>
    <row r="44" spans="2:10">
      <c r="B44" s="972">
        <v>11</v>
      </c>
      <c r="C44" s="1174" t="s">
        <v>875</v>
      </c>
      <c r="D44" s="1036" t="str">
        <f>IF(G44="","","+")</f>
        <v/>
      </c>
      <c r="E44" s="1036" t="str">
        <f>IF(G44="","","+")</f>
        <v/>
      </c>
      <c r="F44" s="1036" t="str">
        <f>IF(G44="","","+")</f>
        <v/>
      </c>
      <c r="G44" s="1037"/>
      <c r="H44" s="1034">
        <v>12</v>
      </c>
      <c r="I44" s="1035"/>
      <c r="J44" s="1017"/>
    </row>
    <row r="45" spans="2:10">
      <c r="C45" s="973" t="s">
        <v>902</v>
      </c>
      <c r="D45" s="979">
        <f>IF(G$41=0,D79,D68)</f>
        <v>2</v>
      </c>
      <c r="E45" s="979">
        <f>IF(G$41=0,E79,E68)</f>
        <v>4</v>
      </c>
      <c r="F45" s="979">
        <f>IF(G$41=0,F79,F68)</f>
        <v>0</v>
      </c>
      <c r="I45" s="1035"/>
    </row>
    <row r="46" spans="2:10">
      <c r="C46" s="973" t="s">
        <v>903</v>
      </c>
      <c r="D46" s="979">
        <f>B135</f>
        <v>0</v>
      </c>
      <c r="E46" s="979">
        <f>C135</f>
        <v>2</v>
      </c>
      <c r="F46" s="979">
        <f>D135</f>
        <v>0</v>
      </c>
    </row>
    <row r="50" spans="2:20">
      <c r="I50" s="1039"/>
    </row>
    <row r="53" spans="2:20">
      <c r="B53" s="1040" t="s">
        <v>656</v>
      </c>
      <c r="C53" s="1040">
        <f>4*F4</f>
        <v>12</v>
      </c>
    </row>
    <row r="54" spans="2:20">
      <c r="L54" s="1041"/>
      <c r="M54" s="1042" t="s">
        <v>904</v>
      </c>
      <c r="N54" s="1043" t="s">
        <v>905</v>
      </c>
      <c r="O54" s="1043" t="s">
        <v>906</v>
      </c>
      <c r="Q54" s="1044" t="s">
        <v>896</v>
      </c>
      <c r="R54" s="1017"/>
      <c r="S54" s="1045"/>
      <c r="T54" s="1046" t="s">
        <v>898</v>
      </c>
    </row>
    <row r="55" spans="2:20">
      <c r="B55" s="1660" t="s">
        <v>907</v>
      </c>
      <c r="C55" s="1660"/>
      <c r="D55" s="1660"/>
      <c r="E55" s="1660"/>
      <c r="F55" s="1660"/>
      <c r="L55" s="1041" t="s">
        <v>870</v>
      </c>
      <c r="M55" s="1047" t="e">
        <f>M67</f>
        <v>#DIV/0!</v>
      </c>
      <c r="N55" s="1041"/>
      <c r="O55" s="1041"/>
      <c r="Q55" s="1048" t="s">
        <v>899</v>
      </c>
      <c r="R55" s="1049" t="s">
        <v>879</v>
      </c>
      <c r="S55" s="1050" t="s">
        <v>880</v>
      </c>
      <c r="T55" s="1051" t="s">
        <v>899</v>
      </c>
    </row>
    <row r="56" spans="2:20">
      <c r="C56" s="1052">
        <v>1</v>
      </c>
      <c r="D56" s="1052">
        <f>IF(D33=D44,"",IF(D33="-",-1,1))</f>
        <v>-1</v>
      </c>
      <c r="E56" s="1052">
        <f>IF(E33=E44,"",IF(E33="-",-1,1))</f>
        <v>-1</v>
      </c>
      <c r="F56" s="1052">
        <f>IF(F33=F44,"",IF(F33="-",-1,1))</f>
        <v>1</v>
      </c>
      <c r="L56" s="1041" t="s">
        <v>908</v>
      </c>
      <c r="M56" s="1047" t="e">
        <f>M68</f>
        <v>#DIV/0!</v>
      </c>
      <c r="N56" s="1041"/>
      <c r="O56" s="1041"/>
      <c r="Q56" s="1053"/>
      <c r="R56" s="1054" t="s">
        <v>872</v>
      </c>
      <c r="S56" s="1053"/>
      <c r="T56" s="1055">
        <v>1</v>
      </c>
    </row>
    <row r="57" spans="2:20">
      <c r="C57" s="1052">
        <v>2</v>
      </c>
      <c r="D57" s="1052" t="str">
        <f t="shared" ref="D57:F61" si="0">IF(D34=D$33,D56,"")</f>
        <v/>
      </c>
      <c r="E57" s="1052">
        <f t="shared" si="0"/>
        <v>-1</v>
      </c>
      <c r="F57" s="1052" t="str">
        <f t="shared" si="0"/>
        <v/>
      </c>
      <c r="L57" s="1041"/>
      <c r="M57" s="1041"/>
      <c r="N57" s="1041"/>
      <c r="O57" s="1041"/>
      <c r="Q57" s="1053"/>
      <c r="R57" s="1054" t="s">
        <v>460</v>
      </c>
      <c r="S57" s="1053"/>
      <c r="T57" s="1055">
        <v>2</v>
      </c>
    </row>
    <row r="58" spans="2:20">
      <c r="C58" s="1052">
        <v>3</v>
      </c>
      <c r="D58" s="1052" t="str">
        <f t="shared" si="0"/>
        <v/>
      </c>
      <c r="E58" s="1052" t="str">
        <f t="shared" si="0"/>
        <v/>
      </c>
      <c r="F58" s="1052" t="str">
        <f t="shared" si="0"/>
        <v/>
      </c>
      <c r="L58" s="1041" t="s">
        <v>909</v>
      </c>
      <c r="M58" s="1047" t="e">
        <f>M70</f>
        <v>#DIV/0!</v>
      </c>
      <c r="N58" s="1041"/>
      <c r="O58" s="1041"/>
      <c r="Q58" s="1053"/>
      <c r="R58" s="1054" t="s">
        <v>874</v>
      </c>
      <c r="S58" s="1053"/>
      <c r="T58" s="1055">
        <v>3</v>
      </c>
    </row>
    <row r="59" spans="2:20">
      <c r="C59" s="1052">
        <v>4</v>
      </c>
      <c r="D59" s="1052" t="str">
        <f t="shared" si="0"/>
        <v/>
      </c>
      <c r="E59" s="1052" t="str">
        <f t="shared" si="0"/>
        <v/>
      </c>
      <c r="F59" s="1052" t="str">
        <f t="shared" si="0"/>
        <v/>
      </c>
      <c r="L59" s="1041" t="s">
        <v>910</v>
      </c>
      <c r="M59" s="1047" t="e">
        <f>M71</f>
        <v>#DIV/0!</v>
      </c>
      <c r="N59" s="1041"/>
      <c r="O59" s="1041"/>
      <c r="Q59" s="1053"/>
      <c r="R59" s="1054" t="s">
        <v>875</v>
      </c>
      <c r="S59" s="1053"/>
      <c r="T59" s="1055">
        <v>4</v>
      </c>
    </row>
    <row r="60" spans="2:20">
      <c r="C60" s="1052">
        <v>5</v>
      </c>
      <c r="D60" s="1052" t="str">
        <f t="shared" si="0"/>
        <v/>
      </c>
      <c r="E60" s="1052" t="str">
        <f t="shared" si="0"/>
        <v/>
      </c>
      <c r="F60" s="1052" t="str">
        <f t="shared" si="0"/>
        <v/>
      </c>
      <c r="L60" s="1041"/>
      <c r="M60" s="1041"/>
      <c r="N60" s="1041"/>
      <c r="O60" s="1041"/>
      <c r="Q60" s="1053"/>
      <c r="R60" s="1056" t="s">
        <v>872</v>
      </c>
      <c r="S60" s="1053"/>
      <c r="T60" s="1055">
        <v>5</v>
      </c>
    </row>
    <row r="61" spans="2:20">
      <c r="C61" s="1052">
        <v>6</v>
      </c>
      <c r="D61" s="1052" t="str">
        <f t="shared" si="0"/>
        <v/>
      </c>
      <c r="E61" s="1052" t="str">
        <f t="shared" si="0"/>
        <v/>
      </c>
      <c r="F61" s="1052" t="str">
        <f t="shared" si="0"/>
        <v/>
      </c>
      <c r="L61" s="1041" t="s">
        <v>911</v>
      </c>
      <c r="M61" s="1047" t="e">
        <f>M73</f>
        <v>#DIV/0!</v>
      </c>
      <c r="N61" s="1041"/>
      <c r="O61" s="1041"/>
      <c r="Q61" s="1053"/>
      <c r="R61" s="1054" t="s">
        <v>460</v>
      </c>
      <c r="S61" s="1053"/>
      <c r="T61" s="1055">
        <v>6</v>
      </c>
    </row>
    <row r="62" spans="2:20">
      <c r="C62" s="1052">
        <v>7</v>
      </c>
      <c r="D62" s="1052" t="str">
        <f>IF(D39=D$44,D63,"")</f>
        <v/>
      </c>
      <c r="E62" s="1052" t="str">
        <f>IF(E39=E$44,E63,"")</f>
        <v/>
      </c>
      <c r="F62" s="1052" t="str">
        <f>IF(F39=F$44,F63,"")</f>
        <v/>
      </c>
      <c r="L62" s="1041" t="s">
        <v>912</v>
      </c>
      <c r="M62" s="1047" t="e">
        <f>M74</f>
        <v>#DIV/0!</v>
      </c>
      <c r="N62" s="1041"/>
      <c r="O62" s="1041"/>
      <c r="Q62" s="1053"/>
      <c r="R62" s="1054" t="s">
        <v>874</v>
      </c>
      <c r="S62" s="1053"/>
      <c r="T62" s="1055">
        <v>7</v>
      </c>
    </row>
    <row r="63" spans="2:20">
      <c r="C63" s="1052">
        <v>8</v>
      </c>
      <c r="D63" s="1052" t="str">
        <f>IF(AND(D41="",D40=D$33),"",IF(D40=D$44,D64,""))</f>
        <v/>
      </c>
      <c r="E63" s="1052" t="str">
        <f t="shared" ref="E63:F66" si="1">IF(E40=E$44,E64,"")</f>
        <v/>
      </c>
      <c r="F63" s="1052" t="str">
        <f t="shared" si="1"/>
        <v/>
      </c>
      <c r="L63" s="1041"/>
      <c r="M63" s="1041"/>
      <c r="N63" s="1041"/>
      <c r="O63" s="1041"/>
      <c r="Q63" s="1053"/>
      <c r="R63" s="1054" t="s">
        <v>875</v>
      </c>
      <c r="S63" s="1053"/>
      <c r="T63" s="1055">
        <v>8</v>
      </c>
    </row>
    <row r="64" spans="2:20">
      <c r="C64" s="1052">
        <v>9</v>
      </c>
      <c r="D64" s="1052">
        <f>IF(D41=D$44,D65,"")</f>
        <v>1</v>
      </c>
      <c r="E64" s="1052">
        <f t="shared" si="1"/>
        <v>1</v>
      </c>
      <c r="F64" s="1052">
        <f t="shared" si="1"/>
        <v>1</v>
      </c>
      <c r="L64" s="1041" t="s">
        <v>870</v>
      </c>
      <c r="M64" s="1041"/>
      <c r="N64" s="1041" t="e">
        <f>M77</f>
        <v>#DIV/0!</v>
      </c>
      <c r="O64" s="1041" t="e">
        <f>N77</f>
        <v>#DIV/0!</v>
      </c>
      <c r="Q64" s="1053"/>
      <c r="R64" s="1056" t="s">
        <v>872</v>
      </c>
      <c r="S64" s="1053"/>
      <c r="T64" s="1055">
        <v>9</v>
      </c>
    </row>
    <row r="65" spans="2:20">
      <c r="C65" s="1052">
        <v>10</v>
      </c>
      <c r="D65" s="1052">
        <f>IF(D42=D$44,D66,"")</f>
        <v>1</v>
      </c>
      <c r="E65" s="1052">
        <f t="shared" si="1"/>
        <v>1</v>
      </c>
      <c r="F65" s="1052">
        <f t="shared" si="1"/>
        <v>1</v>
      </c>
      <c r="L65" s="1041" t="s">
        <v>871</v>
      </c>
      <c r="M65" s="1041"/>
      <c r="N65" s="1041" t="e">
        <f>M78</f>
        <v>#DIV/0!</v>
      </c>
      <c r="O65" s="1041" t="e">
        <f>N78</f>
        <v>#DIV/0!</v>
      </c>
      <c r="Q65" s="1053"/>
      <c r="R65" s="1056" t="s">
        <v>460</v>
      </c>
      <c r="S65" s="1053"/>
      <c r="T65" s="1055">
        <v>10</v>
      </c>
    </row>
    <row r="66" spans="2:20">
      <c r="C66" s="1052">
        <v>11</v>
      </c>
      <c r="D66" s="1052">
        <f>IF(D43=D$44,D67,"")</f>
        <v>1</v>
      </c>
      <c r="E66" s="1052">
        <f t="shared" si="1"/>
        <v>1</v>
      </c>
      <c r="F66" s="1052">
        <f t="shared" si="1"/>
        <v>1</v>
      </c>
      <c r="L66" s="1041"/>
      <c r="M66" s="1041"/>
      <c r="N66" s="1041"/>
      <c r="O66" s="1041"/>
      <c r="Q66" s="1053"/>
      <c r="R66" s="1054" t="s">
        <v>874</v>
      </c>
      <c r="S66" s="1053"/>
      <c r="T66" s="1055">
        <v>11</v>
      </c>
    </row>
    <row r="67" spans="2:20">
      <c r="C67" s="1052">
        <v>12</v>
      </c>
      <c r="D67" s="1052">
        <f>IF(D44=D33,"",IF(D44="-",-1,1))</f>
        <v>1</v>
      </c>
      <c r="E67" s="1052">
        <f>IF(E44=E33,"",IF(E44="-",-1,1))</f>
        <v>1</v>
      </c>
      <c r="F67" s="1052">
        <f>IF(F44=F33,"",IF(F44="-",-1,1))</f>
        <v>1</v>
      </c>
      <c r="L67" s="1042" t="s">
        <v>870</v>
      </c>
      <c r="M67" s="1047" t="e">
        <f>AVERAGE(E7:E12)</f>
        <v>#DIV/0!</v>
      </c>
      <c r="N67" s="1041"/>
      <c r="O67" s="1041"/>
      <c r="Q67" s="1053"/>
      <c r="R67" s="1054" t="s">
        <v>875</v>
      </c>
      <c r="S67" s="1053"/>
      <c r="T67" s="1055">
        <v>12</v>
      </c>
    </row>
    <row r="68" spans="2:20">
      <c r="C68" s="1057"/>
      <c r="D68" s="1057">
        <f>IF(D44=D33,0,COUNT(D56:D67))</f>
        <v>5</v>
      </c>
      <c r="E68" s="1057">
        <f>IF(E44=E33,0,COUNT(E56:E67))</f>
        <v>6</v>
      </c>
      <c r="F68" s="1057">
        <f>IF(F44=F33,0,COUNT(F56:F67))</f>
        <v>5</v>
      </c>
      <c r="L68" s="1042" t="s">
        <v>908</v>
      </c>
      <c r="M68" s="1047" t="e">
        <f>AVERAGE(G7:G12)</f>
        <v>#DIV/0!</v>
      </c>
      <c r="N68" s="1041"/>
      <c r="O68" s="1041"/>
    </row>
    <row r="69" spans="2:20">
      <c r="C69" s="995"/>
      <c r="D69" s="995"/>
      <c r="E69" s="995"/>
      <c r="F69" s="995"/>
      <c r="J69" s="1058"/>
      <c r="L69" s="1042"/>
      <c r="M69" s="1047"/>
      <c r="N69" s="1041"/>
      <c r="O69" s="1041"/>
    </row>
    <row r="70" spans="2:20">
      <c r="B70" s="1661" t="s">
        <v>913</v>
      </c>
      <c r="C70" s="1661"/>
      <c r="D70" s="1661"/>
      <c r="E70" s="1661"/>
      <c r="F70" s="1661"/>
      <c r="L70" s="1042" t="s">
        <v>909</v>
      </c>
      <c r="M70" s="1047" t="e">
        <f>AVERAGE(E7:G9)</f>
        <v>#DIV/0!</v>
      </c>
      <c r="N70" s="1041"/>
      <c r="O70" s="1041"/>
    </row>
    <row r="71" spans="2:20">
      <c r="C71" s="1052">
        <v>1</v>
      </c>
      <c r="D71" s="1052">
        <f>IF(D33=D40,"",IF(D33="-",-1,1))</f>
        <v>-1</v>
      </c>
      <c r="E71" s="1052">
        <f>IF(E33=E40,"",IF(E33="-",-1,1))</f>
        <v>-1</v>
      </c>
      <c r="F71" s="1052" t="str">
        <f>IF(F33=F40,"",IF(F33="-",-1,1))</f>
        <v/>
      </c>
      <c r="J71" s="1058"/>
      <c r="L71" s="1042" t="s">
        <v>910</v>
      </c>
      <c r="M71" s="1047" t="e">
        <f>AVERAGE(E10:G12)</f>
        <v>#DIV/0!</v>
      </c>
      <c r="N71" s="1041"/>
      <c r="O71" s="1041"/>
    </row>
    <row r="72" spans="2:20">
      <c r="C72" s="1052">
        <v>2</v>
      </c>
      <c r="D72" s="1052" t="str">
        <f t="shared" ref="D72:F74" si="2">IF(D34=D$33,D71,"")</f>
        <v/>
      </c>
      <c r="E72" s="1052">
        <f t="shared" si="2"/>
        <v>-1</v>
      </c>
      <c r="F72" s="1052" t="str">
        <f t="shared" si="2"/>
        <v/>
      </c>
      <c r="L72" s="1042"/>
      <c r="M72" s="1047"/>
      <c r="N72" s="1041"/>
      <c r="O72" s="1041"/>
    </row>
    <row r="73" spans="2:20">
      <c r="C73" s="1052">
        <v>3</v>
      </c>
      <c r="D73" s="1052" t="str">
        <f t="shared" si="2"/>
        <v/>
      </c>
      <c r="E73" s="1052" t="str">
        <f t="shared" si="2"/>
        <v/>
      </c>
      <c r="F73" s="1052" t="str">
        <f t="shared" si="2"/>
        <v/>
      </c>
      <c r="L73" s="1042" t="s">
        <v>911</v>
      </c>
      <c r="M73" s="1047" t="e">
        <f>AVERAGE(E10:E12,G7:G9)</f>
        <v>#DIV/0!</v>
      </c>
      <c r="N73" s="1041"/>
      <c r="O73" s="1041"/>
    </row>
    <row r="74" spans="2:20">
      <c r="C74" s="1052">
        <v>4</v>
      </c>
      <c r="D74" s="1052" t="str">
        <f t="shared" si="2"/>
        <v/>
      </c>
      <c r="E74" s="1052" t="str">
        <f t="shared" si="2"/>
        <v/>
      </c>
      <c r="F74" s="1052" t="str">
        <f t="shared" si="2"/>
        <v/>
      </c>
      <c r="L74" s="1042" t="s">
        <v>912</v>
      </c>
      <c r="M74" s="1047" t="e">
        <f>AVERAGE(E7:E9,G10:G12)</f>
        <v>#DIV/0!</v>
      </c>
      <c r="N74" s="1059"/>
      <c r="O74" s="1041"/>
    </row>
    <row r="75" spans="2:20">
      <c r="C75" s="1052">
        <v>5</v>
      </c>
      <c r="D75" s="1052" t="str">
        <f t="shared" ref="D75:F77" si="3">IF(D37=D$40,D76,"")</f>
        <v/>
      </c>
      <c r="E75" s="1052" t="str">
        <f t="shared" si="3"/>
        <v/>
      </c>
      <c r="F75" s="1052" t="str">
        <f t="shared" si="3"/>
        <v/>
      </c>
      <c r="L75" s="1041"/>
      <c r="M75" s="1041"/>
      <c r="N75" s="1041"/>
      <c r="O75" s="1041"/>
    </row>
    <row r="76" spans="2:20">
      <c r="C76" s="1052">
        <v>6</v>
      </c>
      <c r="D76" s="1052" t="str">
        <f t="shared" si="3"/>
        <v/>
      </c>
      <c r="E76" s="1052" t="str">
        <f t="shared" si="3"/>
        <v/>
      </c>
      <c r="F76" s="1052" t="str">
        <f t="shared" si="3"/>
        <v/>
      </c>
      <c r="L76" s="1041"/>
      <c r="M76" s="1059" t="s">
        <v>873</v>
      </c>
      <c r="N76" s="1059" t="s">
        <v>876</v>
      </c>
      <c r="O76" s="1041"/>
    </row>
    <row r="77" spans="2:20">
      <c r="C77" s="1052">
        <v>7</v>
      </c>
      <c r="D77" s="1052" t="str">
        <f t="shared" si="3"/>
        <v/>
      </c>
      <c r="E77" s="1052">
        <f t="shared" si="3"/>
        <v>1</v>
      </c>
      <c r="F77" s="1052" t="str">
        <f t="shared" si="3"/>
        <v/>
      </c>
      <c r="L77" s="1041" t="s">
        <v>870</v>
      </c>
      <c r="M77" s="1041" t="e">
        <f>AVERAGE(E7:E9)</f>
        <v>#DIV/0!</v>
      </c>
      <c r="N77" s="1041" t="e">
        <f>AVERAGE(E10:E12)</f>
        <v>#DIV/0!</v>
      </c>
      <c r="O77" s="1041"/>
    </row>
    <row r="78" spans="2:20">
      <c r="C78" s="1052">
        <v>8</v>
      </c>
      <c r="D78" s="1052">
        <f>IF(D40=D33,"",IF(D40="-",-1,1))</f>
        <v>1</v>
      </c>
      <c r="E78" s="1052">
        <f>IF(E40=E33,"",IF(E40="-",-1,1))</f>
        <v>1</v>
      </c>
      <c r="F78" s="1052" t="str">
        <f>IF(F40=F33,"",IF(F40="-",-1,1))</f>
        <v/>
      </c>
      <c r="L78" s="1041" t="s">
        <v>871</v>
      </c>
      <c r="M78" s="1041" t="e">
        <f>AVERAGE(G7:G9)</f>
        <v>#DIV/0!</v>
      </c>
      <c r="N78" s="1041" t="e">
        <f>AVERAGE(G10:G12)</f>
        <v>#DIV/0!</v>
      </c>
      <c r="O78" s="1041"/>
    </row>
    <row r="79" spans="2:20">
      <c r="C79" s="1040"/>
      <c r="D79" s="1040">
        <f>IF(D40=D33,0,COUNT(D71:D78))</f>
        <v>2</v>
      </c>
      <c r="E79" s="1040">
        <f>IF(E40=E33,0,COUNT(E71:E78))</f>
        <v>4</v>
      </c>
      <c r="F79" s="1040">
        <f>IF(F40=F33,0,COUNT(F71:F78))</f>
        <v>0</v>
      </c>
    </row>
    <row r="82" spans="2:20">
      <c r="J82" s="1041"/>
      <c r="K82" s="1041"/>
      <c r="L82" s="1041" t="s">
        <v>914</v>
      </c>
      <c r="M82" s="1041" t="s">
        <v>908</v>
      </c>
      <c r="N82" s="1041"/>
      <c r="O82" s="1041" t="s">
        <v>909</v>
      </c>
      <c r="P82" s="1041" t="s">
        <v>910</v>
      </c>
      <c r="R82" s="1041"/>
      <c r="S82" s="1041"/>
      <c r="T82" s="1041">
        <v>1</v>
      </c>
    </row>
    <row r="83" spans="2:20">
      <c r="J83" s="1041"/>
      <c r="K83" s="1041"/>
      <c r="L83" s="1041">
        <f t="shared" ref="L83:L88" si="4">E7</f>
        <v>0</v>
      </c>
      <c r="M83" s="1041">
        <f t="shared" ref="M83:M88" si="5">G7</f>
        <v>0</v>
      </c>
      <c r="N83" s="1041"/>
      <c r="O83" s="1041">
        <f>E7</f>
        <v>0</v>
      </c>
      <c r="P83" s="1041">
        <f>E10</f>
        <v>0</v>
      </c>
      <c r="R83" s="1041"/>
      <c r="S83" s="1041"/>
      <c r="T83" s="1041">
        <v>2</v>
      </c>
    </row>
    <row r="84" spans="2:20">
      <c r="J84" s="1041"/>
      <c r="K84" s="1041"/>
      <c r="L84" s="1041">
        <f t="shared" si="4"/>
        <v>0</v>
      </c>
      <c r="M84" s="1041">
        <f t="shared" si="5"/>
        <v>0</v>
      </c>
      <c r="N84" s="1041"/>
      <c r="O84" s="1041">
        <f>E8</f>
        <v>0</v>
      </c>
      <c r="P84" s="1041">
        <f>E11</f>
        <v>0</v>
      </c>
      <c r="R84" s="1041"/>
      <c r="S84" s="1041"/>
      <c r="T84" s="1041">
        <v>3</v>
      </c>
    </row>
    <row r="85" spans="2:20">
      <c r="J85" s="1041"/>
      <c r="K85" s="1041"/>
      <c r="L85" s="1041">
        <f t="shared" si="4"/>
        <v>0</v>
      </c>
      <c r="M85" s="1041">
        <f t="shared" si="5"/>
        <v>0</v>
      </c>
      <c r="N85" s="1041"/>
      <c r="O85" s="1041">
        <f>E9</f>
        <v>0</v>
      </c>
      <c r="P85" s="1041">
        <f>E12</f>
        <v>0</v>
      </c>
    </row>
    <row r="86" spans="2:20">
      <c r="J86" s="1041"/>
      <c r="K86" s="1041"/>
      <c r="L86" s="1041">
        <f t="shared" si="4"/>
        <v>0</v>
      </c>
      <c r="M86" s="1041">
        <f t="shared" si="5"/>
        <v>0</v>
      </c>
      <c r="N86" s="1041"/>
      <c r="O86" s="1041">
        <f>G7</f>
        <v>0</v>
      </c>
      <c r="P86" s="1041">
        <f>G10</f>
        <v>0</v>
      </c>
    </row>
    <row r="87" spans="2:20">
      <c r="D87" s="973" t="s">
        <v>839</v>
      </c>
      <c r="E87" s="1060">
        <v>2</v>
      </c>
      <c r="J87" s="1041"/>
      <c r="K87" s="1041"/>
      <c r="L87" s="1041">
        <f t="shared" si="4"/>
        <v>0</v>
      </c>
      <c r="M87" s="1041">
        <f t="shared" si="5"/>
        <v>0</v>
      </c>
      <c r="N87" s="1041"/>
      <c r="O87" s="1041">
        <f>G8</f>
        <v>0</v>
      </c>
      <c r="P87" s="1041">
        <f>G11</f>
        <v>0</v>
      </c>
    </row>
    <row r="88" spans="2:20">
      <c r="D88" s="973" t="s">
        <v>840</v>
      </c>
      <c r="E88" s="1060">
        <v>2</v>
      </c>
      <c r="J88" s="1041"/>
      <c r="K88" s="1041"/>
      <c r="L88" s="1041">
        <f t="shared" si="4"/>
        <v>0</v>
      </c>
      <c r="M88" s="1041">
        <f t="shared" si="5"/>
        <v>0</v>
      </c>
      <c r="N88" s="1041"/>
      <c r="O88" s="1041">
        <f>G9</f>
        <v>0</v>
      </c>
      <c r="P88" s="1041">
        <f>G12</f>
        <v>0</v>
      </c>
    </row>
    <row r="89" spans="2:20">
      <c r="D89" s="973" t="s">
        <v>841</v>
      </c>
      <c r="E89" s="1061">
        <f>COUNT(E7:E9)</f>
        <v>0</v>
      </c>
      <c r="J89" s="1041"/>
      <c r="K89" s="1041" t="s">
        <v>201</v>
      </c>
      <c r="L89" s="1047" t="e">
        <f>M67</f>
        <v>#DIV/0!</v>
      </c>
      <c r="M89" s="1047" t="e">
        <f>M68</f>
        <v>#DIV/0!</v>
      </c>
      <c r="N89" s="1041"/>
      <c r="O89" s="1047" t="e">
        <f>M70</f>
        <v>#DIV/0!</v>
      </c>
      <c r="P89" s="1047" t="e">
        <f>M71</f>
        <v>#DIV/0!</v>
      </c>
    </row>
    <row r="90" spans="2:20">
      <c r="B90" s="978" t="s">
        <v>842</v>
      </c>
      <c r="D90" s="973" t="s">
        <v>484</v>
      </c>
      <c r="E90" s="1061">
        <f>C4</f>
        <v>0.95</v>
      </c>
      <c r="J90" s="1041"/>
      <c r="K90" s="1041"/>
      <c r="L90" s="1041"/>
      <c r="M90" s="1041"/>
      <c r="N90" s="1041"/>
      <c r="O90" s="1041"/>
      <c r="P90" s="1041"/>
    </row>
    <row r="91" spans="2:20" ht="14.25">
      <c r="B91" s="1062" t="s">
        <v>859</v>
      </c>
      <c r="C91" s="1062"/>
      <c r="D91" s="1063" t="s">
        <v>845</v>
      </c>
      <c r="E91" s="1064">
        <f>(E87^E88*E89)/2</f>
        <v>0</v>
      </c>
      <c r="J91" s="1041"/>
      <c r="K91" s="1041"/>
      <c r="L91" s="1041"/>
      <c r="M91" s="1041"/>
      <c r="N91" s="1041"/>
      <c r="O91" s="1041"/>
      <c r="P91" s="1041"/>
    </row>
    <row r="92" spans="2:20" ht="14.25">
      <c r="B92" s="1062" t="s">
        <v>860</v>
      </c>
      <c r="C92" s="1062"/>
      <c r="D92" s="1063" t="s">
        <v>846</v>
      </c>
      <c r="E92" s="1064">
        <f>(E87^E88*E89)/2</f>
        <v>0</v>
      </c>
      <c r="J92" s="1041"/>
      <c r="K92" s="1041"/>
      <c r="L92" s="1041" t="s">
        <v>914</v>
      </c>
      <c r="M92" s="1041" t="s">
        <v>908</v>
      </c>
      <c r="N92" s="1041"/>
      <c r="O92" s="1041"/>
      <c r="P92" s="1041"/>
    </row>
    <row r="93" spans="2:20">
      <c r="B93" s="1062" t="s">
        <v>847</v>
      </c>
      <c r="C93" s="1062"/>
      <c r="D93" s="1063" t="s">
        <v>848</v>
      </c>
      <c r="E93" s="1064">
        <f>E87^E88-1</f>
        <v>3</v>
      </c>
      <c r="J93" s="1041"/>
      <c r="K93" s="1041" t="s">
        <v>909</v>
      </c>
      <c r="L93" s="1041">
        <f t="shared" ref="L93:M98" si="6">L83</f>
        <v>0</v>
      </c>
      <c r="M93" s="1041">
        <f t="shared" si="6"/>
        <v>0</v>
      </c>
      <c r="N93" s="1041"/>
      <c r="O93" s="1041"/>
      <c r="P93" s="1041"/>
    </row>
    <row r="94" spans="2:20" ht="14.25">
      <c r="B94" s="1062"/>
      <c r="C94" s="1062"/>
      <c r="D94" s="1063" t="s">
        <v>923</v>
      </c>
      <c r="E94" s="978">
        <f>(FACT(E91+E92))/(FACT(E91)*FACT(E92))</f>
        <v>1</v>
      </c>
      <c r="J94" s="1041"/>
      <c r="K94" s="1041"/>
      <c r="L94" s="1041">
        <f t="shared" si="6"/>
        <v>0</v>
      </c>
      <c r="M94" s="1041">
        <f t="shared" si="6"/>
        <v>0</v>
      </c>
      <c r="N94" s="1041"/>
      <c r="O94" s="1041"/>
      <c r="P94" s="1041"/>
    </row>
    <row r="95" spans="2:20" ht="14.25">
      <c r="B95" s="1062"/>
      <c r="C95" s="1062"/>
      <c r="D95" s="1063" t="s">
        <v>862</v>
      </c>
      <c r="E95" s="978">
        <f>E91+E92</f>
        <v>0</v>
      </c>
      <c r="J95" s="1041"/>
      <c r="K95" s="1041"/>
      <c r="L95" s="1041">
        <f t="shared" si="6"/>
        <v>0</v>
      </c>
      <c r="M95" s="1041">
        <f t="shared" si="6"/>
        <v>0</v>
      </c>
      <c r="N95" s="1041"/>
      <c r="O95" s="1041"/>
      <c r="P95" s="1041"/>
    </row>
    <row r="96" spans="2:20">
      <c r="D96" s="1018" t="s">
        <v>849</v>
      </c>
      <c r="E96" s="997">
        <f>ROUNDUP(E95-(LN(E94*(1-(E90^(1/E93))))/LN(2)),0)</f>
        <v>6</v>
      </c>
      <c r="J96" s="1041"/>
      <c r="K96" s="1041" t="s">
        <v>910</v>
      </c>
      <c r="L96" s="1041">
        <f t="shared" si="6"/>
        <v>0</v>
      </c>
      <c r="M96" s="1041">
        <f t="shared" si="6"/>
        <v>0</v>
      </c>
      <c r="N96" s="1041"/>
      <c r="O96" s="1041"/>
      <c r="P96" s="1041"/>
    </row>
    <row r="97" spans="2:16">
      <c r="D97" s="973"/>
      <c r="J97" s="1041"/>
      <c r="K97" s="1041"/>
      <c r="L97" s="1041">
        <f t="shared" si="6"/>
        <v>0</v>
      </c>
      <c r="M97" s="1041">
        <f t="shared" si="6"/>
        <v>0</v>
      </c>
      <c r="N97" s="1041"/>
      <c r="O97" s="1041"/>
      <c r="P97" s="1041"/>
    </row>
    <row r="98" spans="2:16">
      <c r="D98" s="1025" t="s">
        <v>850</v>
      </c>
      <c r="E98" s="1026">
        <f>(E87^E88)*E89</f>
        <v>0</v>
      </c>
      <c r="J98" s="1041"/>
      <c r="K98" s="1041"/>
      <c r="L98" s="1041">
        <f t="shared" si="6"/>
        <v>0</v>
      </c>
      <c r="M98" s="1041">
        <f t="shared" si="6"/>
        <v>0</v>
      </c>
      <c r="N98" s="1041"/>
      <c r="O98" s="1041"/>
      <c r="P98" s="1041"/>
    </row>
    <row r="99" spans="2:16">
      <c r="J99" s="1041"/>
      <c r="K99" s="1041"/>
      <c r="L99" s="1041"/>
      <c r="M99" s="1041"/>
      <c r="N99" s="1041"/>
      <c r="O99" s="1041"/>
      <c r="P99" s="1041"/>
    </row>
    <row r="100" spans="2:16">
      <c r="J100" s="1041"/>
      <c r="K100" s="1041" t="s">
        <v>909</v>
      </c>
      <c r="L100" s="1041">
        <f>AVERAGE(L93:L95)</f>
        <v>0</v>
      </c>
      <c r="M100" s="1041">
        <f>AVERAGE(M93:M95)</f>
        <v>0</v>
      </c>
      <c r="N100" s="1041"/>
      <c r="O100" s="1041"/>
      <c r="P100" s="1041"/>
    </row>
    <row r="101" spans="2:16">
      <c r="J101" s="1041"/>
      <c r="K101" s="1041" t="s">
        <v>910</v>
      </c>
      <c r="L101" s="1041">
        <f>AVERAGE(L96:L98)</f>
        <v>0</v>
      </c>
      <c r="M101" s="1041">
        <f>AVERAGE(M96:M98)</f>
        <v>0</v>
      </c>
      <c r="N101" s="1041"/>
      <c r="O101" s="1041"/>
      <c r="P101" s="1041"/>
    </row>
    <row r="103" spans="2:16">
      <c r="B103" s="1065" t="s">
        <v>915</v>
      </c>
    </row>
    <row r="104" spans="2:16">
      <c r="B104" s="1041"/>
      <c r="C104" s="1041"/>
      <c r="D104" s="1041"/>
      <c r="E104" s="1066" t="s">
        <v>855</v>
      </c>
      <c r="F104" s="1067">
        <f>1-C4</f>
        <v>5.0000000000000044E-2</v>
      </c>
    </row>
    <row r="105" spans="2:16">
      <c r="B105" s="1041"/>
      <c r="C105" s="1041"/>
      <c r="D105" s="1041"/>
      <c r="E105" s="657" t="s">
        <v>924</v>
      </c>
      <c r="F105" s="1067">
        <f>1-((1-F104)^(1/3))</f>
        <v>1.6952427508441503E-2</v>
      </c>
    </row>
    <row r="106" spans="2:16">
      <c r="B106" s="1041"/>
      <c r="C106" s="1041"/>
      <c r="D106" s="1041"/>
      <c r="E106" s="658" t="s">
        <v>916</v>
      </c>
      <c r="F106" s="1067">
        <f>1-F105</f>
        <v>0.9830475724915585</v>
      </c>
    </row>
    <row r="108" spans="2:16">
      <c r="B108" s="1041" t="s">
        <v>917</v>
      </c>
      <c r="C108" s="1041"/>
      <c r="D108" s="1041"/>
      <c r="E108" s="1041"/>
      <c r="F108" s="1041"/>
    </row>
    <row r="109" spans="2:16">
      <c r="B109" s="1068" t="s">
        <v>498</v>
      </c>
      <c r="C109" s="1068" t="s">
        <v>453</v>
      </c>
      <c r="D109" s="1069" t="s">
        <v>858</v>
      </c>
      <c r="E109" s="1070" t="s">
        <v>854</v>
      </c>
      <c r="F109" s="1069" t="s">
        <v>460</v>
      </c>
    </row>
    <row r="110" spans="2:16">
      <c r="B110" s="1041">
        <f>4*F4</f>
        <v>12</v>
      </c>
      <c r="C110" s="1059">
        <f>B110/2</f>
        <v>6</v>
      </c>
      <c r="D110" s="1047">
        <f t="shared" ref="D110:D115" si="7">1-F110</f>
        <v>0.5</v>
      </c>
      <c r="E110" s="1059">
        <v>1</v>
      </c>
      <c r="F110" s="1047">
        <f>C110/B110</f>
        <v>0.5</v>
      </c>
    </row>
    <row r="111" spans="2:16">
      <c r="B111" s="1041">
        <f t="shared" ref="B111:C115" si="8">B110-1</f>
        <v>11</v>
      </c>
      <c r="C111" s="1059">
        <f t="shared" si="8"/>
        <v>5</v>
      </c>
      <c r="D111" s="1047">
        <f t="shared" si="7"/>
        <v>0.77272727272727271</v>
      </c>
      <c r="E111" s="1059">
        <v>2</v>
      </c>
      <c r="F111" s="1047">
        <f>F110*(C111/B111)</f>
        <v>0.22727272727272727</v>
      </c>
    </row>
    <row r="112" spans="2:16">
      <c r="B112" s="1041">
        <f t="shared" si="8"/>
        <v>10</v>
      </c>
      <c r="C112" s="1059">
        <f t="shared" si="8"/>
        <v>4</v>
      </c>
      <c r="D112" s="1047">
        <f t="shared" si="7"/>
        <v>0.90909090909090906</v>
      </c>
      <c r="E112" s="1059">
        <v>3</v>
      </c>
      <c r="F112" s="1047">
        <f>F111*(C112/B112)</f>
        <v>9.0909090909090912E-2</v>
      </c>
    </row>
    <row r="113" spans="1:8">
      <c r="B113" s="1041">
        <f t="shared" si="8"/>
        <v>9</v>
      </c>
      <c r="C113" s="1059">
        <f t="shared" si="8"/>
        <v>3</v>
      </c>
      <c r="D113" s="1047">
        <f t="shared" si="7"/>
        <v>0.96969696969696972</v>
      </c>
      <c r="E113" s="1059">
        <v>4</v>
      </c>
      <c r="F113" s="1047">
        <f>F112*(C113/B113)</f>
        <v>3.0303030303030304E-2</v>
      </c>
    </row>
    <row r="114" spans="1:8">
      <c r="B114" s="1041">
        <f t="shared" si="8"/>
        <v>8</v>
      </c>
      <c r="C114" s="1059">
        <f t="shared" si="8"/>
        <v>2</v>
      </c>
      <c r="D114" s="1047">
        <f t="shared" si="7"/>
        <v>0.99242424242424243</v>
      </c>
      <c r="E114" s="1059">
        <v>5</v>
      </c>
      <c r="F114" s="1047">
        <f>F113*(C114/B114)</f>
        <v>7.575757575757576E-3</v>
      </c>
    </row>
    <row r="115" spans="1:8">
      <c r="B115" s="1041">
        <f t="shared" si="8"/>
        <v>7</v>
      </c>
      <c r="C115" s="1059">
        <f t="shared" si="8"/>
        <v>1</v>
      </c>
      <c r="D115" s="1047">
        <f t="shared" si="7"/>
        <v>0.99891774891774887</v>
      </c>
      <c r="E115" s="1059">
        <v>6</v>
      </c>
      <c r="F115" s="1047">
        <f>F114*(C115/B115)</f>
        <v>1.0822510822510823E-3</v>
      </c>
    </row>
    <row r="117" spans="1:8">
      <c r="B117" s="1071"/>
      <c r="C117" s="1071"/>
      <c r="D117" s="1071"/>
      <c r="E117" s="1072" t="s">
        <v>918</v>
      </c>
      <c r="F117" s="1073">
        <f>LOOKUP(F106,D110:D115,E110:E115)+1</f>
        <v>5</v>
      </c>
    </row>
    <row r="122" spans="1:8" ht="13.5" thickBot="1">
      <c r="B122" s="1074" t="s">
        <v>114</v>
      </c>
      <c r="C122" s="1074" t="s">
        <v>115</v>
      </c>
      <c r="D122" s="1074" t="s">
        <v>886</v>
      </c>
      <c r="E122" s="979"/>
      <c r="F122" s="1074" t="s">
        <v>114</v>
      </c>
      <c r="G122" s="1074" t="s">
        <v>115</v>
      </c>
      <c r="H122" s="1074" t="s">
        <v>886</v>
      </c>
    </row>
    <row r="123" spans="1:8">
      <c r="A123" s="978">
        <v>1</v>
      </c>
      <c r="B123" s="1075" t="str">
        <f>IF(E7="","",1)</f>
        <v/>
      </c>
      <c r="C123" s="1075">
        <f>IF(F7="","",1)</f>
        <v>1</v>
      </c>
      <c r="D123" s="1075" t="str">
        <f>IF(G7="","",1)</f>
        <v/>
      </c>
      <c r="F123" s="1075" t="str">
        <f>IF(E7="","",1)</f>
        <v/>
      </c>
      <c r="G123" s="1075">
        <f>IF(F7="","",1)</f>
        <v>1</v>
      </c>
      <c r="H123" s="1075" t="str">
        <f>IF(G7="","",1)</f>
        <v/>
      </c>
    </row>
    <row r="124" spans="1:8">
      <c r="A124" s="978">
        <v>2</v>
      </c>
      <c r="B124" s="1076" t="str">
        <f>IF(D34=D33,1,"")</f>
        <v/>
      </c>
      <c r="C124" s="1076">
        <f>IF(E34=E33,1,"")</f>
        <v>1</v>
      </c>
      <c r="D124" s="1076" t="str">
        <f>IF(F34=F33,1,"")</f>
        <v/>
      </c>
      <c r="F124" s="1076" t="str">
        <f>IF(D34=D33,1,"")</f>
        <v/>
      </c>
      <c r="G124" s="1076">
        <f>IF(E34=E33,1,"")</f>
        <v>1</v>
      </c>
      <c r="H124" s="1076" t="str">
        <f>IF(F34=F33,1,"")</f>
        <v/>
      </c>
    </row>
    <row r="125" spans="1:8">
      <c r="A125" s="978">
        <v>3</v>
      </c>
      <c r="B125" s="1076" t="str">
        <f t="shared" ref="B125:B134" si="9">IF(AND(D35=D34,B124=1),1,"")</f>
        <v/>
      </c>
      <c r="C125" s="1076" t="str">
        <f t="shared" ref="C125:C134" si="10">IF(AND(E35=E34,C124=1),1,"")</f>
        <v/>
      </c>
      <c r="D125" s="1076" t="str">
        <f t="shared" ref="D125:D134" si="11">IF(AND(F35=F34,D124=1),1,"")</f>
        <v/>
      </c>
      <c r="F125" s="1076" t="str">
        <f t="shared" ref="F125:H130" si="12">IF(AND(D35=D34,B124=1),1,"")</f>
        <v/>
      </c>
      <c r="G125" s="1076" t="str">
        <f t="shared" si="12"/>
        <v/>
      </c>
      <c r="H125" s="1076" t="str">
        <f t="shared" si="12"/>
        <v/>
      </c>
    </row>
    <row r="126" spans="1:8">
      <c r="A126" s="978">
        <v>4</v>
      </c>
      <c r="B126" s="1076" t="str">
        <f t="shared" si="9"/>
        <v/>
      </c>
      <c r="C126" s="1076" t="str">
        <f t="shared" si="10"/>
        <v/>
      </c>
      <c r="D126" s="1076" t="str">
        <f t="shared" si="11"/>
        <v/>
      </c>
      <c r="F126" s="1076" t="str">
        <f t="shared" si="12"/>
        <v/>
      </c>
      <c r="G126" s="1076" t="str">
        <f t="shared" si="12"/>
        <v/>
      </c>
      <c r="H126" s="1076" t="str">
        <f t="shared" si="12"/>
        <v/>
      </c>
    </row>
    <row r="127" spans="1:8">
      <c r="A127" s="978">
        <v>5</v>
      </c>
      <c r="B127" s="1076" t="str">
        <f t="shared" si="9"/>
        <v/>
      </c>
      <c r="C127" s="1076" t="str">
        <f t="shared" si="10"/>
        <v/>
      </c>
      <c r="D127" s="1076" t="str">
        <f t="shared" si="11"/>
        <v/>
      </c>
      <c r="F127" s="1076" t="str">
        <f t="shared" si="12"/>
        <v/>
      </c>
      <c r="G127" s="1076" t="str">
        <f t="shared" si="12"/>
        <v/>
      </c>
      <c r="H127" s="1076" t="str">
        <f t="shared" si="12"/>
        <v/>
      </c>
    </row>
    <row r="128" spans="1:8">
      <c r="A128" s="978">
        <v>6</v>
      </c>
      <c r="B128" s="1076" t="str">
        <f t="shared" si="9"/>
        <v/>
      </c>
      <c r="C128" s="1076" t="str">
        <f t="shared" si="10"/>
        <v/>
      </c>
      <c r="D128" s="1076" t="str">
        <f t="shared" si="11"/>
        <v/>
      </c>
      <c r="F128" s="1076" t="str">
        <f t="shared" si="12"/>
        <v/>
      </c>
      <c r="G128" s="1076" t="str">
        <f t="shared" si="12"/>
        <v/>
      </c>
      <c r="H128" s="1076" t="str">
        <f t="shared" si="12"/>
        <v/>
      </c>
    </row>
    <row r="129" spans="1:8">
      <c r="A129" s="978">
        <v>7</v>
      </c>
      <c r="B129" s="1076" t="str">
        <f t="shared" si="9"/>
        <v/>
      </c>
      <c r="C129" s="1076" t="str">
        <f t="shared" si="10"/>
        <v/>
      </c>
      <c r="D129" s="1076" t="str">
        <f t="shared" si="11"/>
        <v/>
      </c>
      <c r="F129" s="1076" t="str">
        <f t="shared" si="12"/>
        <v/>
      </c>
      <c r="G129" s="1076" t="str">
        <f t="shared" si="12"/>
        <v/>
      </c>
      <c r="H129" s="1076" t="str">
        <f t="shared" si="12"/>
        <v/>
      </c>
    </row>
    <row r="130" spans="1:8" ht="13.5" thickBot="1">
      <c r="A130" s="978">
        <v>8</v>
      </c>
      <c r="B130" s="1076" t="str">
        <f t="shared" si="9"/>
        <v/>
      </c>
      <c r="C130" s="1076" t="str">
        <f t="shared" si="10"/>
        <v/>
      </c>
      <c r="D130" s="1076" t="str">
        <f t="shared" si="11"/>
        <v/>
      </c>
      <c r="F130" s="1077" t="str">
        <f t="shared" si="12"/>
        <v/>
      </c>
      <c r="G130" s="1077" t="str">
        <f t="shared" si="12"/>
        <v/>
      </c>
      <c r="H130" s="1077" t="str">
        <f t="shared" si="12"/>
        <v/>
      </c>
    </row>
    <row r="131" spans="1:8" ht="13.5" thickTop="1">
      <c r="A131" s="978">
        <v>9</v>
      </c>
      <c r="B131" s="1076" t="str">
        <f t="shared" si="9"/>
        <v/>
      </c>
      <c r="C131" s="1076" t="str">
        <f t="shared" si="10"/>
        <v/>
      </c>
      <c r="D131" s="1076" t="str">
        <f t="shared" si="11"/>
        <v/>
      </c>
      <c r="F131" s="1075">
        <f>SUM(F119:F130)</f>
        <v>0</v>
      </c>
      <c r="G131" s="1075">
        <f>SUM(G119:G130)</f>
        <v>2</v>
      </c>
      <c r="H131" s="1075">
        <f>SUM(H119:H130)</f>
        <v>0</v>
      </c>
    </row>
    <row r="132" spans="1:8">
      <c r="A132" s="978">
        <v>10</v>
      </c>
      <c r="B132" s="1076" t="str">
        <f t="shared" si="9"/>
        <v/>
      </c>
      <c r="C132" s="1076" t="str">
        <f t="shared" si="10"/>
        <v/>
      </c>
      <c r="D132" s="1076" t="str">
        <f t="shared" si="11"/>
        <v/>
      </c>
    </row>
    <row r="133" spans="1:8">
      <c r="A133" s="978">
        <v>11</v>
      </c>
      <c r="B133" s="1076" t="str">
        <f t="shared" si="9"/>
        <v/>
      </c>
      <c r="C133" s="1076" t="str">
        <f t="shared" si="10"/>
        <v/>
      </c>
      <c r="D133" s="1076" t="str">
        <f t="shared" si="11"/>
        <v/>
      </c>
    </row>
    <row r="134" spans="1:8" ht="13.5" thickBot="1">
      <c r="A134" s="978">
        <v>12</v>
      </c>
      <c r="B134" s="1077" t="str">
        <f t="shared" si="9"/>
        <v/>
      </c>
      <c r="C134" s="1077" t="str">
        <f t="shared" si="10"/>
        <v/>
      </c>
      <c r="D134" s="1077" t="str">
        <f t="shared" si="11"/>
        <v/>
      </c>
    </row>
    <row r="135" spans="1:8" ht="13.5" thickTop="1">
      <c r="B135" s="1075">
        <f>SUM(B123:B134)</f>
        <v>0</v>
      </c>
      <c r="C135" s="1075">
        <f>SUM(C123:C134)</f>
        <v>2</v>
      </c>
      <c r="D135" s="1075">
        <f>SUM(D123:D134)</f>
        <v>0</v>
      </c>
    </row>
  </sheetData>
  <sheetProtection password="CC08" sheet="1" scenarios="1"/>
  <protectedRanges>
    <protectedRange sqref="C1:G1 C2:I3 F4 C4 E7:E12 G7:G12" name="Range1"/>
  </protectedRanges>
  <sortState ref="Q56:T67">
    <sortCondition ref="T56"/>
  </sortState>
  <mergeCells count="7">
    <mergeCell ref="B55:F55"/>
    <mergeCell ref="B70:F70"/>
    <mergeCell ref="X1:AA1"/>
    <mergeCell ref="N21:S23"/>
    <mergeCell ref="V2:AC2"/>
    <mergeCell ref="L4:S4"/>
    <mergeCell ref="M24:Q24"/>
  </mergeCells>
  <phoneticPr fontId="100" type="noConversion"/>
  <conditionalFormatting sqref="P26:P28">
    <cfRule type="cellIs" dxfId="2" priority="1" stopIfTrue="1" operator="greaterThanOrEqual">
      <formula>$P$29</formula>
    </cfRule>
  </conditionalFormatting>
  <conditionalFormatting sqref="M26:M28">
    <cfRule type="expression" dxfId="1" priority="2" stopIfTrue="1">
      <formula>$P26&gt;=$P$29</formula>
    </cfRule>
  </conditionalFormatting>
  <conditionalFormatting sqref="Q26:Q28">
    <cfRule type="cellIs" dxfId="0" priority="3" stopIfTrue="1" operator="greaterThanOrEqual">
      <formula>$Q$30</formula>
    </cfRule>
  </conditionalFormatting>
  <pageMargins left="0.75" right="0.75" top="1" bottom="1" header="0.5" footer="0.5"/>
  <pageSetup orientation="portrait" r:id="rId1"/>
  <headerFooter alignWithMargins="0">
    <oddHeader>&amp;C&amp;"Times New Roman,Bold"&amp;12 2&amp;X2&amp;X Full Factorial DOE</oddHeader>
    <oddFooter>&amp;L&amp;F&amp;CPage &amp;P of &amp;N&amp;R&amp;D</oddFooter>
  </headerFooter>
  <drawing r:id="rId2"/>
  <legacyDrawing r:id="rId3"/>
  <oleObjects>
    <oleObject progId="Equation.3" shapeId="72713" r:id="rId4"/>
  </oleObjects>
  <controls>
    <control shapeId="72714" r:id="rId5" name="MainMenu"/>
  </controls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6"/>
  <dimension ref="A1:AB55"/>
  <sheetViews>
    <sheetView showGridLines="0" zoomScale="115" workbookViewId="0">
      <selection sqref="A1:B1"/>
    </sheetView>
  </sheetViews>
  <sheetFormatPr defaultRowHeight="12.75"/>
  <cols>
    <col min="2" max="2" width="10" bestFit="1" customWidth="1"/>
    <col min="3" max="4" width="9.5703125" bestFit="1" customWidth="1"/>
    <col min="5" max="5" width="4.28515625" hidden="1" customWidth="1"/>
    <col min="6" max="6" width="15.42578125" hidden="1" customWidth="1"/>
    <col min="7" max="24" width="9.140625" hidden="1" customWidth="1"/>
    <col min="25" max="25" width="10.140625" bestFit="1" customWidth="1"/>
    <col min="26" max="26" width="21.140625" customWidth="1"/>
    <col min="30" max="30" width="19.5703125" bestFit="1" customWidth="1"/>
  </cols>
  <sheetData>
    <row r="1" spans="1:28">
      <c r="A1" s="1670" t="s">
        <v>1144</v>
      </c>
      <c r="B1" s="1671"/>
      <c r="C1" s="1670" t="s">
        <v>1145</v>
      </c>
      <c r="D1" s="1671"/>
      <c r="E1" s="911"/>
      <c r="G1" s="1555" t="s">
        <v>1114</v>
      </c>
      <c r="H1" s="1555"/>
      <c r="I1" s="1555"/>
      <c r="J1" s="1555"/>
      <c r="K1" s="1555"/>
      <c r="L1" s="1668"/>
      <c r="M1" s="1668"/>
      <c r="N1" s="1668"/>
      <c r="O1" s="1668"/>
      <c r="P1" s="1668"/>
      <c r="Q1" s="1668"/>
      <c r="R1" s="1668"/>
      <c r="S1" s="1668"/>
      <c r="T1" s="1668"/>
      <c r="U1" s="1668"/>
      <c r="V1" s="1668"/>
    </row>
    <row r="2" spans="1:28">
      <c r="A2" s="881" t="s">
        <v>1115</v>
      </c>
      <c r="B2" s="881" t="s">
        <v>1116</v>
      </c>
      <c r="C2" s="881" t="s">
        <v>1115</v>
      </c>
      <c r="D2" s="881" t="s">
        <v>1116</v>
      </c>
      <c r="E2" s="262"/>
      <c r="G2" s="109" t="s">
        <v>1117</v>
      </c>
      <c r="H2" s="1080" t="s">
        <v>1118</v>
      </c>
      <c r="I2" s="1080" t="s">
        <v>1119</v>
      </c>
      <c r="J2" s="1080" t="s">
        <v>1120</v>
      </c>
      <c r="K2" s="1080" t="s">
        <v>1121</v>
      </c>
      <c r="L2" s="1080" t="s">
        <v>1122</v>
      </c>
      <c r="M2" s="1080" t="s">
        <v>1123</v>
      </c>
      <c r="N2" s="1080" t="s">
        <v>1124</v>
      </c>
      <c r="O2" s="1080" t="s">
        <v>1125</v>
      </c>
      <c r="P2" s="1080" t="s">
        <v>1126</v>
      </c>
      <c r="Q2" s="1080" t="s">
        <v>1127</v>
      </c>
      <c r="R2" s="1080" t="s">
        <v>1128</v>
      </c>
      <c r="S2" s="1080" t="s">
        <v>1129</v>
      </c>
      <c r="T2" s="1080" t="s">
        <v>1130</v>
      </c>
      <c r="U2" s="1080" t="s">
        <v>1131</v>
      </c>
      <c r="V2" s="1080" t="s">
        <v>1132</v>
      </c>
      <c r="AA2" s="1620" t="str">
        <f>A1</f>
        <v>Gold Standard</v>
      </c>
      <c r="AB2" s="1620"/>
    </row>
    <row r="3" spans="1:28">
      <c r="A3" s="1079"/>
      <c r="B3" s="1079"/>
      <c r="C3" s="1079"/>
      <c r="D3" s="1079"/>
      <c r="E3" s="96"/>
      <c r="G3" s="1081" t="str">
        <f t="shared" ref="G3:G30" si="0">IF(AND(A3="p",B3="p",C3="p",D3="p"),1,"")</f>
        <v/>
      </c>
      <c r="H3" s="1082" t="str">
        <f t="shared" ref="H3:H30" si="1">IF(AND(A3="n",B3="p",C3="p",D3="p"),1,"")</f>
        <v/>
      </c>
      <c r="I3" s="1082" t="str">
        <f t="shared" ref="I3:I30" si="2">IF(AND(A3="p",B3="n",C3="p",D3="p"),1,"")</f>
        <v/>
      </c>
      <c r="J3" s="1082" t="str">
        <f t="shared" ref="J3:J30" si="3">IF(AND(A3="n",B3="n",C3="p",D3="p"),1,"")</f>
        <v/>
      </c>
      <c r="K3" s="1082" t="str">
        <f t="shared" ref="K3:K30" si="4">IF(AND(A3="p",B3="p",C3="n",D3="p"),1,"")</f>
        <v/>
      </c>
      <c r="L3" s="1082" t="str">
        <f t="shared" ref="L3:L30" si="5">IF(AND(A3="n",B3="p",C3="n",D3="p"),1,"")</f>
        <v/>
      </c>
      <c r="M3" s="1082" t="str">
        <f t="shared" ref="M3:M30" si="6">IF(AND(A3="p",B3="n",C3="n",D3="p"),1,"")</f>
        <v/>
      </c>
      <c r="N3" s="1082" t="str">
        <f t="shared" ref="N3:N30" si="7">IF(AND(A3="n",B3="n",C3="n",D3="p"),1,"")</f>
        <v/>
      </c>
      <c r="O3" s="1082" t="str">
        <f t="shared" ref="O3:O30" si="8">IF(AND(A3="p",B3="p",C3="p",D3="n"),1,"")</f>
        <v/>
      </c>
      <c r="P3" s="1082" t="str">
        <f t="shared" ref="P3:P30" si="9">IF(AND(A3="n",B3="p",C3="p",D3="n"),1,"")</f>
        <v/>
      </c>
      <c r="Q3" s="1082" t="str">
        <f t="shared" ref="Q3:Q30" si="10">IF(AND(A3="p",B3="n",C3="p",D3="n"),1,"")</f>
        <v/>
      </c>
      <c r="R3" s="1082" t="str">
        <f t="shared" ref="R3:R30" si="11">IF(AND(A3="n",B3="n",C3="p",D3="n"),1,"")</f>
        <v/>
      </c>
      <c r="S3" s="1082" t="str">
        <f t="shared" ref="S3:S30" si="12">IF(AND(A3="p",B3="p",C3="n",D3="n"),1,"")</f>
        <v/>
      </c>
      <c r="T3" s="1082" t="str">
        <f t="shared" ref="T3:T30" si="13">IF(AND(A3="n",B3="p",C3="n",D3="n"),1,"")</f>
        <v/>
      </c>
      <c r="U3" s="1082" t="str">
        <f t="shared" ref="U3:U30" si="14">IF(AND(A3="p",B3="n",C3="n",D3="n"),1,"")</f>
        <v/>
      </c>
      <c r="V3" s="1081" t="str">
        <f t="shared" ref="V3:V30" si="15">IF(AND(A3="n",B3="n",C3="n",D3="n"),1,"")</f>
        <v/>
      </c>
      <c r="X3" s="101">
        <v>3</v>
      </c>
      <c r="AA3" s="881" t="s">
        <v>1133</v>
      </c>
      <c r="AB3" s="881" t="s">
        <v>527</v>
      </c>
    </row>
    <row r="4" spans="1:28">
      <c r="A4" s="1079"/>
      <c r="B4" s="1079"/>
      <c r="C4" s="1079"/>
      <c r="D4" s="1079"/>
      <c r="E4" s="96"/>
      <c r="G4" s="1081" t="str">
        <f t="shared" si="0"/>
        <v/>
      </c>
      <c r="H4" s="1082" t="str">
        <f t="shared" si="1"/>
        <v/>
      </c>
      <c r="I4" s="1082" t="str">
        <f t="shared" si="2"/>
        <v/>
      </c>
      <c r="J4" s="1082" t="str">
        <f t="shared" si="3"/>
        <v/>
      </c>
      <c r="K4" s="1082" t="str">
        <f t="shared" si="4"/>
        <v/>
      </c>
      <c r="L4" s="1082" t="str">
        <f t="shared" si="5"/>
        <v/>
      </c>
      <c r="M4" s="1082" t="str">
        <f t="shared" si="6"/>
        <v/>
      </c>
      <c r="N4" s="1082" t="str">
        <f t="shared" si="7"/>
        <v/>
      </c>
      <c r="O4" s="1082" t="str">
        <f t="shared" si="8"/>
        <v/>
      </c>
      <c r="P4" s="1082" t="str">
        <f t="shared" si="9"/>
        <v/>
      </c>
      <c r="Q4" s="1082" t="str">
        <f t="shared" si="10"/>
        <v/>
      </c>
      <c r="R4" s="1082" t="str">
        <f t="shared" si="11"/>
        <v/>
      </c>
      <c r="S4" s="1082" t="str">
        <f t="shared" si="12"/>
        <v/>
      </c>
      <c r="T4" s="1082" t="str">
        <f t="shared" si="13"/>
        <v/>
      </c>
      <c r="U4" s="1082" t="str">
        <f t="shared" si="14"/>
        <v/>
      </c>
      <c r="V4" s="1081" t="str">
        <f t="shared" si="15"/>
        <v/>
      </c>
      <c r="X4" s="101">
        <v>4</v>
      </c>
      <c r="Y4" s="1635" t="str">
        <f>C1</f>
        <v>Test</v>
      </c>
      <c r="Z4" s="881" t="s">
        <v>1133</v>
      </c>
      <c r="AA4" s="95">
        <f>SUM(G3:G30)*4+SUM(H3:H30)*2+SUM(I3:I30)*2+SUM(K3:K30)*2+SUM(L3:L30)*1+SUM(M3:M30)*1+SUM(O3:O30)*2+SUM(Q3:Q30)*1</f>
        <v>0</v>
      </c>
      <c r="AB4" s="95">
        <f>SUM(H3:H30)*2+SUM(I3:I30)*2+SUM(J3:J30)*4+SUM(L3:L30)*1+SUM(M3:M30)*1+SUM(N3:N30)*2+SUM(P3:P30)*1+SUM(Q3:Q30)*1+SUM(R3:R30)*2</f>
        <v>0</v>
      </c>
    </row>
    <row r="5" spans="1:28">
      <c r="A5" s="1079"/>
      <c r="B5" s="1079"/>
      <c r="C5" s="1079"/>
      <c r="D5" s="1079"/>
      <c r="E5" s="96"/>
      <c r="G5" s="1081" t="str">
        <f t="shared" si="0"/>
        <v/>
      </c>
      <c r="H5" s="1082" t="str">
        <f t="shared" si="1"/>
        <v/>
      </c>
      <c r="I5" s="1082" t="str">
        <f t="shared" si="2"/>
        <v/>
      </c>
      <c r="J5" s="1082" t="str">
        <f t="shared" si="3"/>
        <v/>
      </c>
      <c r="K5" s="1082" t="str">
        <f t="shared" si="4"/>
        <v/>
      </c>
      <c r="L5" s="1082" t="str">
        <f t="shared" si="5"/>
        <v/>
      </c>
      <c r="M5" s="1082" t="str">
        <f t="shared" si="6"/>
        <v/>
      </c>
      <c r="N5" s="1082" t="str">
        <f t="shared" si="7"/>
        <v/>
      </c>
      <c r="O5" s="1082" t="str">
        <f t="shared" si="8"/>
        <v/>
      </c>
      <c r="P5" s="1082" t="str">
        <f t="shared" si="9"/>
        <v/>
      </c>
      <c r="Q5" s="1082" t="str">
        <f t="shared" si="10"/>
        <v/>
      </c>
      <c r="R5" s="1082" t="str">
        <f t="shared" si="11"/>
        <v/>
      </c>
      <c r="S5" s="1082" t="str">
        <f t="shared" si="12"/>
        <v/>
      </c>
      <c r="T5" s="1082" t="str">
        <f t="shared" si="13"/>
        <v/>
      </c>
      <c r="U5" s="1082" t="str">
        <f t="shared" si="14"/>
        <v/>
      </c>
      <c r="V5" s="1081" t="str">
        <f t="shared" si="15"/>
        <v/>
      </c>
      <c r="X5" s="101">
        <v>5</v>
      </c>
      <c r="Y5" s="1635"/>
      <c r="Z5" s="881" t="s">
        <v>527</v>
      </c>
      <c r="AA5" s="95">
        <f>SUM(K3:K30)*2+SUM(L3:L30)*1+SUM(M3:M30)*1+SUM(O3:O30)*2+SUM(P3:P30)*1+SUM(Q3:Q30)*1+SUM(S3:S30)*4+SUM(T3:T30)*2+SUM(U3:U30)*2</f>
        <v>0</v>
      </c>
      <c r="AB5" s="95">
        <f>SUM(V3:V30)*4+SUM(U3:U30)*2+SUM(T3:T30)*2+SUM(R3:R30)*2+SUM(Q3:Q30)*1+SUM(P3:P30)*1+SUM(N3:N30)*2+SUM(M3:M30)*1+SUM(L3:L30)*1</f>
        <v>0</v>
      </c>
    </row>
    <row r="6" spans="1:28">
      <c r="A6" s="1079"/>
      <c r="B6" s="1079"/>
      <c r="C6" s="1079"/>
      <c r="D6" s="1079"/>
      <c r="E6" s="96"/>
      <c r="G6" s="1081" t="str">
        <f t="shared" si="0"/>
        <v/>
      </c>
      <c r="H6" s="1082" t="str">
        <f t="shared" si="1"/>
        <v/>
      </c>
      <c r="I6" s="1082" t="str">
        <f t="shared" si="2"/>
        <v/>
      </c>
      <c r="J6" s="1082" t="str">
        <f t="shared" si="3"/>
        <v/>
      </c>
      <c r="K6" s="1082" t="str">
        <f t="shared" si="4"/>
        <v/>
      </c>
      <c r="L6" s="1082" t="str">
        <f t="shared" si="5"/>
        <v/>
      </c>
      <c r="M6" s="1082" t="str">
        <f t="shared" si="6"/>
        <v/>
      </c>
      <c r="N6" s="1082" t="str">
        <f t="shared" si="7"/>
        <v/>
      </c>
      <c r="O6" s="1082" t="str">
        <f t="shared" si="8"/>
        <v/>
      </c>
      <c r="P6" s="1082" t="str">
        <f t="shared" si="9"/>
        <v/>
      </c>
      <c r="Q6" s="1082" t="str">
        <f t="shared" si="10"/>
        <v/>
      </c>
      <c r="R6" s="1082" t="str">
        <f t="shared" si="11"/>
        <v/>
      </c>
      <c r="S6" s="1082" t="str">
        <f t="shared" si="12"/>
        <v/>
      </c>
      <c r="T6" s="1082" t="str">
        <f t="shared" si="13"/>
        <v/>
      </c>
      <c r="U6" s="1082" t="str">
        <f t="shared" si="14"/>
        <v/>
      </c>
      <c r="V6" s="1081" t="str">
        <f t="shared" si="15"/>
        <v/>
      </c>
      <c r="X6" s="101">
        <v>6</v>
      </c>
      <c r="AA6" s="109" t="s">
        <v>1134</v>
      </c>
      <c r="AB6" s="109" t="s">
        <v>1135</v>
      </c>
    </row>
    <row r="7" spans="1:28">
      <c r="A7" s="1079"/>
      <c r="B7" s="1079"/>
      <c r="C7" s="1079"/>
      <c r="D7" s="1079"/>
      <c r="E7" s="96"/>
      <c r="G7" s="1081" t="str">
        <f t="shared" si="0"/>
        <v/>
      </c>
      <c r="H7" s="1082" t="str">
        <f t="shared" si="1"/>
        <v/>
      </c>
      <c r="I7" s="1082" t="str">
        <f t="shared" si="2"/>
        <v/>
      </c>
      <c r="J7" s="1082" t="str">
        <f t="shared" si="3"/>
        <v/>
      </c>
      <c r="K7" s="1082" t="str">
        <f t="shared" si="4"/>
        <v/>
      </c>
      <c r="L7" s="1082" t="str">
        <f t="shared" si="5"/>
        <v/>
      </c>
      <c r="M7" s="1082" t="str">
        <f t="shared" si="6"/>
        <v/>
      </c>
      <c r="N7" s="1082" t="str">
        <f t="shared" si="7"/>
        <v/>
      </c>
      <c r="O7" s="1082" t="str">
        <f t="shared" si="8"/>
        <v/>
      </c>
      <c r="P7" s="1082" t="str">
        <f t="shared" si="9"/>
        <v/>
      </c>
      <c r="Q7" s="1082" t="str">
        <f t="shared" si="10"/>
        <v/>
      </c>
      <c r="R7" s="1082" t="str">
        <f t="shared" si="11"/>
        <v/>
      </c>
      <c r="S7" s="1082" t="str">
        <f t="shared" si="12"/>
        <v/>
      </c>
      <c r="T7" s="1082" t="str">
        <f t="shared" si="13"/>
        <v/>
      </c>
      <c r="U7" s="1082" t="str">
        <f t="shared" si="14"/>
        <v/>
      </c>
      <c r="V7" s="1081" t="str">
        <f t="shared" si="15"/>
        <v/>
      </c>
      <c r="X7" s="101">
        <v>7</v>
      </c>
      <c r="AA7" s="1083" t="e">
        <f>AA4/(AA5+AA4)</f>
        <v>#DIV/0!</v>
      </c>
      <c r="AB7" s="1083" t="e">
        <f>AB5/(AB5+AB4)</f>
        <v>#DIV/0!</v>
      </c>
    </row>
    <row r="8" spans="1:28">
      <c r="A8" s="1079"/>
      <c r="B8" s="1079"/>
      <c r="C8" s="1079"/>
      <c r="D8" s="1079"/>
      <c r="E8" s="96"/>
      <c r="G8" s="1081" t="str">
        <f t="shared" si="0"/>
        <v/>
      </c>
      <c r="H8" s="1082" t="str">
        <f t="shared" si="1"/>
        <v/>
      </c>
      <c r="I8" s="1082" t="str">
        <f t="shared" si="2"/>
        <v/>
      </c>
      <c r="J8" s="1082" t="str">
        <f t="shared" si="3"/>
        <v/>
      </c>
      <c r="K8" s="1082" t="str">
        <f t="shared" si="4"/>
        <v/>
      </c>
      <c r="L8" s="1082" t="str">
        <f t="shared" si="5"/>
        <v/>
      </c>
      <c r="M8" s="1082" t="str">
        <f t="shared" si="6"/>
        <v/>
      </c>
      <c r="N8" s="1082" t="str">
        <f t="shared" si="7"/>
        <v/>
      </c>
      <c r="O8" s="1082" t="str">
        <f t="shared" si="8"/>
        <v/>
      </c>
      <c r="P8" s="1082" t="str">
        <f t="shared" si="9"/>
        <v/>
      </c>
      <c r="Q8" s="1082" t="str">
        <f t="shared" si="10"/>
        <v/>
      </c>
      <c r="R8" s="1082" t="str">
        <f t="shared" si="11"/>
        <v/>
      </c>
      <c r="S8" s="1082" t="str">
        <f t="shared" si="12"/>
        <v/>
      </c>
      <c r="T8" s="1082" t="str">
        <f t="shared" si="13"/>
        <v/>
      </c>
      <c r="U8" s="1082" t="str">
        <f t="shared" si="14"/>
        <v/>
      </c>
      <c r="V8" s="1081" t="str">
        <f t="shared" si="15"/>
        <v/>
      </c>
      <c r="X8" s="101">
        <v>8</v>
      </c>
    </row>
    <row r="9" spans="1:28">
      <c r="A9" s="1079"/>
      <c r="B9" s="1079"/>
      <c r="C9" s="1079"/>
      <c r="D9" s="1079"/>
      <c r="E9" s="96"/>
      <c r="G9" s="1081" t="str">
        <f t="shared" si="0"/>
        <v/>
      </c>
      <c r="H9" s="1082" t="str">
        <f t="shared" si="1"/>
        <v/>
      </c>
      <c r="I9" s="1082" t="str">
        <f t="shared" si="2"/>
        <v/>
      </c>
      <c r="J9" s="1082" t="str">
        <f t="shared" si="3"/>
        <v/>
      </c>
      <c r="K9" s="1082" t="str">
        <f t="shared" si="4"/>
        <v/>
      </c>
      <c r="L9" s="1082" t="str">
        <f t="shared" si="5"/>
        <v/>
      </c>
      <c r="M9" s="1082" t="str">
        <f t="shared" si="6"/>
        <v/>
      </c>
      <c r="N9" s="1082" t="str">
        <f t="shared" si="7"/>
        <v/>
      </c>
      <c r="O9" s="1082" t="str">
        <f t="shared" si="8"/>
        <v/>
      </c>
      <c r="P9" s="1082" t="str">
        <f t="shared" si="9"/>
        <v/>
      </c>
      <c r="Q9" s="1082" t="str">
        <f t="shared" si="10"/>
        <v/>
      </c>
      <c r="R9" s="1082" t="str">
        <f t="shared" si="11"/>
        <v/>
      </c>
      <c r="S9" s="1082" t="str">
        <f t="shared" si="12"/>
        <v/>
      </c>
      <c r="T9" s="1082" t="str">
        <f t="shared" si="13"/>
        <v/>
      </c>
      <c r="U9" s="1082" t="str">
        <f t="shared" si="14"/>
        <v/>
      </c>
      <c r="V9" s="1081" t="str">
        <f t="shared" si="15"/>
        <v/>
      </c>
      <c r="W9" s="911"/>
      <c r="X9" s="1084">
        <v>9</v>
      </c>
    </row>
    <row r="10" spans="1:28">
      <c r="A10" s="1079"/>
      <c r="B10" s="1079"/>
      <c r="C10" s="1079"/>
      <c r="D10" s="1079"/>
      <c r="E10" s="96"/>
      <c r="G10" s="1081" t="str">
        <f t="shared" si="0"/>
        <v/>
      </c>
      <c r="H10" s="1082" t="str">
        <f t="shared" si="1"/>
        <v/>
      </c>
      <c r="I10" s="1082" t="str">
        <f t="shared" si="2"/>
        <v/>
      </c>
      <c r="J10" s="1082" t="str">
        <f t="shared" si="3"/>
        <v/>
      </c>
      <c r="K10" s="1082" t="str">
        <f t="shared" si="4"/>
        <v/>
      </c>
      <c r="L10" s="1082" t="str">
        <f t="shared" si="5"/>
        <v/>
      </c>
      <c r="M10" s="1082" t="str">
        <f t="shared" si="6"/>
        <v/>
      </c>
      <c r="N10" s="1082" t="str">
        <f t="shared" si="7"/>
        <v/>
      </c>
      <c r="O10" s="1082" t="str">
        <f t="shared" si="8"/>
        <v/>
      </c>
      <c r="P10" s="1082" t="str">
        <f t="shared" si="9"/>
        <v/>
      </c>
      <c r="Q10" s="1082" t="str">
        <f t="shared" si="10"/>
        <v/>
      </c>
      <c r="R10" s="1082" t="str">
        <f t="shared" si="11"/>
        <v/>
      </c>
      <c r="S10" s="1082" t="str">
        <f t="shared" si="12"/>
        <v/>
      </c>
      <c r="T10" s="1082" t="str">
        <f t="shared" si="13"/>
        <v/>
      </c>
      <c r="U10" s="1082" t="str">
        <f t="shared" si="14"/>
        <v/>
      </c>
      <c r="V10" s="1081" t="str">
        <f t="shared" si="15"/>
        <v/>
      </c>
      <c r="X10" s="101">
        <v>11</v>
      </c>
      <c r="Z10" s="437" t="s">
        <v>1136</v>
      </c>
      <c r="AA10" s="437" t="s">
        <v>1134</v>
      </c>
      <c r="AB10" s="437" t="s">
        <v>1135</v>
      </c>
    </row>
    <row r="11" spans="1:28" ht="12.75" customHeight="1">
      <c r="A11" s="1079"/>
      <c r="B11" s="1079"/>
      <c r="C11" s="1079"/>
      <c r="D11" s="1079"/>
      <c r="E11" s="96"/>
      <c r="G11" s="1081" t="str">
        <f t="shared" si="0"/>
        <v/>
      </c>
      <c r="H11" s="1082" t="str">
        <f t="shared" si="1"/>
        <v/>
      </c>
      <c r="I11" s="1082" t="str">
        <f t="shared" si="2"/>
        <v/>
      </c>
      <c r="J11" s="1082" t="str">
        <f t="shared" si="3"/>
        <v/>
      </c>
      <c r="K11" s="1082" t="str">
        <f t="shared" si="4"/>
        <v/>
      </c>
      <c r="L11" s="1082" t="str">
        <f t="shared" si="5"/>
        <v/>
      </c>
      <c r="M11" s="1082" t="str">
        <f t="shared" si="6"/>
        <v/>
      </c>
      <c r="N11" s="1082" t="str">
        <f t="shared" si="7"/>
        <v/>
      </c>
      <c r="O11" s="1082" t="str">
        <f t="shared" si="8"/>
        <v/>
      </c>
      <c r="P11" s="1082" t="str">
        <f t="shared" si="9"/>
        <v/>
      </c>
      <c r="Q11" s="1082" t="str">
        <f t="shared" si="10"/>
        <v/>
      </c>
      <c r="R11" s="1082" t="str">
        <f t="shared" si="11"/>
        <v/>
      </c>
      <c r="S11" s="1082" t="str">
        <f t="shared" si="12"/>
        <v/>
      </c>
      <c r="T11" s="1082" t="str">
        <f t="shared" si="13"/>
        <v/>
      </c>
      <c r="U11" s="1082" t="str">
        <f t="shared" si="14"/>
        <v/>
      </c>
      <c r="V11" s="1081" t="str">
        <f t="shared" si="15"/>
        <v/>
      </c>
      <c r="X11" s="101">
        <v>14</v>
      </c>
      <c r="Z11" s="95" t="s">
        <v>1137</v>
      </c>
      <c r="AA11" s="1130" t="e">
        <f>W35/W39</f>
        <v>#DIV/0!</v>
      </c>
      <c r="AB11" s="1130" t="e">
        <f>W40/W44</f>
        <v>#DIV/0!</v>
      </c>
    </row>
    <row r="12" spans="1:28">
      <c r="A12" s="1079"/>
      <c r="B12" s="1079"/>
      <c r="C12" s="1079"/>
      <c r="D12" s="1079"/>
      <c r="E12" s="96"/>
      <c r="G12" s="1081" t="str">
        <f t="shared" si="0"/>
        <v/>
      </c>
      <c r="H12" s="1082" t="str">
        <f t="shared" si="1"/>
        <v/>
      </c>
      <c r="I12" s="1082" t="str">
        <f t="shared" si="2"/>
        <v/>
      </c>
      <c r="J12" s="1082" t="str">
        <f t="shared" si="3"/>
        <v/>
      </c>
      <c r="K12" s="1082" t="str">
        <f t="shared" si="4"/>
        <v/>
      </c>
      <c r="L12" s="1082" t="str">
        <f t="shared" si="5"/>
        <v/>
      </c>
      <c r="M12" s="1082" t="str">
        <f t="shared" si="6"/>
        <v/>
      </c>
      <c r="N12" s="1082" t="str">
        <f t="shared" si="7"/>
        <v/>
      </c>
      <c r="O12" s="1082" t="str">
        <f t="shared" si="8"/>
        <v/>
      </c>
      <c r="P12" s="1082" t="str">
        <f t="shared" si="9"/>
        <v/>
      </c>
      <c r="Q12" s="1082" t="str">
        <f t="shared" si="10"/>
        <v/>
      </c>
      <c r="R12" s="1082" t="str">
        <f t="shared" si="11"/>
        <v/>
      </c>
      <c r="S12" s="1082" t="str">
        <f t="shared" si="12"/>
        <v/>
      </c>
      <c r="T12" s="1082" t="str">
        <f t="shared" si="13"/>
        <v/>
      </c>
      <c r="U12" s="1082" t="str">
        <f t="shared" si="14"/>
        <v/>
      </c>
      <c r="V12" s="1081" t="str">
        <f t="shared" si="15"/>
        <v/>
      </c>
      <c r="X12" s="101">
        <v>19</v>
      </c>
      <c r="Z12" s="95" t="str">
        <f>"Within " &amp;A1</f>
        <v>Within Gold Standard</v>
      </c>
      <c r="AA12" s="1085" t="e">
        <f>W36/W39</f>
        <v>#DIV/0!</v>
      </c>
      <c r="AB12" s="1085" t="e">
        <f>W41/W44</f>
        <v>#DIV/0!</v>
      </c>
    </row>
    <row r="13" spans="1:28">
      <c r="A13" s="1079"/>
      <c r="B13" s="1079"/>
      <c r="C13" s="1079"/>
      <c r="D13" s="1079"/>
      <c r="E13" s="96"/>
      <c r="G13" s="1081" t="str">
        <f t="shared" si="0"/>
        <v/>
      </c>
      <c r="H13" s="1082" t="str">
        <f t="shared" si="1"/>
        <v/>
      </c>
      <c r="I13" s="1082" t="str">
        <f t="shared" si="2"/>
        <v/>
      </c>
      <c r="J13" s="1082" t="str">
        <f t="shared" si="3"/>
        <v/>
      </c>
      <c r="K13" s="1082" t="str">
        <f t="shared" si="4"/>
        <v/>
      </c>
      <c r="L13" s="1082" t="str">
        <f t="shared" si="5"/>
        <v/>
      </c>
      <c r="M13" s="1082" t="str">
        <f t="shared" si="6"/>
        <v/>
      </c>
      <c r="N13" s="1082" t="str">
        <f t="shared" si="7"/>
        <v/>
      </c>
      <c r="O13" s="1082" t="str">
        <f t="shared" si="8"/>
        <v/>
      </c>
      <c r="P13" s="1082" t="str">
        <f t="shared" si="9"/>
        <v/>
      </c>
      <c r="Q13" s="1082" t="str">
        <f t="shared" si="10"/>
        <v/>
      </c>
      <c r="R13" s="1082" t="str">
        <f t="shared" si="11"/>
        <v/>
      </c>
      <c r="S13" s="1082" t="str">
        <f t="shared" si="12"/>
        <v/>
      </c>
      <c r="T13" s="1082" t="str">
        <f t="shared" si="13"/>
        <v/>
      </c>
      <c r="U13" s="1082" t="str">
        <f t="shared" si="14"/>
        <v/>
      </c>
      <c r="V13" s="1081" t="str">
        <f t="shared" si="15"/>
        <v/>
      </c>
      <c r="X13" s="101">
        <v>20</v>
      </c>
      <c r="Z13" s="95" t="str">
        <f xml:space="preserve"> "Within " &amp; C1</f>
        <v>Within Test</v>
      </c>
      <c r="AA13" s="1085" t="e">
        <f>W37/W39</f>
        <v>#DIV/0!</v>
      </c>
      <c r="AB13" s="1085" t="e">
        <f>W42/W44</f>
        <v>#DIV/0!</v>
      </c>
    </row>
    <row r="14" spans="1:28">
      <c r="A14" s="1079"/>
      <c r="B14" s="1079"/>
      <c r="C14" s="1079"/>
      <c r="D14" s="1079"/>
      <c r="E14" s="96"/>
      <c r="G14" s="1081" t="str">
        <f t="shared" si="0"/>
        <v/>
      </c>
      <c r="H14" s="1082" t="str">
        <f t="shared" si="1"/>
        <v/>
      </c>
      <c r="I14" s="1082" t="str">
        <f t="shared" si="2"/>
        <v/>
      </c>
      <c r="J14" s="1082" t="str">
        <f t="shared" si="3"/>
        <v/>
      </c>
      <c r="K14" s="1082" t="str">
        <f t="shared" si="4"/>
        <v/>
      </c>
      <c r="L14" s="1082" t="str">
        <f t="shared" si="5"/>
        <v/>
      </c>
      <c r="M14" s="1082" t="str">
        <f t="shared" si="6"/>
        <v/>
      </c>
      <c r="N14" s="1082" t="str">
        <f t="shared" si="7"/>
        <v/>
      </c>
      <c r="O14" s="1082" t="str">
        <f t="shared" si="8"/>
        <v/>
      </c>
      <c r="P14" s="1082" t="str">
        <f t="shared" si="9"/>
        <v/>
      </c>
      <c r="Q14" s="1082" t="str">
        <f t="shared" si="10"/>
        <v/>
      </c>
      <c r="R14" s="1082" t="str">
        <f t="shared" si="11"/>
        <v/>
      </c>
      <c r="S14" s="1082" t="str">
        <f t="shared" si="12"/>
        <v/>
      </c>
      <c r="T14" s="1082" t="str">
        <f t="shared" si="13"/>
        <v/>
      </c>
      <c r="U14" s="1082" t="str">
        <f t="shared" si="14"/>
        <v/>
      </c>
      <c r="V14" s="1081" t="str">
        <f t="shared" si="15"/>
        <v/>
      </c>
      <c r="X14" s="101">
        <v>21</v>
      </c>
      <c r="Z14" s="95" t="str">
        <f>"Between  Tests"</f>
        <v>Between  Tests</v>
      </c>
      <c r="AA14" s="1085" t="e">
        <f>W38/W39</f>
        <v>#DIV/0!</v>
      </c>
      <c r="AB14" s="1085" t="e">
        <f>W43/W44</f>
        <v>#DIV/0!</v>
      </c>
    </row>
    <row r="15" spans="1:28">
      <c r="A15" s="1079"/>
      <c r="B15" s="1079"/>
      <c r="C15" s="1079"/>
      <c r="D15" s="1079"/>
      <c r="E15" s="96"/>
      <c r="G15" s="1081" t="str">
        <f t="shared" si="0"/>
        <v/>
      </c>
      <c r="H15" s="1082" t="str">
        <f t="shared" si="1"/>
        <v/>
      </c>
      <c r="I15" s="1082" t="str">
        <f t="shared" si="2"/>
        <v/>
      </c>
      <c r="J15" s="1082" t="str">
        <f t="shared" si="3"/>
        <v/>
      </c>
      <c r="K15" s="1082" t="str">
        <f t="shared" si="4"/>
        <v/>
      </c>
      <c r="L15" s="1082" t="str">
        <f t="shared" si="5"/>
        <v/>
      </c>
      <c r="M15" s="1082" t="str">
        <f t="shared" si="6"/>
        <v/>
      </c>
      <c r="N15" s="1082" t="str">
        <f t="shared" si="7"/>
        <v/>
      </c>
      <c r="O15" s="1082" t="str">
        <f t="shared" si="8"/>
        <v/>
      </c>
      <c r="P15" s="1082" t="str">
        <f t="shared" si="9"/>
        <v/>
      </c>
      <c r="Q15" s="1082" t="str">
        <f t="shared" si="10"/>
        <v/>
      </c>
      <c r="R15" s="1082" t="str">
        <f t="shared" si="11"/>
        <v/>
      </c>
      <c r="S15" s="1082" t="str">
        <f t="shared" si="12"/>
        <v/>
      </c>
      <c r="T15" s="1082" t="str">
        <f t="shared" si="13"/>
        <v/>
      </c>
      <c r="U15" s="1082" t="str">
        <f t="shared" si="14"/>
        <v/>
      </c>
      <c r="V15" s="1081" t="str">
        <f t="shared" si="15"/>
        <v/>
      </c>
      <c r="X15" s="101">
        <v>22</v>
      </c>
    </row>
    <row r="16" spans="1:28">
      <c r="A16" s="1079"/>
      <c r="B16" s="1079"/>
      <c r="C16" s="1079"/>
      <c r="D16" s="1079"/>
      <c r="E16" s="96"/>
      <c r="G16" s="1081" t="str">
        <f t="shared" si="0"/>
        <v/>
      </c>
      <c r="H16" s="1082" t="str">
        <f t="shared" si="1"/>
        <v/>
      </c>
      <c r="I16" s="1082" t="str">
        <f t="shared" si="2"/>
        <v/>
      </c>
      <c r="J16" s="1082" t="str">
        <f t="shared" si="3"/>
        <v/>
      </c>
      <c r="K16" s="1082" t="str">
        <f t="shared" si="4"/>
        <v/>
      </c>
      <c r="L16" s="1082" t="str">
        <f t="shared" si="5"/>
        <v/>
      </c>
      <c r="M16" s="1082" t="str">
        <f t="shared" si="6"/>
        <v/>
      </c>
      <c r="N16" s="1082" t="str">
        <f t="shared" si="7"/>
        <v/>
      </c>
      <c r="O16" s="1082" t="str">
        <f t="shared" si="8"/>
        <v/>
      </c>
      <c r="P16" s="1082" t="str">
        <f t="shared" si="9"/>
        <v/>
      </c>
      <c r="Q16" s="1082" t="str">
        <f t="shared" si="10"/>
        <v/>
      </c>
      <c r="R16" s="1082" t="str">
        <f t="shared" si="11"/>
        <v/>
      </c>
      <c r="S16" s="1082" t="str">
        <f t="shared" si="12"/>
        <v/>
      </c>
      <c r="T16" s="1082" t="str">
        <f t="shared" si="13"/>
        <v/>
      </c>
      <c r="U16" s="1082" t="str">
        <f t="shared" si="14"/>
        <v/>
      </c>
      <c r="V16" s="1081" t="str">
        <f t="shared" si="15"/>
        <v/>
      </c>
      <c r="X16" s="101">
        <v>23</v>
      </c>
    </row>
    <row r="17" spans="1:26">
      <c r="A17" s="1079"/>
      <c r="B17" s="1079"/>
      <c r="C17" s="1079"/>
      <c r="D17" s="1079"/>
      <c r="E17" s="96"/>
      <c r="G17" s="1081" t="str">
        <f t="shared" si="0"/>
        <v/>
      </c>
      <c r="H17" s="1082" t="str">
        <f t="shared" si="1"/>
        <v/>
      </c>
      <c r="I17" s="1082" t="str">
        <f t="shared" si="2"/>
        <v/>
      </c>
      <c r="J17" s="1082" t="str">
        <f t="shared" si="3"/>
        <v/>
      </c>
      <c r="K17" s="1082" t="str">
        <f t="shared" si="4"/>
        <v/>
      </c>
      <c r="L17" s="1082" t="str">
        <f t="shared" si="5"/>
        <v/>
      </c>
      <c r="M17" s="1082" t="str">
        <f t="shared" si="6"/>
        <v/>
      </c>
      <c r="N17" s="1082" t="str">
        <f t="shared" si="7"/>
        <v/>
      </c>
      <c r="O17" s="1082" t="str">
        <f t="shared" si="8"/>
        <v/>
      </c>
      <c r="P17" s="1082" t="str">
        <f t="shared" si="9"/>
        <v/>
      </c>
      <c r="Q17" s="1082" t="str">
        <f t="shared" si="10"/>
        <v/>
      </c>
      <c r="R17" s="1082" t="str">
        <f t="shared" si="11"/>
        <v/>
      </c>
      <c r="S17" s="1082" t="str">
        <f t="shared" si="12"/>
        <v/>
      </c>
      <c r="T17" s="1082" t="str">
        <f t="shared" si="13"/>
        <v/>
      </c>
      <c r="U17" s="1082" t="str">
        <f t="shared" si="14"/>
        <v/>
      </c>
      <c r="V17" s="1081" t="str">
        <f t="shared" si="15"/>
        <v/>
      </c>
      <c r="X17" s="101">
        <v>26</v>
      </c>
      <c r="Z17" s="835" t="s">
        <v>1402</v>
      </c>
    </row>
    <row r="18" spans="1:26">
      <c r="A18" s="1079"/>
      <c r="B18" s="1079"/>
      <c r="C18" s="1079"/>
      <c r="D18" s="1079"/>
      <c r="E18" s="96"/>
      <c r="G18" s="1081" t="str">
        <f t="shared" si="0"/>
        <v/>
      </c>
      <c r="H18" s="1082" t="str">
        <f t="shared" si="1"/>
        <v/>
      </c>
      <c r="I18" s="1082" t="str">
        <f t="shared" si="2"/>
        <v/>
      </c>
      <c r="J18" s="1082" t="str">
        <f t="shared" si="3"/>
        <v/>
      </c>
      <c r="K18" s="1082" t="str">
        <f t="shared" si="4"/>
        <v/>
      </c>
      <c r="L18" s="1082" t="str">
        <f t="shared" si="5"/>
        <v/>
      </c>
      <c r="M18" s="1082" t="str">
        <f t="shared" si="6"/>
        <v/>
      </c>
      <c r="N18" s="1082" t="str">
        <f t="shared" si="7"/>
        <v/>
      </c>
      <c r="O18" s="1082" t="str">
        <f t="shared" si="8"/>
        <v/>
      </c>
      <c r="P18" s="1082" t="str">
        <f t="shared" si="9"/>
        <v/>
      </c>
      <c r="Q18" s="1082" t="str">
        <f t="shared" si="10"/>
        <v/>
      </c>
      <c r="R18" s="1082" t="str">
        <f t="shared" si="11"/>
        <v/>
      </c>
      <c r="S18" s="1082" t="str">
        <f t="shared" si="12"/>
        <v/>
      </c>
      <c r="T18" s="1082" t="str">
        <f t="shared" si="13"/>
        <v/>
      </c>
      <c r="U18" s="1082" t="str">
        <f t="shared" si="14"/>
        <v/>
      </c>
      <c r="V18" s="1081" t="str">
        <f t="shared" si="15"/>
        <v/>
      </c>
      <c r="X18" s="101">
        <v>30</v>
      </c>
    </row>
    <row r="19" spans="1:26">
      <c r="A19" s="1079"/>
      <c r="B19" s="1079"/>
      <c r="C19" s="1079"/>
      <c r="D19" s="1079"/>
      <c r="E19" s="96"/>
      <c r="G19" s="1081" t="str">
        <f t="shared" si="0"/>
        <v/>
      </c>
      <c r="H19" s="1082" t="str">
        <f t="shared" si="1"/>
        <v/>
      </c>
      <c r="I19" s="1082" t="str">
        <f t="shared" si="2"/>
        <v/>
      </c>
      <c r="J19" s="1082" t="str">
        <f t="shared" si="3"/>
        <v/>
      </c>
      <c r="K19" s="1082" t="str">
        <f t="shared" si="4"/>
        <v/>
      </c>
      <c r="L19" s="1082" t="str">
        <f t="shared" si="5"/>
        <v/>
      </c>
      <c r="M19" s="1082" t="str">
        <f t="shared" si="6"/>
        <v/>
      </c>
      <c r="N19" s="1082" t="str">
        <f t="shared" si="7"/>
        <v/>
      </c>
      <c r="O19" s="1082" t="str">
        <f t="shared" si="8"/>
        <v/>
      </c>
      <c r="P19" s="1082" t="str">
        <f t="shared" si="9"/>
        <v/>
      </c>
      <c r="Q19" s="1082" t="str">
        <f t="shared" si="10"/>
        <v/>
      </c>
      <c r="R19" s="1082" t="str">
        <f t="shared" si="11"/>
        <v/>
      </c>
      <c r="S19" s="1082" t="str">
        <f t="shared" si="12"/>
        <v/>
      </c>
      <c r="T19" s="1082" t="str">
        <f t="shared" si="13"/>
        <v/>
      </c>
      <c r="U19" s="1082" t="str">
        <f t="shared" si="14"/>
        <v/>
      </c>
      <c r="V19" s="1081" t="str">
        <f t="shared" si="15"/>
        <v/>
      </c>
      <c r="X19" s="101">
        <v>48</v>
      </c>
    </row>
    <row r="20" spans="1:26">
      <c r="A20" s="1079"/>
      <c r="B20" s="1079"/>
      <c r="C20" s="1079"/>
      <c r="D20" s="1079"/>
      <c r="E20" s="96"/>
      <c r="G20" s="1081" t="str">
        <f t="shared" si="0"/>
        <v/>
      </c>
      <c r="H20" s="1082" t="str">
        <f t="shared" si="1"/>
        <v/>
      </c>
      <c r="I20" s="1082" t="str">
        <f t="shared" si="2"/>
        <v/>
      </c>
      <c r="J20" s="1082" t="str">
        <f t="shared" si="3"/>
        <v/>
      </c>
      <c r="K20" s="1082" t="str">
        <f t="shared" si="4"/>
        <v/>
      </c>
      <c r="L20" s="1082" t="str">
        <f t="shared" si="5"/>
        <v/>
      </c>
      <c r="M20" s="1082" t="str">
        <f t="shared" si="6"/>
        <v/>
      </c>
      <c r="N20" s="1082" t="str">
        <f t="shared" si="7"/>
        <v/>
      </c>
      <c r="O20" s="1082" t="str">
        <f t="shared" si="8"/>
        <v/>
      </c>
      <c r="P20" s="1082" t="str">
        <f t="shared" si="9"/>
        <v/>
      </c>
      <c r="Q20" s="1082" t="str">
        <f t="shared" si="10"/>
        <v/>
      </c>
      <c r="R20" s="1082" t="str">
        <f t="shared" si="11"/>
        <v/>
      </c>
      <c r="S20" s="1082" t="str">
        <f t="shared" si="12"/>
        <v/>
      </c>
      <c r="T20" s="1082" t="str">
        <f t="shared" si="13"/>
        <v/>
      </c>
      <c r="U20" s="1082" t="str">
        <f t="shared" si="14"/>
        <v/>
      </c>
      <c r="V20" s="1081" t="str">
        <f t="shared" si="15"/>
        <v/>
      </c>
      <c r="X20" s="101">
        <v>50</v>
      </c>
    </row>
    <row r="21" spans="1:26">
      <c r="A21" s="1079"/>
      <c r="B21" s="1079"/>
      <c r="C21" s="1079"/>
      <c r="D21" s="1079"/>
      <c r="E21" s="96"/>
      <c r="G21" s="1081" t="str">
        <f t="shared" si="0"/>
        <v/>
      </c>
      <c r="H21" s="1082" t="str">
        <f t="shared" si="1"/>
        <v/>
      </c>
      <c r="I21" s="1082" t="str">
        <f t="shared" si="2"/>
        <v/>
      </c>
      <c r="J21" s="1082" t="str">
        <f t="shared" si="3"/>
        <v/>
      </c>
      <c r="K21" s="1082" t="str">
        <f t="shared" si="4"/>
        <v/>
      </c>
      <c r="L21" s="1082" t="str">
        <f t="shared" si="5"/>
        <v/>
      </c>
      <c r="M21" s="1082" t="str">
        <f t="shared" si="6"/>
        <v/>
      </c>
      <c r="N21" s="1082" t="str">
        <f t="shared" si="7"/>
        <v/>
      </c>
      <c r="O21" s="1082" t="str">
        <f t="shared" si="8"/>
        <v/>
      </c>
      <c r="P21" s="1082" t="str">
        <f t="shared" si="9"/>
        <v/>
      </c>
      <c r="Q21" s="1082" t="str">
        <f t="shared" si="10"/>
        <v/>
      </c>
      <c r="R21" s="1082" t="str">
        <f t="shared" si="11"/>
        <v/>
      </c>
      <c r="S21" s="1082" t="str">
        <f t="shared" si="12"/>
        <v/>
      </c>
      <c r="T21" s="1082" t="str">
        <f t="shared" si="13"/>
        <v/>
      </c>
      <c r="U21" s="1082" t="str">
        <f t="shared" si="14"/>
        <v/>
      </c>
      <c r="V21" s="1081" t="str">
        <f t="shared" si="15"/>
        <v/>
      </c>
      <c r="X21" s="101">
        <v>67</v>
      </c>
    </row>
    <row r="22" spans="1:26">
      <c r="A22" s="1079"/>
      <c r="B22" s="1079"/>
      <c r="C22" s="1079"/>
      <c r="D22" s="1079"/>
      <c r="E22" s="96"/>
      <c r="G22" s="1081" t="str">
        <f t="shared" si="0"/>
        <v/>
      </c>
      <c r="H22" s="1082" t="str">
        <f t="shared" si="1"/>
        <v/>
      </c>
      <c r="I22" s="1082" t="str">
        <f t="shared" si="2"/>
        <v/>
      </c>
      <c r="J22" s="1082" t="str">
        <f t="shared" si="3"/>
        <v/>
      </c>
      <c r="K22" s="1082" t="str">
        <f t="shared" si="4"/>
        <v/>
      </c>
      <c r="L22" s="1082" t="str">
        <f t="shared" si="5"/>
        <v/>
      </c>
      <c r="M22" s="1082" t="str">
        <f t="shared" si="6"/>
        <v/>
      </c>
      <c r="N22" s="1082" t="str">
        <f t="shared" si="7"/>
        <v/>
      </c>
      <c r="O22" s="1082" t="str">
        <f t="shared" si="8"/>
        <v/>
      </c>
      <c r="P22" s="1082" t="str">
        <f t="shared" si="9"/>
        <v/>
      </c>
      <c r="Q22" s="1082" t="str">
        <f t="shared" si="10"/>
        <v/>
      </c>
      <c r="R22" s="1082" t="str">
        <f t="shared" si="11"/>
        <v/>
      </c>
      <c r="S22" s="1082" t="str">
        <f t="shared" si="12"/>
        <v/>
      </c>
      <c r="T22" s="1082" t="str">
        <f t="shared" si="13"/>
        <v/>
      </c>
      <c r="U22" s="1082" t="str">
        <f t="shared" si="14"/>
        <v/>
      </c>
      <c r="V22" s="1081" t="str">
        <f t="shared" si="15"/>
        <v/>
      </c>
      <c r="X22" s="101">
        <v>68</v>
      </c>
    </row>
    <row r="23" spans="1:26">
      <c r="A23" s="1079"/>
      <c r="B23" s="1079"/>
      <c r="C23" s="1079"/>
      <c r="D23" s="1079"/>
      <c r="E23" s="96"/>
      <c r="G23" s="1081" t="str">
        <f t="shared" si="0"/>
        <v/>
      </c>
      <c r="H23" s="1082" t="str">
        <f t="shared" si="1"/>
        <v/>
      </c>
      <c r="I23" s="1082" t="str">
        <f t="shared" si="2"/>
        <v/>
      </c>
      <c r="J23" s="1082" t="str">
        <f t="shared" si="3"/>
        <v/>
      </c>
      <c r="K23" s="1082" t="str">
        <f t="shared" si="4"/>
        <v/>
      </c>
      <c r="L23" s="1082" t="str">
        <f t="shared" si="5"/>
        <v/>
      </c>
      <c r="M23" s="1082" t="str">
        <f t="shared" si="6"/>
        <v/>
      </c>
      <c r="N23" s="1082" t="str">
        <f t="shared" si="7"/>
        <v/>
      </c>
      <c r="O23" s="1082" t="str">
        <f t="shared" si="8"/>
        <v/>
      </c>
      <c r="P23" s="1082" t="str">
        <f t="shared" si="9"/>
        <v/>
      </c>
      <c r="Q23" s="1082" t="str">
        <f t="shared" si="10"/>
        <v/>
      </c>
      <c r="R23" s="1082" t="str">
        <f t="shared" si="11"/>
        <v/>
      </c>
      <c r="S23" s="1082" t="str">
        <f t="shared" si="12"/>
        <v/>
      </c>
      <c r="T23" s="1082" t="str">
        <f t="shared" si="13"/>
        <v/>
      </c>
      <c r="U23" s="1082" t="str">
        <f t="shared" si="14"/>
        <v/>
      </c>
      <c r="V23" s="1081" t="str">
        <f t="shared" si="15"/>
        <v/>
      </c>
      <c r="X23" s="101">
        <v>70</v>
      </c>
    </row>
    <row r="24" spans="1:26">
      <c r="A24" s="1079"/>
      <c r="B24" s="1079"/>
      <c r="C24" s="1079"/>
      <c r="D24" s="1079"/>
      <c r="E24" s="96"/>
      <c r="G24" s="1081" t="str">
        <f t="shared" si="0"/>
        <v/>
      </c>
      <c r="H24" s="1082" t="str">
        <f t="shared" si="1"/>
        <v/>
      </c>
      <c r="I24" s="1082" t="str">
        <f t="shared" si="2"/>
        <v/>
      </c>
      <c r="J24" s="1082" t="str">
        <f t="shared" si="3"/>
        <v/>
      </c>
      <c r="K24" s="1082" t="str">
        <f t="shared" si="4"/>
        <v/>
      </c>
      <c r="L24" s="1082" t="str">
        <f t="shared" si="5"/>
        <v/>
      </c>
      <c r="M24" s="1082" t="str">
        <f t="shared" si="6"/>
        <v/>
      </c>
      <c r="N24" s="1082" t="str">
        <f t="shared" si="7"/>
        <v/>
      </c>
      <c r="O24" s="1082" t="str">
        <f t="shared" si="8"/>
        <v/>
      </c>
      <c r="P24" s="1082" t="str">
        <f t="shared" si="9"/>
        <v/>
      </c>
      <c r="Q24" s="1082" t="str">
        <f t="shared" si="10"/>
        <v/>
      </c>
      <c r="R24" s="1082" t="str">
        <f t="shared" si="11"/>
        <v/>
      </c>
      <c r="S24" s="1082" t="str">
        <f t="shared" si="12"/>
        <v/>
      </c>
      <c r="T24" s="1082" t="str">
        <f t="shared" si="13"/>
        <v/>
      </c>
      <c r="U24" s="1082" t="str">
        <f t="shared" si="14"/>
        <v/>
      </c>
      <c r="V24" s="1081" t="str">
        <f t="shared" si="15"/>
        <v/>
      </c>
      <c r="X24" s="101">
        <v>75</v>
      </c>
    </row>
    <row r="25" spans="1:26">
      <c r="A25" s="1079"/>
      <c r="B25" s="1079"/>
      <c r="C25" s="1079"/>
      <c r="D25" s="1079"/>
      <c r="E25" s="96"/>
      <c r="G25" s="1081" t="str">
        <f t="shared" si="0"/>
        <v/>
      </c>
      <c r="H25" s="1082" t="str">
        <f t="shared" si="1"/>
        <v/>
      </c>
      <c r="I25" s="1082" t="str">
        <f t="shared" si="2"/>
        <v/>
      </c>
      <c r="J25" s="1082" t="str">
        <f t="shared" si="3"/>
        <v/>
      </c>
      <c r="K25" s="1082" t="str">
        <f t="shared" si="4"/>
        <v/>
      </c>
      <c r="L25" s="1082" t="str">
        <f t="shared" si="5"/>
        <v/>
      </c>
      <c r="M25" s="1082" t="str">
        <f t="shared" si="6"/>
        <v/>
      </c>
      <c r="N25" s="1082" t="str">
        <f t="shared" si="7"/>
        <v/>
      </c>
      <c r="O25" s="1082" t="str">
        <f t="shared" si="8"/>
        <v/>
      </c>
      <c r="P25" s="1082" t="str">
        <f t="shared" si="9"/>
        <v/>
      </c>
      <c r="Q25" s="1082" t="str">
        <f t="shared" si="10"/>
        <v/>
      </c>
      <c r="R25" s="1082" t="str">
        <f t="shared" si="11"/>
        <v/>
      </c>
      <c r="S25" s="1082" t="str">
        <f t="shared" si="12"/>
        <v/>
      </c>
      <c r="T25" s="1082" t="str">
        <f t="shared" si="13"/>
        <v/>
      </c>
      <c r="U25" s="1082" t="str">
        <f t="shared" si="14"/>
        <v/>
      </c>
      <c r="V25" s="1081" t="str">
        <f t="shared" si="15"/>
        <v/>
      </c>
      <c r="X25" s="101">
        <v>77</v>
      </c>
    </row>
    <row r="26" spans="1:26">
      <c r="A26" s="1079"/>
      <c r="B26" s="1079"/>
      <c r="C26" s="1079"/>
      <c r="D26" s="1079"/>
      <c r="E26" s="96"/>
      <c r="G26" s="1081" t="str">
        <f t="shared" si="0"/>
        <v/>
      </c>
      <c r="H26" s="1082" t="str">
        <f t="shared" si="1"/>
        <v/>
      </c>
      <c r="I26" s="1082" t="str">
        <f t="shared" si="2"/>
        <v/>
      </c>
      <c r="J26" s="1082" t="str">
        <f t="shared" si="3"/>
        <v/>
      </c>
      <c r="K26" s="1082" t="str">
        <f t="shared" si="4"/>
        <v/>
      </c>
      <c r="L26" s="1082" t="str">
        <f t="shared" si="5"/>
        <v/>
      </c>
      <c r="M26" s="1082" t="str">
        <f t="shared" si="6"/>
        <v/>
      </c>
      <c r="N26" s="1082" t="str">
        <f t="shared" si="7"/>
        <v/>
      </c>
      <c r="O26" s="1082" t="str">
        <f t="shared" si="8"/>
        <v/>
      </c>
      <c r="P26" s="1082" t="str">
        <f t="shared" si="9"/>
        <v/>
      </c>
      <c r="Q26" s="1082" t="str">
        <f t="shared" si="10"/>
        <v/>
      </c>
      <c r="R26" s="1082" t="str">
        <f t="shared" si="11"/>
        <v/>
      </c>
      <c r="S26" s="1082" t="str">
        <f t="shared" si="12"/>
        <v/>
      </c>
      <c r="T26" s="1082" t="str">
        <f t="shared" si="13"/>
        <v/>
      </c>
      <c r="U26" s="1082" t="str">
        <f t="shared" si="14"/>
        <v/>
      </c>
      <c r="V26" s="1081" t="str">
        <f t="shared" si="15"/>
        <v/>
      </c>
      <c r="X26" s="101">
        <v>79</v>
      </c>
    </row>
    <row r="27" spans="1:26">
      <c r="A27" s="1079"/>
      <c r="B27" s="1079"/>
      <c r="C27" s="1079"/>
      <c r="D27" s="1079"/>
      <c r="E27" s="96"/>
      <c r="G27" s="1081" t="str">
        <f t="shared" si="0"/>
        <v/>
      </c>
      <c r="H27" s="1082" t="str">
        <f t="shared" si="1"/>
        <v/>
      </c>
      <c r="I27" s="1082" t="str">
        <f t="shared" si="2"/>
        <v/>
      </c>
      <c r="J27" s="1082" t="str">
        <f t="shared" si="3"/>
        <v/>
      </c>
      <c r="K27" s="1082" t="str">
        <f t="shared" si="4"/>
        <v/>
      </c>
      <c r="L27" s="1082" t="str">
        <f t="shared" si="5"/>
        <v/>
      </c>
      <c r="M27" s="1082" t="str">
        <f t="shared" si="6"/>
        <v/>
      </c>
      <c r="N27" s="1082" t="str">
        <f t="shared" si="7"/>
        <v/>
      </c>
      <c r="O27" s="1082" t="str">
        <f t="shared" si="8"/>
        <v/>
      </c>
      <c r="P27" s="1082" t="str">
        <f t="shared" si="9"/>
        <v/>
      </c>
      <c r="Q27" s="1082" t="str">
        <f t="shared" si="10"/>
        <v/>
      </c>
      <c r="R27" s="1082" t="str">
        <f t="shared" si="11"/>
        <v/>
      </c>
      <c r="S27" s="1082" t="str">
        <f t="shared" si="12"/>
        <v/>
      </c>
      <c r="T27" s="1082" t="str">
        <f t="shared" si="13"/>
        <v/>
      </c>
      <c r="U27" s="1082" t="str">
        <f t="shared" si="14"/>
        <v/>
      </c>
      <c r="V27" s="1081" t="str">
        <f t="shared" si="15"/>
        <v/>
      </c>
      <c r="X27" s="101">
        <v>104</v>
      </c>
    </row>
    <row r="28" spans="1:26">
      <c r="A28" s="1079"/>
      <c r="B28" s="1079"/>
      <c r="C28" s="1079"/>
      <c r="D28" s="1079"/>
      <c r="E28" s="96"/>
      <c r="G28" s="1081" t="str">
        <f t="shared" si="0"/>
        <v/>
      </c>
      <c r="H28" s="1082" t="str">
        <f t="shared" si="1"/>
        <v/>
      </c>
      <c r="I28" s="1082" t="str">
        <f t="shared" si="2"/>
        <v/>
      </c>
      <c r="J28" s="1082" t="str">
        <f t="shared" si="3"/>
        <v/>
      </c>
      <c r="K28" s="1082" t="str">
        <f t="shared" si="4"/>
        <v/>
      </c>
      <c r="L28" s="1082" t="str">
        <f t="shared" si="5"/>
        <v/>
      </c>
      <c r="M28" s="1082" t="str">
        <f t="shared" si="6"/>
        <v/>
      </c>
      <c r="N28" s="1082" t="str">
        <f t="shared" si="7"/>
        <v/>
      </c>
      <c r="O28" s="1082" t="str">
        <f t="shared" si="8"/>
        <v/>
      </c>
      <c r="P28" s="1082" t="str">
        <f t="shared" si="9"/>
        <v/>
      </c>
      <c r="Q28" s="1082" t="str">
        <f t="shared" si="10"/>
        <v/>
      </c>
      <c r="R28" s="1082" t="str">
        <f t="shared" si="11"/>
        <v/>
      </c>
      <c r="S28" s="1082" t="str">
        <f t="shared" si="12"/>
        <v/>
      </c>
      <c r="T28" s="1082" t="str">
        <f t="shared" si="13"/>
        <v/>
      </c>
      <c r="U28" s="1082" t="str">
        <f t="shared" si="14"/>
        <v/>
      </c>
      <c r="V28" s="1081" t="str">
        <f t="shared" si="15"/>
        <v/>
      </c>
      <c r="X28" s="101">
        <v>105</v>
      </c>
    </row>
    <row r="29" spans="1:26">
      <c r="A29" s="1079"/>
      <c r="B29" s="1079"/>
      <c r="C29" s="1079"/>
      <c r="D29" s="1079"/>
      <c r="E29" s="96"/>
      <c r="G29" s="1081" t="str">
        <f t="shared" si="0"/>
        <v/>
      </c>
      <c r="H29" s="1082" t="str">
        <f t="shared" si="1"/>
        <v/>
      </c>
      <c r="I29" s="1082" t="str">
        <f t="shared" si="2"/>
        <v/>
      </c>
      <c r="J29" s="1082" t="str">
        <f t="shared" si="3"/>
        <v/>
      </c>
      <c r="K29" s="1082" t="str">
        <f t="shared" si="4"/>
        <v/>
      </c>
      <c r="L29" s="1082" t="str">
        <f t="shared" si="5"/>
        <v/>
      </c>
      <c r="M29" s="1082" t="str">
        <f t="shared" si="6"/>
        <v/>
      </c>
      <c r="N29" s="1082" t="str">
        <f t="shared" si="7"/>
        <v/>
      </c>
      <c r="O29" s="1082" t="str">
        <f t="shared" si="8"/>
        <v/>
      </c>
      <c r="P29" s="1082" t="str">
        <f t="shared" si="9"/>
        <v/>
      </c>
      <c r="Q29" s="1082" t="str">
        <f t="shared" si="10"/>
        <v/>
      </c>
      <c r="R29" s="1082" t="str">
        <f t="shared" si="11"/>
        <v/>
      </c>
      <c r="S29" s="1082" t="str">
        <f t="shared" si="12"/>
        <v/>
      </c>
      <c r="T29" s="1082" t="str">
        <f t="shared" si="13"/>
        <v/>
      </c>
      <c r="U29" s="1082" t="str">
        <f t="shared" si="14"/>
        <v/>
      </c>
      <c r="V29" s="1081" t="str">
        <f t="shared" si="15"/>
        <v/>
      </c>
      <c r="X29" s="101">
        <v>107</v>
      </c>
    </row>
    <row r="30" spans="1:26">
      <c r="A30" s="1079"/>
      <c r="B30" s="1079"/>
      <c r="C30" s="1079"/>
      <c r="D30" s="1079"/>
      <c r="E30" s="96"/>
      <c r="G30" s="1081" t="str">
        <f t="shared" si="0"/>
        <v/>
      </c>
      <c r="H30" s="1082" t="str">
        <f t="shared" si="1"/>
        <v/>
      </c>
      <c r="I30" s="1082" t="str">
        <f t="shared" si="2"/>
        <v/>
      </c>
      <c r="J30" s="1082" t="str">
        <f t="shared" si="3"/>
        <v/>
      </c>
      <c r="K30" s="1082" t="str">
        <f t="shared" si="4"/>
        <v/>
      </c>
      <c r="L30" s="1082" t="str">
        <f t="shared" si="5"/>
        <v/>
      </c>
      <c r="M30" s="1082" t="str">
        <f t="shared" si="6"/>
        <v/>
      </c>
      <c r="N30" s="1082" t="str">
        <f t="shared" si="7"/>
        <v/>
      </c>
      <c r="O30" s="1082" t="str">
        <f t="shared" si="8"/>
        <v/>
      </c>
      <c r="P30" s="1082" t="str">
        <f t="shared" si="9"/>
        <v/>
      </c>
      <c r="Q30" s="1082" t="str">
        <f t="shared" si="10"/>
        <v/>
      </c>
      <c r="R30" s="1082" t="str">
        <f t="shared" si="11"/>
        <v/>
      </c>
      <c r="S30" s="1082" t="str">
        <f t="shared" si="12"/>
        <v/>
      </c>
      <c r="T30" s="1082" t="str">
        <f t="shared" si="13"/>
        <v/>
      </c>
      <c r="U30" s="1082" t="str">
        <f t="shared" si="14"/>
        <v/>
      </c>
      <c r="V30" s="1081" t="str">
        <f t="shared" si="15"/>
        <v/>
      </c>
      <c r="X30" s="1086">
        <v>5</v>
      </c>
    </row>
    <row r="31" spans="1:26">
      <c r="A31" s="96"/>
      <c r="B31" s="96"/>
      <c r="C31" s="96"/>
      <c r="D31" s="96"/>
      <c r="E31" s="96"/>
      <c r="G31" s="1087"/>
      <c r="H31" s="1087"/>
      <c r="I31" s="1087"/>
      <c r="J31" s="1087"/>
      <c r="K31" s="1087"/>
      <c r="L31" s="1087"/>
      <c r="M31" s="1087"/>
      <c r="N31" s="1087"/>
      <c r="O31" s="1087"/>
      <c r="P31" s="1087"/>
      <c r="Q31" s="1087"/>
      <c r="R31" s="1087"/>
      <c r="S31" s="1087"/>
      <c r="T31" s="1087"/>
      <c r="U31" s="1087"/>
      <c r="V31" s="1087"/>
      <c r="W31" s="1088"/>
      <c r="X31" s="94"/>
    </row>
    <row r="32" spans="1:26" s="1362" customFormat="1" ht="12.75" customHeight="1">
      <c r="E32" s="1364" t="s">
        <v>1134</v>
      </c>
      <c r="F32" s="95" t="s">
        <v>1137</v>
      </c>
      <c r="G32" s="109" t="e">
        <f>SUM(#REF!)*4</f>
        <v>#REF!</v>
      </c>
      <c r="H32" s="1080" t="e">
        <f>SUM(#REF!)*2</f>
        <v>#REF!</v>
      </c>
      <c r="I32" s="1080" t="e">
        <f>SUM(#REF!)*2</f>
        <v>#REF!</v>
      </c>
      <c r="J32" s="1080"/>
      <c r="K32" s="1080" t="e">
        <f>SUM(#REF!)*2</f>
        <v>#REF!</v>
      </c>
      <c r="L32" s="1080" t="e">
        <f>SUM(#REF!)</f>
        <v>#REF!</v>
      </c>
      <c r="M32" s="1080" t="e">
        <f>SUM(#REF!)</f>
        <v>#REF!</v>
      </c>
      <c r="N32" s="1080"/>
      <c r="O32" s="1080" t="e">
        <f>SUM(#REF!)*2</f>
        <v>#REF!</v>
      </c>
      <c r="P32" s="1080" t="e">
        <f>SUM(#REF!)*2</f>
        <v>#REF!</v>
      </c>
      <c r="Q32" s="1080" t="e">
        <f>SUM(#REF!)*2</f>
        <v>#REF!</v>
      </c>
      <c r="R32" s="1080"/>
      <c r="S32" s="1080"/>
      <c r="T32" s="1080"/>
      <c r="U32" s="1080"/>
      <c r="V32" s="109"/>
      <c r="W32" s="109" t="e">
        <f t="shared" ref="W32:W38" si="16">SUM(G32:V32)</f>
        <v>#REF!</v>
      </c>
      <c r="X32" s="94"/>
    </row>
    <row r="33" spans="1:24" s="1362" customFormat="1">
      <c r="E33" s="1669"/>
      <c r="F33" s="95" t="s">
        <v>1140</v>
      </c>
      <c r="G33" s="109"/>
      <c r="H33" s="1080"/>
      <c r="I33" s="1080"/>
      <c r="J33" s="1080"/>
      <c r="K33" s="1080" t="e">
        <f>SUM(#REF!)*2</f>
        <v>#REF!</v>
      </c>
      <c r="L33" s="1080" t="e">
        <f>SUM(#REF!)/2</f>
        <v>#REF!</v>
      </c>
      <c r="M33" s="1080" t="e">
        <f>SUM(#REF!)/2</f>
        <v>#REF!</v>
      </c>
      <c r="N33" s="1080"/>
      <c r="O33" s="1080" t="e">
        <f>SUM(#REF!)*2</f>
        <v>#REF!</v>
      </c>
      <c r="P33" s="1080" t="e">
        <f>SUM(#REF!)/2</f>
        <v>#REF!</v>
      </c>
      <c r="Q33" s="1080" t="e">
        <f>SUM(#REF!)/2</f>
        <v>#REF!</v>
      </c>
      <c r="R33" s="1080"/>
      <c r="S33" s="1080"/>
      <c r="T33" s="1080"/>
      <c r="U33" s="1080"/>
      <c r="V33" s="109"/>
      <c r="W33" s="109" t="e">
        <f t="shared" si="16"/>
        <v>#REF!</v>
      </c>
      <c r="X33" s="94"/>
    </row>
    <row r="34" spans="1:24" s="1362" customFormat="1">
      <c r="E34" s="1669"/>
      <c r="F34" s="95" t="s">
        <v>1141</v>
      </c>
      <c r="G34" s="109"/>
      <c r="H34" s="1080"/>
      <c r="I34" s="1080"/>
      <c r="J34" s="1080"/>
      <c r="K34" s="1080"/>
      <c r="L34" s="1080"/>
      <c r="M34" s="1080"/>
      <c r="N34" s="1080"/>
      <c r="O34" s="1080"/>
      <c r="P34" s="1080"/>
      <c r="Q34" s="1080"/>
      <c r="R34" s="1080"/>
      <c r="S34" s="1080" t="e">
        <f>SUM(#REF!)*4</f>
        <v>#REF!</v>
      </c>
      <c r="T34" s="1080"/>
      <c r="U34" s="1080"/>
      <c r="V34" s="109"/>
      <c r="W34" s="109" t="e">
        <f t="shared" si="16"/>
        <v>#REF!</v>
      </c>
      <c r="X34" s="94"/>
    </row>
    <row r="35" spans="1:24">
      <c r="E35" s="1669" t="s">
        <v>1134</v>
      </c>
      <c r="F35" s="95" t="s">
        <v>1137</v>
      </c>
      <c r="G35" s="109">
        <f>SUM(G3:G30)*4</f>
        <v>0</v>
      </c>
      <c r="H35" s="1080">
        <f>SUM(H3:H30)*2</f>
        <v>0</v>
      </c>
      <c r="I35" s="1080">
        <f>SUM(I3:I30)*2</f>
        <v>0</v>
      </c>
      <c r="J35" s="1080"/>
      <c r="K35" s="1080">
        <f>SUM(K3:K30)*2</f>
        <v>0</v>
      </c>
      <c r="L35" s="1080">
        <f>SUM(L3:L30)</f>
        <v>0</v>
      </c>
      <c r="M35" s="1080">
        <f>SUM(M3:M30)</f>
        <v>0</v>
      </c>
      <c r="N35" s="1080"/>
      <c r="O35" s="1080">
        <f>SUM(O3:O30)*2</f>
        <v>0</v>
      </c>
      <c r="P35" s="1080">
        <f>SUM(P3:P30)*2</f>
        <v>0</v>
      </c>
      <c r="Q35" s="1080">
        <f>SUM(Q3:Q30)*2</f>
        <v>0</v>
      </c>
      <c r="R35" s="1080"/>
      <c r="S35" s="1080"/>
      <c r="T35" s="1080"/>
      <c r="U35" s="1080"/>
      <c r="V35" s="109"/>
      <c r="W35" s="109">
        <f t="shared" si="16"/>
        <v>0</v>
      </c>
      <c r="X35" s="94"/>
    </row>
    <row r="36" spans="1:24">
      <c r="A36" s="1089" t="s">
        <v>1138</v>
      </c>
      <c r="B36" s="1090"/>
      <c r="C36" s="1090"/>
      <c r="D36" s="1090"/>
      <c r="E36" s="1669"/>
      <c r="F36" s="95" t="s">
        <v>1139</v>
      </c>
      <c r="G36" s="109"/>
      <c r="H36" s="1080"/>
      <c r="I36" s="1080"/>
      <c r="J36" s="1080"/>
      <c r="K36" s="1080"/>
      <c r="L36" s="1080">
        <f>SUM(L3:L30)/2</f>
        <v>0</v>
      </c>
      <c r="M36" s="1080">
        <f>SUM(M3:M30)/2</f>
        <v>0</v>
      </c>
      <c r="N36" s="1080"/>
      <c r="O36" s="1080"/>
      <c r="P36" s="1080">
        <f>SUM(P3:P30)/2</f>
        <v>0</v>
      </c>
      <c r="Q36" s="1080">
        <f>SUM(Q3:Q30)/2</f>
        <v>0</v>
      </c>
      <c r="R36" s="1080"/>
      <c r="S36" s="1080"/>
      <c r="T36" s="1080">
        <f>SUM(T3:T30)*2</f>
        <v>0</v>
      </c>
      <c r="U36" s="1080">
        <f>SUM(U3:U30)*2</f>
        <v>0</v>
      </c>
      <c r="V36" s="109"/>
      <c r="W36" s="109">
        <f t="shared" si="16"/>
        <v>0</v>
      </c>
      <c r="X36" s="94"/>
    </row>
    <row r="37" spans="1:24">
      <c r="E37" s="1669"/>
      <c r="F37" s="95" t="s">
        <v>1140</v>
      </c>
      <c r="G37" s="109"/>
      <c r="H37" s="1080"/>
      <c r="I37" s="1080"/>
      <c r="J37" s="1080"/>
      <c r="K37" s="1080">
        <f>SUM(K3:K30)*2</f>
        <v>0</v>
      </c>
      <c r="L37" s="1080">
        <f>SUM(L3:L30)/2</f>
        <v>0</v>
      </c>
      <c r="M37" s="1080">
        <f>SUM(M3:M30)/2</f>
        <v>0</v>
      </c>
      <c r="N37" s="1080"/>
      <c r="O37" s="1080">
        <f>SUM(O3:O30)*2</f>
        <v>0</v>
      </c>
      <c r="P37" s="1080">
        <f>SUM(P3:P30)/2</f>
        <v>0</v>
      </c>
      <c r="Q37" s="1080">
        <f>SUM(Q3:Q30)/2</f>
        <v>0</v>
      </c>
      <c r="R37" s="1080"/>
      <c r="S37" s="1080"/>
      <c r="T37" s="1080"/>
      <c r="U37" s="1080"/>
      <c r="V37" s="109"/>
      <c r="W37" s="109">
        <f t="shared" si="16"/>
        <v>0</v>
      </c>
      <c r="X37" s="94"/>
    </row>
    <row r="38" spans="1:24">
      <c r="E38" s="1669"/>
      <c r="F38" s="95" t="s">
        <v>1141</v>
      </c>
      <c r="G38" s="109"/>
      <c r="H38" s="1080"/>
      <c r="I38" s="1080"/>
      <c r="J38" s="1080"/>
      <c r="K38" s="1080"/>
      <c r="L38" s="1080"/>
      <c r="M38" s="1080"/>
      <c r="N38" s="1080"/>
      <c r="O38" s="1080"/>
      <c r="P38" s="1080"/>
      <c r="Q38" s="1080"/>
      <c r="R38" s="1080"/>
      <c r="S38" s="1080">
        <f>SUM(S3:S30)*4</f>
        <v>0</v>
      </c>
      <c r="T38" s="1080"/>
      <c r="U38" s="1080"/>
      <c r="V38" s="109"/>
      <c r="W38" s="109">
        <f t="shared" si="16"/>
        <v>0</v>
      </c>
      <c r="X38" s="94"/>
    </row>
    <row r="39" spans="1:24">
      <c r="E39" s="1088"/>
      <c r="F39" s="1091" t="s">
        <v>1142</v>
      </c>
      <c r="G39" s="1092">
        <f t="shared" ref="G39:W39" si="17">SUM(G35:G38)</f>
        <v>0</v>
      </c>
      <c r="H39" s="1092">
        <f t="shared" si="17"/>
        <v>0</v>
      </c>
      <c r="I39" s="1092">
        <f t="shared" si="17"/>
        <v>0</v>
      </c>
      <c r="J39" s="1092">
        <f t="shared" si="17"/>
        <v>0</v>
      </c>
      <c r="K39" s="1092">
        <f t="shared" si="17"/>
        <v>0</v>
      </c>
      <c r="L39" s="1092">
        <f t="shared" si="17"/>
        <v>0</v>
      </c>
      <c r="M39" s="1092">
        <f t="shared" si="17"/>
        <v>0</v>
      </c>
      <c r="N39" s="1092">
        <f t="shared" si="17"/>
        <v>0</v>
      </c>
      <c r="O39" s="1092">
        <f t="shared" si="17"/>
        <v>0</v>
      </c>
      <c r="P39" s="1092">
        <f t="shared" si="17"/>
        <v>0</v>
      </c>
      <c r="Q39" s="1092">
        <f t="shared" si="17"/>
        <v>0</v>
      </c>
      <c r="R39" s="1092">
        <f t="shared" si="17"/>
        <v>0</v>
      </c>
      <c r="S39" s="1092">
        <f t="shared" si="17"/>
        <v>0</v>
      </c>
      <c r="T39" s="1092">
        <f t="shared" si="17"/>
        <v>0</v>
      </c>
      <c r="U39" s="1092">
        <f t="shared" si="17"/>
        <v>0</v>
      </c>
      <c r="V39" s="1092">
        <f t="shared" si="17"/>
        <v>0</v>
      </c>
      <c r="W39" s="1092">
        <f t="shared" si="17"/>
        <v>0</v>
      </c>
      <c r="X39" s="94"/>
    </row>
    <row r="40" spans="1:24">
      <c r="E40" s="1669" t="s">
        <v>1135</v>
      </c>
      <c r="F40" s="95" t="s">
        <v>1137</v>
      </c>
      <c r="G40" s="1080"/>
      <c r="I40" s="1080"/>
      <c r="J40" s="1080"/>
      <c r="K40" s="1080"/>
      <c r="L40" s="1080">
        <f>SUM(L3:L30)</f>
        <v>0</v>
      </c>
      <c r="M40" s="1080">
        <f>SUM(M3:M30)</f>
        <v>0</v>
      </c>
      <c r="N40" s="1080">
        <f>SUM(N3:N30)*2</f>
        <v>0</v>
      </c>
      <c r="O40" s="1080"/>
      <c r="P40" s="1080">
        <f>SUM(P3:P30)</f>
        <v>0</v>
      </c>
      <c r="Q40" s="1080">
        <f>SUM(Q3:Q30)</f>
        <v>0</v>
      </c>
      <c r="R40" s="1080">
        <f>SUM(R3:R30)*2</f>
        <v>0</v>
      </c>
      <c r="S40" s="1080"/>
      <c r="T40" s="1080">
        <f>SUM(T3:T30)*2</f>
        <v>0</v>
      </c>
      <c r="U40" s="1080">
        <f>SUM(U3:U30)*2</f>
        <v>0</v>
      </c>
      <c r="V40" s="1080">
        <f>SUM(V3:V30)*4</f>
        <v>0</v>
      </c>
      <c r="W40" s="109">
        <f>SUM(G40:V40)</f>
        <v>0</v>
      </c>
      <c r="X40" s="94"/>
    </row>
    <row r="41" spans="1:24">
      <c r="E41" s="1669"/>
      <c r="F41" s="95" t="s">
        <v>1139</v>
      </c>
      <c r="G41" s="1080"/>
      <c r="H41" s="1080">
        <f>SUM(H3:H30)*2</f>
        <v>0</v>
      </c>
      <c r="I41" s="1080">
        <f>SUM(I3:I30)*2</f>
        <v>0</v>
      </c>
      <c r="J41" s="1080"/>
      <c r="K41" s="1080"/>
      <c r="L41" s="1080">
        <f>SUM(L3:L30)/2</f>
        <v>0</v>
      </c>
      <c r="M41" s="1080">
        <f>SUM(M3:M30)/2</f>
        <v>0</v>
      </c>
      <c r="N41" s="1080"/>
      <c r="O41" s="1080"/>
      <c r="P41" s="1080">
        <f>SUM(P3:P30)/2</f>
        <v>0</v>
      </c>
      <c r="Q41" s="1080">
        <f>SUM(Q3:Q30)/2</f>
        <v>0</v>
      </c>
      <c r="R41" s="1080"/>
      <c r="S41" s="1080"/>
      <c r="T41" s="1080"/>
      <c r="U41" s="1080"/>
      <c r="V41" s="1080"/>
      <c r="W41" s="109">
        <f>SUM(G41:V41)</f>
        <v>0</v>
      </c>
      <c r="X41" s="94"/>
    </row>
    <row r="42" spans="1:24">
      <c r="E42" s="1669"/>
      <c r="F42" s="95" t="s">
        <v>1140</v>
      </c>
      <c r="G42" s="1080"/>
      <c r="H42" s="1080"/>
      <c r="I42" s="1080"/>
      <c r="J42" s="1080"/>
      <c r="K42" s="1080"/>
      <c r="L42" s="1080">
        <f>SUM(L3:L30)/2</f>
        <v>0</v>
      </c>
      <c r="M42" s="1080">
        <f>SUM(M3:M30)/2</f>
        <v>0</v>
      </c>
      <c r="N42" s="1080">
        <f>SUM(N3:N30)*2</f>
        <v>0</v>
      </c>
      <c r="O42" s="1080"/>
      <c r="P42" s="1080">
        <f>SUM(P3:P30)/2</f>
        <v>0</v>
      </c>
      <c r="Q42" s="1080">
        <f>SUM(Q3:Q30)/2</f>
        <v>0</v>
      </c>
      <c r="R42" s="1080">
        <f>SUM(R3:R30)*2</f>
        <v>0</v>
      </c>
      <c r="S42" s="1080"/>
      <c r="T42" s="1080"/>
      <c r="U42" s="1080"/>
      <c r="V42" s="1080"/>
      <c r="W42" s="109">
        <f>SUM(G42:V42)</f>
        <v>0</v>
      </c>
      <c r="X42" s="94"/>
    </row>
    <row r="43" spans="1:24">
      <c r="E43" s="1669"/>
      <c r="F43" s="95" t="s">
        <v>1141</v>
      </c>
      <c r="G43" s="1080"/>
      <c r="H43" s="1080"/>
      <c r="I43" s="1080"/>
      <c r="J43" s="1080">
        <f>SUM(J3:J30)*4</f>
        <v>0</v>
      </c>
      <c r="K43" s="1080"/>
      <c r="L43" s="1080"/>
      <c r="M43" s="1080"/>
      <c r="N43" s="1080"/>
      <c r="O43" s="1080"/>
      <c r="P43" s="1080"/>
      <c r="Q43" s="1080"/>
      <c r="R43" s="1080"/>
      <c r="S43" s="1080"/>
      <c r="T43" s="1080"/>
      <c r="U43" s="1080"/>
      <c r="V43" s="1080"/>
      <c r="W43" s="109">
        <f>SUM(G43:V43)</f>
        <v>0</v>
      </c>
      <c r="X43" s="94"/>
    </row>
    <row r="44" spans="1:24">
      <c r="E44" s="1093"/>
      <c r="F44" s="1094" t="s">
        <v>1142</v>
      </c>
      <c r="G44" s="1092">
        <f t="shared" ref="G44:W44" si="18">SUM(G40:G43)</f>
        <v>0</v>
      </c>
      <c r="H44" s="1092">
        <f t="shared" si="18"/>
        <v>0</v>
      </c>
      <c r="I44" s="1092">
        <f t="shared" si="18"/>
        <v>0</v>
      </c>
      <c r="J44" s="1092">
        <f t="shared" si="18"/>
        <v>0</v>
      </c>
      <c r="K44" s="1092">
        <f t="shared" si="18"/>
        <v>0</v>
      </c>
      <c r="L44" s="1092">
        <f t="shared" si="18"/>
        <v>0</v>
      </c>
      <c r="M44" s="1092">
        <f t="shared" si="18"/>
        <v>0</v>
      </c>
      <c r="N44" s="1092">
        <f t="shared" si="18"/>
        <v>0</v>
      </c>
      <c r="O44" s="1092">
        <f t="shared" si="18"/>
        <v>0</v>
      </c>
      <c r="P44" s="1092">
        <f t="shared" si="18"/>
        <v>0</v>
      </c>
      <c r="Q44" s="1092">
        <f t="shared" si="18"/>
        <v>0</v>
      </c>
      <c r="R44" s="1092">
        <f t="shared" si="18"/>
        <v>0</v>
      </c>
      <c r="S44" s="1092">
        <f t="shared" si="18"/>
        <v>0</v>
      </c>
      <c r="T44" s="1092">
        <f t="shared" si="18"/>
        <v>0</v>
      </c>
      <c r="U44" s="1092">
        <f t="shared" si="18"/>
        <v>0</v>
      </c>
      <c r="V44" s="1092">
        <f t="shared" si="18"/>
        <v>0</v>
      </c>
      <c r="W44" s="1092">
        <f t="shared" si="18"/>
        <v>0</v>
      </c>
      <c r="X44" s="94"/>
    </row>
    <row r="45" spans="1:24">
      <c r="G45" t="s">
        <v>1143</v>
      </c>
    </row>
    <row r="49" spans="6:8">
      <c r="F49" s="183"/>
      <c r="G49" s="183"/>
      <c r="H49" s="183"/>
    </row>
    <row r="50" spans="6:8">
      <c r="F50" s="183"/>
      <c r="G50" s="183"/>
      <c r="H50" s="183"/>
    </row>
    <row r="51" spans="6:8">
      <c r="F51" s="183"/>
      <c r="G51" s="183"/>
      <c r="H51" s="183"/>
    </row>
    <row r="52" spans="6:8">
      <c r="F52" s="183"/>
      <c r="G52" s="183"/>
      <c r="H52" s="183"/>
    </row>
    <row r="53" spans="6:8">
      <c r="F53" s="183"/>
      <c r="G53" s="183"/>
      <c r="H53" s="183"/>
    </row>
    <row r="54" spans="6:8">
      <c r="F54" s="183"/>
      <c r="G54" s="183"/>
      <c r="H54" s="183"/>
    </row>
    <row r="55" spans="6:8">
      <c r="F55" s="183"/>
      <c r="G55" s="183"/>
      <c r="H55" s="183"/>
    </row>
  </sheetData>
  <sheetProtection password="CC08" sheet="1" scenarios="1"/>
  <mergeCells count="8">
    <mergeCell ref="AA2:AB2"/>
    <mergeCell ref="G1:V1"/>
    <mergeCell ref="E40:E43"/>
    <mergeCell ref="A1:B1"/>
    <mergeCell ref="C1:D1"/>
    <mergeCell ref="Y4:Y5"/>
    <mergeCell ref="E35:E38"/>
    <mergeCell ref="E33:E34"/>
  </mergeCells>
  <phoneticPr fontId="5" type="noConversion"/>
  <pageMargins left="0.75" right="0.75" top="1" bottom="1" header="0.5" footer="0.5"/>
  <pageSetup orientation="portrait" r:id="rId1"/>
  <headerFooter alignWithMargins="0"/>
  <drawing r:id="rId2"/>
  <legacyDrawing r:id="rId3"/>
  <controls>
    <control shapeId="74763" r:id="rId4" name="MainMenu"/>
  </controls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47"/>
  <dimension ref="A1:P42"/>
  <sheetViews>
    <sheetView workbookViewId="0">
      <selection activeCell="J26" sqref="J26"/>
    </sheetView>
  </sheetViews>
  <sheetFormatPr defaultRowHeight="12.75"/>
  <cols>
    <col min="1" max="3" width="9.85546875" customWidth="1"/>
  </cols>
  <sheetData>
    <row r="1" spans="1:16">
      <c r="D1" s="1673" t="s">
        <v>1148</v>
      </c>
      <c r="E1" s="1673"/>
      <c r="F1" s="1587"/>
      <c r="G1" s="1587"/>
      <c r="H1" s="1587"/>
      <c r="I1" s="1587"/>
      <c r="K1" s="1488" t="str">
        <f t="shared" ref="K1:K6" si="0">IF(F1="","",F1)</f>
        <v/>
      </c>
      <c r="L1" s="1488"/>
      <c r="M1" s="1488"/>
      <c r="N1" s="1488"/>
      <c r="O1" s="1488"/>
      <c r="P1" s="1488"/>
    </row>
    <row r="2" spans="1:16">
      <c r="D2" s="1673" t="s">
        <v>1149</v>
      </c>
      <c r="E2" s="1673"/>
      <c r="F2" s="1587"/>
      <c r="G2" s="1587"/>
      <c r="H2" s="1587"/>
      <c r="I2" s="1587"/>
      <c r="K2" s="1488" t="str">
        <f t="shared" si="0"/>
        <v/>
      </c>
      <c r="L2" s="1488"/>
      <c r="M2" s="1488"/>
      <c r="N2" s="1488"/>
      <c r="O2" s="1488"/>
      <c r="P2" s="1488"/>
    </row>
    <row r="3" spans="1:16">
      <c r="D3" s="1674" t="s">
        <v>1150</v>
      </c>
      <c r="E3" s="1674"/>
      <c r="F3" s="1587"/>
      <c r="G3" s="1587"/>
      <c r="H3" s="1587"/>
      <c r="I3" s="1587"/>
      <c r="K3" s="1488" t="str">
        <f t="shared" si="0"/>
        <v/>
      </c>
      <c r="L3" s="1488"/>
      <c r="M3" s="1488"/>
      <c r="N3" s="1488"/>
      <c r="O3" s="1488"/>
      <c r="P3" s="1488"/>
    </row>
    <row r="4" spans="1:16">
      <c r="D4" s="1673" t="s">
        <v>69</v>
      </c>
      <c r="E4" s="1673"/>
      <c r="F4" s="1587"/>
      <c r="G4" s="1587"/>
      <c r="H4" s="1587"/>
      <c r="I4" s="1587"/>
      <c r="K4" s="1488" t="str">
        <f t="shared" si="0"/>
        <v/>
      </c>
      <c r="L4" s="1488"/>
      <c r="M4" s="1488"/>
      <c r="N4" s="1488"/>
      <c r="O4" s="1488"/>
      <c r="P4" s="1488"/>
    </row>
    <row r="5" spans="1:16">
      <c r="D5" s="1673" t="s">
        <v>1151</v>
      </c>
      <c r="E5" s="1673"/>
      <c r="F5" s="1587"/>
      <c r="G5" s="1587"/>
      <c r="H5" s="1587"/>
      <c r="I5" s="1587"/>
      <c r="K5" s="1488" t="str">
        <f t="shared" si="0"/>
        <v/>
      </c>
      <c r="L5" s="1488"/>
      <c r="M5" s="1488"/>
      <c r="N5" s="1488"/>
      <c r="O5" s="1488"/>
      <c r="P5" s="1488"/>
    </row>
    <row r="6" spans="1:16">
      <c r="D6" s="1673" t="s">
        <v>1152</v>
      </c>
      <c r="E6" s="1673"/>
      <c r="F6" s="1587"/>
      <c r="G6" s="1587"/>
      <c r="H6" s="1587"/>
      <c r="I6" s="1587"/>
      <c r="K6" s="1488" t="str">
        <f t="shared" si="0"/>
        <v/>
      </c>
      <c r="L6" s="1488"/>
      <c r="M6" s="1488"/>
      <c r="N6" s="1488"/>
      <c r="O6" s="1488"/>
      <c r="P6" s="1488"/>
    </row>
    <row r="7" spans="1:16">
      <c r="D7" s="1673" t="s">
        <v>1153</v>
      </c>
      <c r="E7" s="1673"/>
      <c r="F7" s="1587"/>
      <c r="G7" s="1587"/>
      <c r="H7" s="1587"/>
      <c r="I7" s="1587"/>
      <c r="K7" s="1488"/>
      <c r="L7" s="1488"/>
      <c r="M7" s="1488"/>
      <c r="N7" s="1488"/>
      <c r="O7" s="1488"/>
      <c r="P7" s="1488"/>
    </row>
    <row r="8" spans="1:16">
      <c r="K8" s="1672">
        <f ca="1">IF(F7="",TODAY())</f>
        <v>40599</v>
      </c>
      <c r="L8" s="1672"/>
      <c r="M8" s="1672"/>
      <c r="N8" s="1672"/>
      <c r="O8" s="1672"/>
      <c r="P8" s="1672"/>
    </row>
    <row r="9" spans="1:16" ht="26.25">
      <c r="A9" s="1097" t="s">
        <v>1154</v>
      </c>
      <c r="B9" s="1098" t="s">
        <v>1155</v>
      </c>
      <c r="C9" s="1099" t="s">
        <v>1159</v>
      </c>
      <c r="D9" s="1097" t="s">
        <v>1160</v>
      </c>
      <c r="E9" s="1100"/>
      <c r="F9" s="1097" t="s">
        <v>1156</v>
      </c>
      <c r="G9" s="1097" t="s">
        <v>1157</v>
      </c>
      <c r="H9" s="1097" t="s">
        <v>1158</v>
      </c>
    </row>
    <row r="10" spans="1:16">
      <c r="A10" s="95"/>
      <c r="B10" s="278"/>
      <c r="C10" s="278"/>
      <c r="D10" s="1101"/>
      <c r="E10" s="1101"/>
      <c r="F10" s="1101"/>
      <c r="G10" s="1101"/>
      <c r="H10" s="1101"/>
    </row>
    <row r="11" spans="1:16">
      <c r="A11" s="95">
        <v>1</v>
      </c>
      <c r="B11" s="278"/>
      <c r="C11" s="278"/>
      <c r="D11" s="1101" t="e">
        <f t="shared" ref="D11:D40" si="1">B11/C11</f>
        <v>#DIV/0!</v>
      </c>
      <c r="E11" s="1101"/>
      <c r="F11" s="1101" t="e">
        <f t="shared" ref="F11:F40" si="2">G11-3*SQRT((G11*(1-G11))/C11)</f>
        <v>#DIV/0!</v>
      </c>
      <c r="G11" s="1101" t="e">
        <f>D42</f>
        <v>#DIV/0!</v>
      </c>
      <c r="H11" s="1101" t="e">
        <f t="shared" ref="H11:H40" si="3">G11+3*SQRT((G11*(1-G11))/C11)</f>
        <v>#DIV/0!</v>
      </c>
    </row>
    <row r="12" spans="1:16">
      <c r="A12" s="95">
        <v>2</v>
      </c>
      <c r="B12" s="278"/>
      <c r="C12" s="278"/>
      <c r="D12" s="1101" t="e">
        <f t="shared" si="1"/>
        <v>#DIV/0!</v>
      </c>
      <c r="E12" s="1101"/>
      <c r="F12" s="1101" t="e">
        <f t="shared" si="2"/>
        <v>#DIV/0!</v>
      </c>
      <c r="G12" s="1101" t="e">
        <f t="shared" ref="G12:G40" si="4">G11</f>
        <v>#DIV/0!</v>
      </c>
      <c r="H12" s="1101" t="e">
        <f t="shared" si="3"/>
        <v>#DIV/0!</v>
      </c>
    </row>
    <row r="13" spans="1:16">
      <c r="A13" s="95">
        <v>3</v>
      </c>
      <c r="B13" s="278"/>
      <c r="C13" s="278"/>
      <c r="D13" s="1101" t="e">
        <f t="shared" si="1"/>
        <v>#DIV/0!</v>
      </c>
      <c r="E13" s="1101"/>
      <c r="F13" s="1101" t="e">
        <f t="shared" si="2"/>
        <v>#DIV/0!</v>
      </c>
      <c r="G13" s="1101" t="e">
        <f t="shared" si="4"/>
        <v>#DIV/0!</v>
      </c>
      <c r="H13" s="1101" t="e">
        <f t="shared" si="3"/>
        <v>#DIV/0!</v>
      </c>
    </row>
    <row r="14" spans="1:16">
      <c r="A14" s="95">
        <v>4</v>
      </c>
      <c r="B14" s="278"/>
      <c r="C14" s="278"/>
      <c r="D14" s="1101" t="e">
        <f t="shared" si="1"/>
        <v>#DIV/0!</v>
      </c>
      <c r="E14" s="1101"/>
      <c r="F14" s="1101" t="e">
        <f t="shared" si="2"/>
        <v>#DIV/0!</v>
      </c>
      <c r="G14" s="1101" t="e">
        <f t="shared" si="4"/>
        <v>#DIV/0!</v>
      </c>
      <c r="H14" s="1101" t="e">
        <f t="shared" si="3"/>
        <v>#DIV/0!</v>
      </c>
    </row>
    <row r="15" spans="1:16">
      <c r="A15" s="95">
        <v>5</v>
      </c>
      <c r="B15" s="278"/>
      <c r="C15" s="278"/>
      <c r="D15" s="1101" t="e">
        <f t="shared" si="1"/>
        <v>#DIV/0!</v>
      </c>
      <c r="E15" s="1101"/>
      <c r="F15" s="1101" t="e">
        <f t="shared" si="2"/>
        <v>#DIV/0!</v>
      </c>
      <c r="G15" s="1101" t="e">
        <f t="shared" si="4"/>
        <v>#DIV/0!</v>
      </c>
      <c r="H15" s="1101" t="e">
        <f t="shared" si="3"/>
        <v>#DIV/0!</v>
      </c>
    </row>
    <row r="16" spans="1:16">
      <c r="A16" s="95">
        <v>6</v>
      </c>
      <c r="B16" s="278"/>
      <c r="C16" s="278"/>
      <c r="D16" s="1101" t="e">
        <f t="shared" si="1"/>
        <v>#DIV/0!</v>
      </c>
      <c r="E16" s="1101"/>
      <c r="F16" s="1101" t="e">
        <f t="shared" si="2"/>
        <v>#DIV/0!</v>
      </c>
      <c r="G16" s="1101" t="e">
        <f t="shared" si="4"/>
        <v>#DIV/0!</v>
      </c>
      <c r="H16" s="1101" t="e">
        <f t="shared" si="3"/>
        <v>#DIV/0!</v>
      </c>
    </row>
    <row r="17" spans="1:8">
      <c r="A17" s="95">
        <v>7</v>
      </c>
      <c r="B17" s="278"/>
      <c r="C17" s="278"/>
      <c r="D17" s="1101" t="e">
        <f t="shared" si="1"/>
        <v>#DIV/0!</v>
      </c>
      <c r="E17" s="1101"/>
      <c r="F17" s="1101" t="e">
        <f t="shared" si="2"/>
        <v>#DIV/0!</v>
      </c>
      <c r="G17" s="1101" t="e">
        <f t="shared" si="4"/>
        <v>#DIV/0!</v>
      </c>
      <c r="H17" s="1101" t="e">
        <f t="shared" si="3"/>
        <v>#DIV/0!</v>
      </c>
    </row>
    <row r="18" spans="1:8">
      <c r="A18" s="95">
        <v>8</v>
      </c>
      <c r="B18" s="278"/>
      <c r="C18" s="278"/>
      <c r="D18" s="1101" t="e">
        <f t="shared" si="1"/>
        <v>#DIV/0!</v>
      </c>
      <c r="E18" s="1101"/>
      <c r="F18" s="1101" t="e">
        <f t="shared" si="2"/>
        <v>#DIV/0!</v>
      </c>
      <c r="G18" s="1101" t="e">
        <f t="shared" si="4"/>
        <v>#DIV/0!</v>
      </c>
      <c r="H18" s="1101" t="e">
        <f t="shared" si="3"/>
        <v>#DIV/0!</v>
      </c>
    </row>
    <row r="19" spans="1:8">
      <c r="A19" s="95">
        <v>9</v>
      </c>
      <c r="B19" s="278"/>
      <c r="C19" s="278"/>
      <c r="D19" s="1101" t="e">
        <f t="shared" si="1"/>
        <v>#DIV/0!</v>
      </c>
      <c r="E19" s="1101"/>
      <c r="F19" s="1101" t="e">
        <f t="shared" si="2"/>
        <v>#DIV/0!</v>
      </c>
      <c r="G19" s="1101" t="e">
        <f t="shared" si="4"/>
        <v>#DIV/0!</v>
      </c>
      <c r="H19" s="1101" t="e">
        <f t="shared" si="3"/>
        <v>#DIV/0!</v>
      </c>
    </row>
    <row r="20" spans="1:8">
      <c r="A20" s="95">
        <v>10</v>
      </c>
      <c r="B20" s="278"/>
      <c r="C20" s="278"/>
      <c r="D20" s="1101" t="e">
        <f t="shared" si="1"/>
        <v>#DIV/0!</v>
      </c>
      <c r="E20" s="1101"/>
      <c r="F20" s="1101" t="e">
        <f t="shared" si="2"/>
        <v>#DIV/0!</v>
      </c>
      <c r="G20" s="1101" t="e">
        <f t="shared" si="4"/>
        <v>#DIV/0!</v>
      </c>
      <c r="H20" s="1101" t="e">
        <f t="shared" si="3"/>
        <v>#DIV/0!</v>
      </c>
    </row>
    <row r="21" spans="1:8">
      <c r="A21" s="95">
        <v>11</v>
      </c>
      <c r="B21" s="278"/>
      <c r="C21" s="278"/>
      <c r="D21" s="1101" t="e">
        <f t="shared" si="1"/>
        <v>#DIV/0!</v>
      </c>
      <c r="E21" s="1101"/>
      <c r="F21" s="1101" t="e">
        <f t="shared" si="2"/>
        <v>#DIV/0!</v>
      </c>
      <c r="G21" s="1101" t="e">
        <f t="shared" si="4"/>
        <v>#DIV/0!</v>
      </c>
      <c r="H21" s="1101" t="e">
        <f t="shared" si="3"/>
        <v>#DIV/0!</v>
      </c>
    </row>
    <row r="22" spans="1:8">
      <c r="A22" s="95">
        <v>12</v>
      </c>
      <c r="B22" s="278"/>
      <c r="C22" s="278"/>
      <c r="D22" s="1101" t="e">
        <f t="shared" si="1"/>
        <v>#DIV/0!</v>
      </c>
      <c r="E22" s="1101"/>
      <c r="F22" s="1101" t="e">
        <f t="shared" si="2"/>
        <v>#DIV/0!</v>
      </c>
      <c r="G22" s="1101" t="e">
        <f t="shared" si="4"/>
        <v>#DIV/0!</v>
      </c>
      <c r="H22" s="1101" t="e">
        <f t="shared" si="3"/>
        <v>#DIV/0!</v>
      </c>
    </row>
    <row r="23" spans="1:8">
      <c r="A23" s="95">
        <v>13</v>
      </c>
      <c r="B23" s="278"/>
      <c r="C23" s="278"/>
      <c r="D23" s="1101" t="e">
        <f t="shared" si="1"/>
        <v>#DIV/0!</v>
      </c>
      <c r="E23" s="1101"/>
      <c r="F23" s="1101" t="e">
        <f t="shared" si="2"/>
        <v>#DIV/0!</v>
      </c>
      <c r="G23" s="1101" t="e">
        <f t="shared" si="4"/>
        <v>#DIV/0!</v>
      </c>
      <c r="H23" s="1101" t="e">
        <f t="shared" si="3"/>
        <v>#DIV/0!</v>
      </c>
    </row>
    <row r="24" spans="1:8">
      <c r="A24" s="95">
        <v>14</v>
      </c>
      <c r="B24" s="278"/>
      <c r="C24" s="278"/>
      <c r="D24" s="1101" t="e">
        <f t="shared" si="1"/>
        <v>#DIV/0!</v>
      </c>
      <c r="E24" s="1101"/>
      <c r="F24" s="1101" t="e">
        <f t="shared" si="2"/>
        <v>#DIV/0!</v>
      </c>
      <c r="G24" s="1101" t="e">
        <f t="shared" si="4"/>
        <v>#DIV/0!</v>
      </c>
      <c r="H24" s="1101" t="e">
        <f t="shared" si="3"/>
        <v>#DIV/0!</v>
      </c>
    </row>
    <row r="25" spans="1:8">
      <c r="A25" s="95">
        <v>15</v>
      </c>
      <c r="B25" s="278"/>
      <c r="C25" s="278"/>
      <c r="D25" s="1101" t="e">
        <f t="shared" si="1"/>
        <v>#DIV/0!</v>
      </c>
      <c r="E25" s="1101"/>
      <c r="F25" s="1101" t="e">
        <f t="shared" si="2"/>
        <v>#DIV/0!</v>
      </c>
      <c r="G25" s="1101" t="e">
        <f t="shared" si="4"/>
        <v>#DIV/0!</v>
      </c>
      <c r="H25" s="1101" t="e">
        <f t="shared" si="3"/>
        <v>#DIV/0!</v>
      </c>
    </row>
    <row r="26" spans="1:8">
      <c r="A26" s="95">
        <v>16</v>
      </c>
      <c r="B26" s="278"/>
      <c r="C26" s="278"/>
      <c r="D26" s="1101" t="e">
        <f t="shared" si="1"/>
        <v>#DIV/0!</v>
      </c>
      <c r="E26" s="1101"/>
      <c r="F26" s="1101" t="e">
        <f t="shared" si="2"/>
        <v>#DIV/0!</v>
      </c>
      <c r="G26" s="1101" t="e">
        <f t="shared" si="4"/>
        <v>#DIV/0!</v>
      </c>
      <c r="H26" s="1101" t="e">
        <f t="shared" si="3"/>
        <v>#DIV/0!</v>
      </c>
    </row>
    <row r="27" spans="1:8">
      <c r="A27" s="95">
        <v>17</v>
      </c>
      <c r="B27" s="278"/>
      <c r="C27" s="278"/>
      <c r="D27" s="1101" t="e">
        <f t="shared" si="1"/>
        <v>#DIV/0!</v>
      </c>
      <c r="E27" s="1101"/>
      <c r="F27" s="1101" t="e">
        <f t="shared" si="2"/>
        <v>#DIV/0!</v>
      </c>
      <c r="G27" s="1101" t="e">
        <f t="shared" si="4"/>
        <v>#DIV/0!</v>
      </c>
      <c r="H27" s="1101" t="e">
        <f t="shared" si="3"/>
        <v>#DIV/0!</v>
      </c>
    </row>
    <row r="28" spans="1:8">
      <c r="A28" s="95">
        <v>18</v>
      </c>
      <c r="B28" s="278"/>
      <c r="C28" s="278"/>
      <c r="D28" s="1101" t="e">
        <f t="shared" si="1"/>
        <v>#DIV/0!</v>
      </c>
      <c r="E28" s="1101"/>
      <c r="F28" s="1101" t="e">
        <f t="shared" si="2"/>
        <v>#DIV/0!</v>
      </c>
      <c r="G28" s="1101" t="e">
        <f t="shared" si="4"/>
        <v>#DIV/0!</v>
      </c>
      <c r="H28" s="1101" t="e">
        <f t="shared" si="3"/>
        <v>#DIV/0!</v>
      </c>
    </row>
    <row r="29" spans="1:8">
      <c r="A29" s="95">
        <v>19</v>
      </c>
      <c r="B29" s="278"/>
      <c r="C29" s="278"/>
      <c r="D29" s="1101" t="e">
        <f t="shared" si="1"/>
        <v>#DIV/0!</v>
      </c>
      <c r="E29" s="1101"/>
      <c r="F29" s="1101" t="e">
        <f t="shared" si="2"/>
        <v>#DIV/0!</v>
      </c>
      <c r="G29" s="1101" t="e">
        <f t="shared" si="4"/>
        <v>#DIV/0!</v>
      </c>
      <c r="H29" s="1101" t="e">
        <f t="shared" si="3"/>
        <v>#DIV/0!</v>
      </c>
    </row>
    <row r="30" spans="1:8">
      <c r="A30" s="95">
        <v>20</v>
      </c>
      <c r="B30" s="278"/>
      <c r="C30" s="278"/>
      <c r="D30" s="1101" t="e">
        <f t="shared" si="1"/>
        <v>#DIV/0!</v>
      </c>
      <c r="E30" s="1101"/>
      <c r="F30" s="1101" t="e">
        <f t="shared" si="2"/>
        <v>#DIV/0!</v>
      </c>
      <c r="G30" s="1101" t="e">
        <f t="shared" si="4"/>
        <v>#DIV/0!</v>
      </c>
      <c r="H30" s="1101" t="e">
        <f t="shared" si="3"/>
        <v>#DIV/0!</v>
      </c>
    </row>
    <row r="31" spans="1:8">
      <c r="A31" s="95">
        <v>21</v>
      </c>
      <c r="B31" s="278"/>
      <c r="C31" s="278"/>
      <c r="D31" s="1101" t="e">
        <f t="shared" si="1"/>
        <v>#DIV/0!</v>
      </c>
      <c r="E31" s="1101"/>
      <c r="F31" s="1101" t="e">
        <f t="shared" si="2"/>
        <v>#DIV/0!</v>
      </c>
      <c r="G31" s="1101" t="e">
        <f t="shared" si="4"/>
        <v>#DIV/0!</v>
      </c>
      <c r="H31" s="1101" t="e">
        <f t="shared" si="3"/>
        <v>#DIV/0!</v>
      </c>
    </row>
    <row r="32" spans="1:8">
      <c r="A32" s="95">
        <v>22</v>
      </c>
      <c r="B32" s="278"/>
      <c r="C32" s="278"/>
      <c r="D32" s="1101" t="e">
        <f t="shared" si="1"/>
        <v>#DIV/0!</v>
      </c>
      <c r="E32" s="1101"/>
      <c r="F32" s="1101" t="e">
        <f t="shared" si="2"/>
        <v>#DIV/0!</v>
      </c>
      <c r="G32" s="1101" t="e">
        <f t="shared" si="4"/>
        <v>#DIV/0!</v>
      </c>
      <c r="H32" s="1101" t="e">
        <f t="shared" si="3"/>
        <v>#DIV/0!</v>
      </c>
    </row>
    <row r="33" spans="1:8">
      <c r="A33" s="95">
        <v>23</v>
      </c>
      <c r="B33" s="278"/>
      <c r="C33" s="278"/>
      <c r="D33" s="1101" t="e">
        <f t="shared" si="1"/>
        <v>#DIV/0!</v>
      </c>
      <c r="E33" s="1101"/>
      <c r="F33" s="1101" t="e">
        <f t="shared" si="2"/>
        <v>#DIV/0!</v>
      </c>
      <c r="G33" s="1101" t="e">
        <f t="shared" si="4"/>
        <v>#DIV/0!</v>
      </c>
      <c r="H33" s="1101" t="e">
        <f t="shared" si="3"/>
        <v>#DIV/0!</v>
      </c>
    </row>
    <row r="34" spans="1:8">
      <c r="A34" s="95">
        <v>24</v>
      </c>
      <c r="B34" s="278"/>
      <c r="C34" s="278"/>
      <c r="D34" s="1101" t="e">
        <f t="shared" si="1"/>
        <v>#DIV/0!</v>
      </c>
      <c r="E34" s="1101"/>
      <c r="F34" s="1101" t="e">
        <f t="shared" si="2"/>
        <v>#DIV/0!</v>
      </c>
      <c r="G34" s="1101" t="e">
        <f t="shared" si="4"/>
        <v>#DIV/0!</v>
      </c>
      <c r="H34" s="1101" t="e">
        <f t="shared" si="3"/>
        <v>#DIV/0!</v>
      </c>
    </row>
    <row r="35" spans="1:8">
      <c r="A35" s="95">
        <v>25</v>
      </c>
      <c r="B35" s="278"/>
      <c r="C35" s="278"/>
      <c r="D35" s="1101" t="e">
        <f t="shared" si="1"/>
        <v>#DIV/0!</v>
      </c>
      <c r="E35" s="1101"/>
      <c r="F35" s="1101" t="e">
        <f t="shared" si="2"/>
        <v>#DIV/0!</v>
      </c>
      <c r="G35" s="1101" t="e">
        <f t="shared" si="4"/>
        <v>#DIV/0!</v>
      </c>
      <c r="H35" s="1101" t="e">
        <f t="shared" si="3"/>
        <v>#DIV/0!</v>
      </c>
    </row>
    <row r="36" spans="1:8">
      <c r="A36" s="95">
        <v>26</v>
      </c>
      <c r="B36" s="278"/>
      <c r="C36" s="278"/>
      <c r="D36" s="1101" t="e">
        <f t="shared" si="1"/>
        <v>#DIV/0!</v>
      </c>
      <c r="E36" s="1101"/>
      <c r="F36" s="1101" t="e">
        <f t="shared" si="2"/>
        <v>#DIV/0!</v>
      </c>
      <c r="G36" s="1101" t="e">
        <f t="shared" si="4"/>
        <v>#DIV/0!</v>
      </c>
      <c r="H36" s="1101" t="e">
        <f t="shared" si="3"/>
        <v>#DIV/0!</v>
      </c>
    </row>
    <row r="37" spans="1:8">
      <c r="A37" s="95">
        <v>27</v>
      </c>
      <c r="B37" s="278"/>
      <c r="C37" s="278"/>
      <c r="D37" s="1101" t="e">
        <f t="shared" si="1"/>
        <v>#DIV/0!</v>
      </c>
      <c r="E37" s="1101"/>
      <c r="F37" s="1101" t="e">
        <f t="shared" si="2"/>
        <v>#DIV/0!</v>
      </c>
      <c r="G37" s="1101" t="e">
        <f t="shared" si="4"/>
        <v>#DIV/0!</v>
      </c>
      <c r="H37" s="1101" t="e">
        <f t="shared" si="3"/>
        <v>#DIV/0!</v>
      </c>
    </row>
    <row r="38" spans="1:8">
      <c r="A38" s="95">
        <v>28</v>
      </c>
      <c r="B38" s="278"/>
      <c r="C38" s="278"/>
      <c r="D38" s="1101" t="e">
        <f t="shared" si="1"/>
        <v>#DIV/0!</v>
      </c>
      <c r="E38" s="1101"/>
      <c r="F38" s="1101" t="e">
        <f t="shared" si="2"/>
        <v>#DIV/0!</v>
      </c>
      <c r="G38" s="1101" t="e">
        <f t="shared" si="4"/>
        <v>#DIV/0!</v>
      </c>
      <c r="H38" s="1101" t="e">
        <f t="shared" si="3"/>
        <v>#DIV/0!</v>
      </c>
    </row>
    <row r="39" spans="1:8">
      <c r="A39" s="95">
        <v>29</v>
      </c>
      <c r="B39" s="278"/>
      <c r="C39" s="278"/>
      <c r="D39" s="1101" t="e">
        <f t="shared" si="1"/>
        <v>#DIV/0!</v>
      </c>
      <c r="E39" s="1101"/>
      <c r="F39" s="1101" t="e">
        <f t="shared" si="2"/>
        <v>#DIV/0!</v>
      </c>
      <c r="G39" s="1101" t="e">
        <f t="shared" si="4"/>
        <v>#DIV/0!</v>
      </c>
      <c r="H39" s="1101" t="e">
        <f t="shared" si="3"/>
        <v>#DIV/0!</v>
      </c>
    </row>
    <row r="40" spans="1:8">
      <c r="A40" s="95">
        <v>30</v>
      </c>
      <c r="B40" s="278"/>
      <c r="C40" s="278"/>
      <c r="D40" s="1101" t="e">
        <f t="shared" si="1"/>
        <v>#DIV/0!</v>
      </c>
      <c r="E40" s="1101"/>
      <c r="F40" s="1101" t="e">
        <f t="shared" si="2"/>
        <v>#DIV/0!</v>
      </c>
      <c r="G40" s="1101" t="e">
        <f t="shared" si="4"/>
        <v>#DIV/0!</v>
      </c>
      <c r="H40" s="1101" t="e">
        <f t="shared" si="3"/>
        <v>#DIV/0!</v>
      </c>
    </row>
    <row r="41" spans="1:8">
      <c r="A41" s="1102"/>
      <c r="B41" s="1102"/>
      <c r="C41" s="1102"/>
      <c r="D41" s="1102"/>
      <c r="E41" s="1103"/>
      <c r="F41" s="1101"/>
      <c r="G41" s="1101"/>
      <c r="H41" s="1101"/>
    </row>
    <row r="42" spans="1:8">
      <c r="A42" s="1101" t="s">
        <v>126</v>
      </c>
      <c r="B42" s="1101"/>
      <c r="C42" s="1101"/>
      <c r="D42" s="1101" t="e">
        <f>AVERAGE(D11:D40)</f>
        <v>#DIV/0!</v>
      </c>
      <c r="E42" s="1101"/>
    </row>
  </sheetData>
  <sheetProtection password="CC08" sheet="1" scenarios="1"/>
  <protectedRanges>
    <protectedRange sqref="F1:I7 B10:C40" name="Range1"/>
  </protectedRanges>
  <mergeCells count="22">
    <mergeCell ref="F4:I4"/>
    <mergeCell ref="F6:I6"/>
    <mergeCell ref="D1:E1"/>
    <mergeCell ref="D3:E3"/>
    <mergeCell ref="K1:P1"/>
    <mergeCell ref="K2:P2"/>
    <mergeCell ref="K3:P3"/>
    <mergeCell ref="K4:P4"/>
    <mergeCell ref="D4:E4"/>
    <mergeCell ref="D6:E6"/>
    <mergeCell ref="D2:E2"/>
    <mergeCell ref="F1:I1"/>
    <mergeCell ref="F2:I2"/>
    <mergeCell ref="F3:I3"/>
    <mergeCell ref="K6:P6"/>
    <mergeCell ref="K8:P8"/>
    <mergeCell ref="D5:E5"/>
    <mergeCell ref="K5:P5"/>
    <mergeCell ref="D7:E7"/>
    <mergeCell ref="F5:I5"/>
    <mergeCell ref="F7:I7"/>
    <mergeCell ref="K7:P7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&amp;C&amp;"Arial,Bold"&amp;12Individual Value, Moving Range Control Chart</oddHeader>
    <oddFooter>&amp;L&amp;8&amp;F&amp;R&amp;8Printed:  &amp;D</oddFooter>
  </headerFooter>
  <drawing r:id="rId2"/>
  <legacyDrawing r:id="rId3"/>
  <controls>
    <control shapeId="75779" r:id="rId4" name="MainMenu"/>
  </controls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48"/>
  <dimension ref="A1:P47"/>
  <sheetViews>
    <sheetView showGridLines="0" workbookViewId="0">
      <selection activeCell="A3" sqref="A3"/>
    </sheetView>
  </sheetViews>
  <sheetFormatPr defaultRowHeight="12.75"/>
  <cols>
    <col min="1" max="1" width="13.85546875" bestFit="1" customWidth="1"/>
  </cols>
  <sheetData>
    <row r="1" spans="1:16">
      <c r="B1" s="1673" t="s">
        <v>1148</v>
      </c>
      <c r="C1" s="1673"/>
      <c r="D1" s="1587"/>
      <c r="E1" s="1587"/>
      <c r="F1" s="1587"/>
      <c r="G1" s="1587"/>
      <c r="H1" s="796" t="s">
        <v>154</v>
      </c>
      <c r="I1" s="278"/>
      <c r="K1" s="1488" t="str">
        <f t="shared" ref="K1:K6" si="0">IF(D1="","",D1)</f>
        <v/>
      </c>
      <c r="L1" s="1488"/>
      <c r="M1" s="1488"/>
      <c r="N1" s="1488"/>
      <c r="O1" s="1488"/>
      <c r="P1" s="1488"/>
    </row>
    <row r="2" spans="1:16">
      <c r="B2" s="1673" t="s">
        <v>1149</v>
      </c>
      <c r="C2" s="1673"/>
      <c r="D2" s="1587"/>
      <c r="E2" s="1587"/>
      <c r="F2" s="1587"/>
      <c r="G2" s="1587"/>
      <c r="H2" s="796" t="s">
        <v>1176</v>
      </c>
      <c r="I2" s="278" t="e">
        <f>AVERAGE(I1,I3)</f>
        <v>#DIV/0!</v>
      </c>
      <c r="K2" s="1488" t="str">
        <f t="shared" si="0"/>
        <v/>
      </c>
      <c r="L2" s="1488"/>
      <c r="M2" s="1488"/>
      <c r="N2" s="1488"/>
      <c r="O2" s="1488"/>
      <c r="P2" s="1488"/>
    </row>
    <row r="3" spans="1:16">
      <c r="B3" s="1674" t="s">
        <v>1150</v>
      </c>
      <c r="C3" s="1674"/>
      <c r="D3" s="1587"/>
      <c r="E3" s="1587"/>
      <c r="F3" s="1587"/>
      <c r="G3" s="1587"/>
      <c r="H3" s="796" t="s">
        <v>155</v>
      </c>
      <c r="I3" s="278"/>
      <c r="K3" s="1488" t="str">
        <f t="shared" si="0"/>
        <v/>
      </c>
      <c r="L3" s="1488"/>
      <c r="M3" s="1488"/>
      <c r="N3" s="1488"/>
      <c r="O3" s="1488"/>
      <c r="P3" s="1488"/>
    </row>
    <row r="4" spans="1:16">
      <c r="B4" s="1673" t="s">
        <v>69</v>
      </c>
      <c r="C4" s="1673"/>
      <c r="D4" s="1587"/>
      <c r="E4" s="1587"/>
      <c r="F4" s="1587"/>
      <c r="G4" s="1587"/>
      <c r="K4" s="1488" t="str">
        <f t="shared" si="0"/>
        <v/>
      </c>
      <c r="L4" s="1488"/>
      <c r="M4" s="1488"/>
      <c r="N4" s="1488"/>
      <c r="O4" s="1488"/>
      <c r="P4" s="1488"/>
    </row>
    <row r="5" spans="1:16">
      <c r="B5" s="1673" t="s">
        <v>1151</v>
      </c>
      <c r="C5" s="1673"/>
      <c r="D5" s="1587"/>
      <c r="E5" s="1587"/>
      <c r="F5" s="1587"/>
      <c r="G5" s="1587"/>
      <c r="K5" s="1488" t="str">
        <f t="shared" si="0"/>
        <v/>
      </c>
      <c r="L5" s="1488"/>
      <c r="M5" s="1488"/>
      <c r="N5" s="1488"/>
      <c r="O5" s="1488"/>
      <c r="P5" s="1488"/>
    </row>
    <row r="6" spans="1:16">
      <c r="B6" s="1673" t="s">
        <v>1152</v>
      </c>
      <c r="C6" s="1673"/>
      <c r="D6" s="1587"/>
      <c r="E6" s="1587"/>
      <c r="F6" s="1587"/>
      <c r="G6" s="1587"/>
      <c r="K6" s="1488" t="str">
        <f t="shared" si="0"/>
        <v/>
      </c>
      <c r="L6" s="1488"/>
      <c r="M6" s="1488"/>
      <c r="N6" s="1488"/>
      <c r="O6" s="1488"/>
      <c r="P6" s="1488"/>
    </row>
    <row r="7" spans="1:16">
      <c r="B7" s="1673" t="s">
        <v>1153</v>
      </c>
      <c r="C7" s="1673"/>
      <c r="D7" s="1587"/>
      <c r="E7" s="1587"/>
      <c r="F7" s="1587"/>
      <c r="G7" s="1587"/>
      <c r="K7" s="1488" t="s">
        <v>1172</v>
      </c>
      <c r="L7" s="1488"/>
      <c r="M7" s="1488"/>
      <c r="N7" s="1488"/>
      <c r="O7" s="1488"/>
      <c r="P7" s="1488"/>
    </row>
    <row r="8" spans="1:16">
      <c r="K8" s="1672">
        <f ca="1">IF(D7="",TODAY())</f>
        <v>40599</v>
      </c>
      <c r="L8" s="1672"/>
      <c r="M8" s="1672"/>
      <c r="N8" s="1672"/>
      <c r="O8" s="1672"/>
      <c r="P8" s="1672"/>
    </row>
    <row r="9" spans="1:16" ht="26.25">
      <c r="A9" s="1375" t="s">
        <v>1401</v>
      </c>
      <c r="B9" s="1097" t="s">
        <v>1327</v>
      </c>
      <c r="C9" s="1100" t="s">
        <v>1171</v>
      </c>
      <c r="D9" s="1097" t="s">
        <v>1166</v>
      </c>
      <c r="E9" s="1097"/>
      <c r="F9" s="1097" t="s">
        <v>1167</v>
      </c>
      <c r="G9" s="1097"/>
      <c r="H9" s="1097" t="s">
        <v>1168</v>
      </c>
      <c r="I9" s="1104" t="s">
        <v>155</v>
      </c>
      <c r="J9" s="1104" t="s">
        <v>154</v>
      </c>
    </row>
    <row r="10" spans="1:16">
      <c r="A10" s="1105"/>
      <c r="B10" s="1105"/>
      <c r="C10" s="1106"/>
      <c r="D10" s="1101" t="e">
        <f>IF(B47-(2.66*C47)&lt;0,0,B47-(2.66*C47))</f>
        <v>#DIV/0!</v>
      </c>
      <c r="E10" s="1101" t="e">
        <f>B47</f>
        <v>#DIV/0!</v>
      </c>
      <c r="F10" s="1101" t="e">
        <f>B47+(2.66*C47)</f>
        <v>#DIV/0!</v>
      </c>
      <c r="G10" s="1101">
        <f>C47</f>
        <v>0</v>
      </c>
      <c r="H10" s="1101">
        <f>3.267*C47</f>
        <v>0</v>
      </c>
      <c r="I10">
        <f t="shared" ref="I10:I46" si="1">$I$3</f>
        <v>0</v>
      </c>
      <c r="J10">
        <f t="shared" ref="J10:J46" si="2">$I$1</f>
        <v>0</v>
      </c>
    </row>
    <row r="11" spans="1:16">
      <c r="A11" s="1363"/>
      <c r="B11" s="278"/>
      <c r="C11" s="1102"/>
      <c r="D11" s="1101" t="e">
        <f t="shared" ref="D11:D41" si="3">D10</f>
        <v>#DIV/0!</v>
      </c>
      <c r="E11" s="1101" t="e">
        <f t="shared" ref="E11:E41" si="4">E10</f>
        <v>#DIV/0!</v>
      </c>
      <c r="F11" s="1101" t="e">
        <f t="shared" ref="F11:F41" si="5">F10</f>
        <v>#DIV/0!</v>
      </c>
      <c r="G11" s="1101">
        <f t="shared" ref="G11:G41" si="6">G10</f>
        <v>0</v>
      </c>
      <c r="H11" s="1101">
        <f t="shared" ref="H11:H41" si="7">H10</f>
        <v>0</v>
      </c>
      <c r="I11">
        <f t="shared" si="1"/>
        <v>0</v>
      </c>
      <c r="J11">
        <f t="shared" si="2"/>
        <v>0</v>
      </c>
    </row>
    <row r="12" spans="1:16">
      <c r="A12" s="1363"/>
      <c r="B12" s="278"/>
      <c r="C12" s="1101">
        <f t="shared" ref="C12:C40" si="8">ABS(B11-B12)</f>
        <v>0</v>
      </c>
      <c r="D12" s="1101" t="e">
        <f t="shared" si="3"/>
        <v>#DIV/0!</v>
      </c>
      <c r="E12" s="1101" t="e">
        <f t="shared" si="4"/>
        <v>#DIV/0!</v>
      </c>
      <c r="F12" s="1101" t="e">
        <f t="shared" si="5"/>
        <v>#DIV/0!</v>
      </c>
      <c r="G12" s="1101">
        <f t="shared" si="6"/>
        <v>0</v>
      </c>
      <c r="H12" s="1101">
        <f t="shared" si="7"/>
        <v>0</v>
      </c>
      <c r="I12">
        <f t="shared" si="1"/>
        <v>0</v>
      </c>
      <c r="J12">
        <f t="shared" si="2"/>
        <v>0</v>
      </c>
    </row>
    <row r="13" spans="1:16">
      <c r="A13" s="1363"/>
      <c r="B13" s="278"/>
      <c r="C13" s="1101">
        <f t="shared" si="8"/>
        <v>0</v>
      </c>
      <c r="D13" s="1101" t="e">
        <f t="shared" si="3"/>
        <v>#DIV/0!</v>
      </c>
      <c r="E13" s="1101" t="e">
        <f t="shared" si="4"/>
        <v>#DIV/0!</v>
      </c>
      <c r="F13" s="1101" t="e">
        <f t="shared" si="5"/>
        <v>#DIV/0!</v>
      </c>
      <c r="G13" s="1101">
        <f t="shared" si="6"/>
        <v>0</v>
      </c>
      <c r="H13" s="1101">
        <f t="shared" si="7"/>
        <v>0</v>
      </c>
      <c r="I13">
        <f t="shared" si="1"/>
        <v>0</v>
      </c>
      <c r="J13">
        <f t="shared" si="2"/>
        <v>0</v>
      </c>
    </row>
    <row r="14" spans="1:16">
      <c r="A14" s="1363"/>
      <c r="B14" s="278"/>
      <c r="C14" s="1101">
        <f t="shared" si="8"/>
        <v>0</v>
      </c>
      <c r="D14" s="1101" t="e">
        <f t="shared" si="3"/>
        <v>#DIV/0!</v>
      </c>
      <c r="E14" s="1101" t="e">
        <f t="shared" si="4"/>
        <v>#DIV/0!</v>
      </c>
      <c r="F14" s="1101" t="e">
        <f t="shared" si="5"/>
        <v>#DIV/0!</v>
      </c>
      <c r="G14" s="1101">
        <f t="shared" si="6"/>
        <v>0</v>
      </c>
      <c r="H14" s="1101">
        <f t="shared" si="7"/>
        <v>0</v>
      </c>
      <c r="I14">
        <f t="shared" si="1"/>
        <v>0</v>
      </c>
      <c r="J14">
        <f t="shared" si="2"/>
        <v>0</v>
      </c>
    </row>
    <row r="15" spans="1:16">
      <c r="A15" s="1363"/>
      <c r="B15" s="278"/>
      <c r="C15" s="1101">
        <f t="shared" si="8"/>
        <v>0</v>
      </c>
      <c r="D15" s="1101" t="e">
        <f t="shared" si="3"/>
        <v>#DIV/0!</v>
      </c>
      <c r="E15" s="1101" t="e">
        <f t="shared" si="4"/>
        <v>#DIV/0!</v>
      </c>
      <c r="F15" s="1101" t="e">
        <f t="shared" si="5"/>
        <v>#DIV/0!</v>
      </c>
      <c r="G15" s="1101">
        <f t="shared" si="6"/>
        <v>0</v>
      </c>
      <c r="H15" s="1101">
        <f t="shared" si="7"/>
        <v>0</v>
      </c>
      <c r="I15">
        <f t="shared" si="1"/>
        <v>0</v>
      </c>
      <c r="J15">
        <f t="shared" si="2"/>
        <v>0</v>
      </c>
    </row>
    <row r="16" spans="1:16">
      <c r="A16" s="1363"/>
      <c r="B16" s="278"/>
      <c r="C16" s="1101">
        <f t="shared" si="8"/>
        <v>0</v>
      </c>
      <c r="D16" s="1101" t="e">
        <f t="shared" si="3"/>
        <v>#DIV/0!</v>
      </c>
      <c r="E16" s="1101" t="e">
        <f t="shared" si="4"/>
        <v>#DIV/0!</v>
      </c>
      <c r="F16" s="1101" t="e">
        <f t="shared" si="5"/>
        <v>#DIV/0!</v>
      </c>
      <c r="G16" s="1101">
        <f t="shared" si="6"/>
        <v>0</v>
      </c>
      <c r="H16" s="1101">
        <f t="shared" si="7"/>
        <v>0</v>
      </c>
      <c r="I16">
        <f t="shared" si="1"/>
        <v>0</v>
      </c>
      <c r="J16">
        <f t="shared" si="2"/>
        <v>0</v>
      </c>
    </row>
    <row r="17" spans="1:10">
      <c r="A17" s="1363"/>
      <c r="B17" s="278"/>
      <c r="C17" s="1101">
        <f t="shared" si="8"/>
        <v>0</v>
      </c>
      <c r="D17" s="1101" t="e">
        <f t="shared" si="3"/>
        <v>#DIV/0!</v>
      </c>
      <c r="E17" s="1101" t="e">
        <f t="shared" si="4"/>
        <v>#DIV/0!</v>
      </c>
      <c r="F17" s="1101" t="e">
        <f t="shared" si="5"/>
        <v>#DIV/0!</v>
      </c>
      <c r="G17" s="1101">
        <f t="shared" si="6"/>
        <v>0</v>
      </c>
      <c r="H17" s="1101">
        <f t="shared" si="7"/>
        <v>0</v>
      </c>
      <c r="I17">
        <f t="shared" si="1"/>
        <v>0</v>
      </c>
      <c r="J17">
        <f t="shared" si="2"/>
        <v>0</v>
      </c>
    </row>
    <row r="18" spans="1:10">
      <c r="A18" s="1363"/>
      <c r="B18" s="278"/>
      <c r="C18" s="1101">
        <f t="shared" si="8"/>
        <v>0</v>
      </c>
      <c r="D18" s="1101" t="e">
        <f t="shared" si="3"/>
        <v>#DIV/0!</v>
      </c>
      <c r="E18" s="1101" t="e">
        <f t="shared" si="4"/>
        <v>#DIV/0!</v>
      </c>
      <c r="F18" s="1101" t="e">
        <f t="shared" si="5"/>
        <v>#DIV/0!</v>
      </c>
      <c r="G18" s="1101">
        <f t="shared" si="6"/>
        <v>0</v>
      </c>
      <c r="H18" s="1101">
        <f t="shared" si="7"/>
        <v>0</v>
      </c>
      <c r="I18">
        <f t="shared" si="1"/>
        <v>0</v>
      </c>
      <c r="J18">
        <f t="shared" si="2"/>
        <v>0</v>
      </c>
    </row>
    <row r="19" spans="1:10">
      <c r="A19" s="1363"/>
      <c r="B19" s="278"/>
      <c r="C19" s="1101">
        <f t="shared" si="8"/>
        <v>0</v>
      </c>
      <c r="D19" s="1101" t="e">
        <f t="shared" si="3"/>
        <v>#DIV/0!</v>
      </c>
      <c r="E19" s="1101" t="e">
        <f t="shared" si="4"/>
        <v>#DIV/0!</v>
      </c>
      <c r="F19" s="1101" t="e">
        <f t="shared" si="5"/>
        <v>#DIV/0!</v>
      </c>
      <c r="G19" s="1101">
        <f t="shared" si="6"/>
        <v>0</v>
      </c>
      <c r="H19" s="1101">
        <f t="shared" si="7"/>
        <v>0</v>
      </c>
      <c r="I19">
        <f t="shared" si="1"/>
        <v>0</v>
      </c>
      <c r="J19">
        <f t="shared" si="2"/>
        <v>0</v>
      </c>
    </row>
    <row r="20" spans="1:10">
      <c r="A20" s="1363"/>
      <c r="B20" s="278"/>
      <c r="C20" s="1101">
        <f t="shared" si="8"/>
        <v>0</v>
      </c>
      <c r="D20" s="1101" t="e">
        <f t="shared" si="3"/>
        <v>#DIV/0!</v>
      </c>
      <c r="E20" s="1101" t="e">
        <f t="shared" si="4"/>
        <v>#DIV/0!</v>
      </c>
      <c r="F20" s="1101" t="e">
        <f t="shared" si="5"/>
        <v>#DIV/0!</v>
      </c>
      <c r="G20" s="1101">
        <f t="shared" si="6"/>
        <v>0</v>
      </c>
      <c r="H20" s="1101">
        <f t="shared" si="7"/>
        <v>0</v>
      </c>
      <c r="I20">
        <f t="shared" si="1"/>
        <v>0</v>
      </c>
      <c r="J20">
        <f t="shared" si="2"/>
        <v>0</v>
      </c>
    </row>
    <row r="21" spans="1:10">
      <c r="A21" s="1363"/>
      <c r="B21" s="278"/>
      <c r="C21" s="1101">
        <f t="shared" si="8"/>
        <v>0</v>
      </c>
      <c r="D21" s="1101" t="e">
        <f t="shared" si="3"/>
        <v>#DIV/0!</v>
      </c>
      <c r="E21" s="1101" t="e">
        <f t="shared" si="4"/>
        <v>#DIV/0!</v>
      </c>
      <c r="F21" s="1101" t="e">
        <f t="shared" si="5"/>
        <v>#DIV/0!</v>
      </c>
      <c r="G21" s="1101">
        <f t="shared" si="6"/>
        <v>0</v>
      </c>
      <c r="H21" s="1101">
        <f t="shared" si="7"/>
        <v>0</v>
      </c>
      <c r="I21">
        <f t="shared" si="1"/>
        <v>0</v>
      </c>
      <c r="J21">
        <f t="shared" si="2"/>
        <v>0</v>
      </c>
    </row>
    <row r="22" spans="1:10">
      <c r="A22" s="1363"/>
      <c r="B22" s="278"/>
      <c r="C22" s="1101">
        <f t="shared" si="8"/>
        <v>0</v>
      </c>
      <c r="D22" s="1101" t="e">
        <f t="shared" si="3"/>
        <v>#DIV/0!</v>
      </c>
      <c r="E22" s="1101" t="e">
        <f t="shared" si="4"/>
        <v>#DIV/0!</v>
      </c>
      <c r="F22" s="1101" t="e">
        <f t="shared" si="5"/>
        <v>#DIV/0!</v>
      </c>
      <c r="G22" s="1101">
        <f t="shared" si="6"/>
        <v>0</v>
      </c>
      <c r="H22" s="1101">
        <f t="shared" si="7"/>
        <v>0</v>
      </c>
      <c r="I22">
        <f t="shared" si="1"/>
        <v>0</v>
      </c>
      <c r="J22">
        <f t="shared" si="2"/>
        <v>0</v>
      </c>
    </row>
    <row r="23" spans="1:10">
      <c r="A23" s="1363"/>
      <c r="B23" s="278"/>
      <c r="C23" s="1101">
        <f t="shared" si="8"/>
        <v>0</v>
      </c>
      <c r="D23" s="1101" t="e">
        <f t="shared" si="3"/>
        <v>#DIV/0!</v>
      </c>
      <c r="E23" s="1101" t="e">
        <f t="shared" si="4"/>
        <v>#DIV/0!</v>
      </c>
      <c r="F23" s="1101" t="e">
        <f t="shared" si="5"/>
        <v>#DIV/0!</v>
      </c>
      <c r="G23" s="1101">
        <f t="shared" si="6"/>
        <v>0</v>
      </c>
      <c r="H23" s="1101">
        <f t="shared" si="7"/>
        <v>0</v>
      </c>
      <c r="I23">
        <f t="shared" si="1"/>
        <v>0</v>
      </c>
      <c r="J23">
        <f t="shared" si="2"/>
        <v>0</v>
      </c>
    </row>
    <row r="24" spans="1:10">
      <c r="A24" s="1363"/>
      <c r="B24" s="278"/>
      <c r="C24" s="1101">
        <f t="shared" si="8"/>
        <v>0</v>
      </c>
      <c r="D24" s="1101" t="e">
        <f t="shared" si="3"/>
        <v>#DIV/0!</v>
      </c>
      <c r="E24" s="1101" t="e">
        <f t="shared" si="4"/>
        <v>#DIV/0!</v>
      </c>
      <c r="F24" s="1101" t="e">
        <f t="shared" si="5"/>
        <v>#DIV/0!</v>
      </c>
      <c r="G24" s="1101">
        <f t="shared" si="6"/>
        <v>0</v>
      </c>
      <c r="H24" s="1101">
        <f t="shared" si="7"/>
        <v>0</v>
      </c>
      <c r="I24">
        <f t="shared" si="1"/>
        <v>0</v>
      </c>
      <c r="J24">
        <f t="shared" si="2"/>
        <v>0</v>
      </c>
    </row>
    <row r="25" spans="1:10">
      <c r="A25" s="1363"/>
      <c r="B25" s="278"/>
      <c r="C25" s="1101">
        <f t="shared" si="8"/>
        <v>0</v>
      </c>
      <c r="D25" s="1101" t="e">
        <f t="shared" si="3"/>
        <v>#DIV/0!</v>
      </c>
      <c r="E25" s="1101" t="e">
        <f t="shared" si="4"/>
        <v>#DIV/0!</v>
      </c>
      <c r="F25" s="1101" t="e">
        <f t="shared" si="5"/>
        <v>#DIV/0!</v>
      </c>
      <c r="G25" s="1101">
        <f t="shared" si="6"/>
        <v>0</v>
      </c>
      <c r="H25" s="1101">
        <f t="shared" si="7"/>
        <v>0</v>
      </c>
      <c r="I25">
        <f t="shared" si="1"/>
        <v>0</v>
      </c>
      <c r="J25">
        <f t="shared" si="2"/>
        <v>0</v>
      </c>
    </row>
    <row r="26" spans="1:10">
      <c r="A26" s="1363"/>
      <c r="B26" s="278"/>
      <c r="C26" s="1101">
        <f t="shared" si="8"/>
        <v>0</v>
      </c>
      <c r="D26" s="1101" t="e">
        <f t="shared" si="3"/>
        <v>#DIV/0!</v>
      </c>
      <c r="E26" s="1101" t="e">
        <f t="shared" si="4"/>
        <v>#DIV/0!</v>
      </c>
      <c r="F26" s="1101" t="e">
        <f t="shared" si="5"/>
        <v>#DIV/0!</v>
      </c>
      <c r="G26" s="1101">
        <f t="shared" si="6"/>
        <v>0</v>
      </c>
      <c r="H26" s="1101">
        <f t="shared" si="7"/>
        <v>0</v>
      </c>
      <c r="I26">
        <f t="shared" si="1"/>
        <v>0</v>
      </c>
      <c r="J26">
        <f t="shared" si="2"/>
        <v>0</v>
      </c>
    </row>
    <row r="27" spans="1:10">
      <c r="A27" s="1363"/>
      <c r="B27" s="278"/>
      <c r="C27" s="1101">
        <f t="shared" si="8"/>
        <v>0</v>
      </c>
      <c r="D27" s="1101" t="e">
        <f t="shared" si="3"/>
        <v>#DIV/0!</v>
      </c>
      <c r="E27" s="1101" t="e">
        <f t="shared" si="4"/>
        <v>#DIV/0!</v>
      </c>
      <c r="F27" s="1101" t="e">
        <f t="shared" si="5"/>
        <v>#DIV/0!</v>
      </c>
      <c r="G27" s="1101">
        <f t="shared" si="6"/>
        <v>0</v>
      </c>
      <c r="H27" s="1101">
        <f t="shared" si="7"/>
        <v>0</v>
      </c>
      <c r="I27">
        <f t="shared" si="1"/>
        <v>0</v>
      </c>
      <c r="J27">
        <f t="shared" si="2"/>
        <v>0</v>
      </c>
    </row>
    <row r="28" spans="1:10">
      <c r="A28" s="1363"/>
      <c r="B28" s="278"/>
      <c r="C28" s="1101">
        <f t="shared" si="8"/>
        <v>0</v>
      </c>
      <c r="D28" s="1101" t="e">
        <f t="shared" si="3"/>
        <v>#DIV/0!</v>
      </c>
      <c r="E28" s="1101" t="e">
        <f t="shared" si="4"/>
        <v>#DIV/0!</v>
      </c>
      <c r="F28" s="1101" t="e">
        <f t="shared" si="5"/>
        <v>#DIV/0!</v>
      </c>
      <c r="G28" s="1101">
        <f t="shared" si="6"/>
        <v>0</v>
      </c>
      <c r="H28" s="1101">
        <f t="shared" si="7"/>
        <v>0</v>
      </c>
      <c r="I28">
        <f t="shared" si="1"/>
        <v>0</v>
      </c>
      <c r="J28">
        <f t="shared" si="2"/>
        <v>0</v>
      </c>
    </row>
    <row r="29" spans="1:10">
      <c r="A29" s="1363"/>
      <c r="B29" s="278"/>
      <c r="C29" s="1101">
        <f t="shared" si="8"/>
        <v>0</v>
      </c>
      <c r="D29" s="1101" t="e">
        <f t="shared" si="3"/>
        <v>#DIV/0!</v>
      </c>
      <c r="E29" s="1101" t="e">
        <f t="shared" si="4"/>
        <v>#DIV/0!</v>
      </c>
      <c r="F29" s="1101" t="e">
        <f t="shared" si="5"/>
        <v>#DIV/0!</v>
      </c>
      <c r="G29" s="1101">
        <f t="shared" si="6"/>
        <v>0</v>
      </c>
      <c r="H29" s="1101">
        <f t="shared" si="7"/>
        <v>0</v>
      </c>
      <c r="I29">
        <f t="shared" si="1"/>
        <v>0</v>
      </c>
      <c r="J29">
        <f t="shared" si="2"/>
        <v>0</v>
      </c>
    </row>
    <row r="30" spans="1:10">
      <c r="A30" s="1363"/>
      <c r="B30" s="278"/>
      <c r="C30" s="1101">
        <f t="shared" si="8"/>
        <v>0</v>
      </c>
      <c r="D30" s="1101" t="e">
        <f t="shared" si="3"/>
        <v>#DIV/0!</v>
      </c>
      <c r="E30" s="1101" t="e">
        <f t="shared" si="4"/>
        <v>#DIV/0!</v>
      </c>
      <c r="F30" s="1101" t="e">
        <f t="shared" si="5"/>
        <v>#DIV/0!</v>
      </c>
      <c r="G30" s="1101">
        <f t="shared" si="6"/>
        <v>0</v>
      </c>
      <c r="H30" s="1101">
        <f t="shared" si="7"/>
        <v>0</v>
      </c>
      <c r="I30">
        <f t="shared" si="1"/>
        <v>0</v>
      </c>
      <c r="J30">
        <f t="shared" si="2"/>
        <v>0</v>
      </c>
    </row>
    <row r="31" spans="1:10">
      <c r="A31" s="1363"/>
      <c r="B31" s="278"/>
      <c r="C31" s="1101">
        <f t="shared" si="8"/>
        <v>0</v>
      </c>
      <c r="D31" s="1101" t="e">
        <f t="shared" si="3"/>
        <v>#DIV/0!</v>
      </c>
      <c r="E31" s="1101" t="e">
        <f t="shared" si="4"/>
        <v>#DIV/0!</v>
      </c>
      <c r="F31" s="1101" t="e">
        <f t="shared" si="5"/>
        <v>#DIV/0!</v>
      </c>
      <c r="G31" s="1101">
        <f t="shared" si="6"/>
        <v>0</v>
      </c>
      <c r="H31" s="1101">
        <f t="shared" si="7"/>
        <v>0</v>
      </c>
      <c r="I31">
        <f t="shared" si="1"/>
        <v>0</v>
      </c>
      <c r="J31">
        <f t="shared" si="2"/>
        <v>0</v>
      </c>
    </row>
    <row r="32" spans="1:10">
      <c r="A32" s="1363"/>
      <c r="B32" s="278"/>
      <c r="C32" s="1101">
        <f t="shared" si="8"/>
        <v>0</v>
      </c>
      <c r="D32" s="1101" t="e">
        <f t="shared" si="3"/>
        <v>#DIV/0!</v>
      </c>
      <c r="E32" s="1101" t="e">
        <f t="shared" si="4"/>
        <v>#DIV/0!</v>
      </c>
      <c r="F32" s="1101" t="e">
        <f t="shared" si="5"/>
        <v>#DIV/0!</v>
      </c>
      <c r="G32" s="1101">
        <f t="shared" si="6"/>
        <v>0</v>
      </c>
      <c r="H32" s="1101">
        <f t="shared" si="7"/>
        <v>0</v>
      </c>
      <c r="I32">
        <f t="shared" si="1"/>
        <v>0</v>
      </c>
      <c r="J32">
        <f t="shared" si="2"/>
        <v>0</v>
      </c>
    </row>
    <row r="33" spans="1:10">
      <c r="A33" s="1363"/>
      <c r="B33" s="278"/>
      <c r="C33" s="1101">
        <f t="shared" si="8"/>
        <v>0</v>
      </c>
      <c r="D33" s="1101" t="e">
        <f t="shared" si="3"/>
        <v>#DIV/0!</v>
      </c>
      <c r="E33" s="1101" t="e">
        <f t="shared" si="4"/>
        <v>#DIV/0!</v>
      </c>
      <c r="F33" s="1101" t="e">
        <f t="shared" si="5"/>
        <v>#DIV/0!</v>
      </c>
      <c r="G33" s="1101">
        <f t="shared" si="6"/>
        <v>0</v>
      </c>
      <c r="H33" s="1101">
        <f t="shared" si="7"/>
        <v>0</v>
      </c>
      <c r="I33">
        <f t="shared" si="1"/>
        <v>0</v>
      </c>
      <c r="J33">
        <f t="shared" si="2"/>
        <v>0</v>
      </c>
    </row>
    <row r="34" spans="1:10">
      <c r="A34" s="1363"/>
      <c r="B34" s="278"/>
      <c r="C34" s="1101">
        <f t="shared" si="8"/>
        <v>0</v>
      </c>
      <c r="D34" s="1101" t="e">
        <f t="shared" si="3"/>
        <v>#DIV/0!</v>
      </c>
      <c r="E34" s="1101" t="e">
        <f t="shared" si="4"/>
        <v>#DIV/0!</v>
      </c>
      <c r="F34" s="1101" t="e">
        <f t="shared" si="5"/>
        <v>#DIV/0!</v>
      </c>
      <c r="G34" s="1101">
        <f t="shared" si="6"/>
        <v>0</v>
      </c>
      <c r="H34" s="1101">
        <f t="shared" si="7"/>
        <v>0</v>
      </c>
      <c r="I34">
        <f t="shared" si="1"/>
        <v>0</v>
      </c>
      <c r="J34">
        <f t="shared" si="2"/>
        <v>0</v>
      </c>
    </row>
    <row r="35" spans="1:10">
      <c r="A35" s="1363"/>
      <c r="B35" s="278"/>
      <c r="C35" s="1101">
        <f t="shared" si="8"/>
        <v>0</v>
      </c>
      <c r="D35" s="1101" t="e">
        <f t="shared" si="3"/>
        <v>#DIV/0!</v>
      </c>
      <c r="E35" s="1101" t="e">
        <f t="shared" si="4"/>
        <v>#DIV/0!</v>
      </c>
      <c r="F35" s="1101" t="e">
        <f t="shared" si="5"/>
        <v>#DIV/0!</v>
      </c>
      <c r="G35" s="1101">
        <f t="shared" si="6"/>
        <v>0</v>
      </c>
      <c r="H35" s="1101">
        <f t="shared" si="7"/>
        <v>0</v>
      </c>
      <c r="I35">
        <f t="shared" si="1"/>
        <v>0</v>
      </c>
      <c r="J35">
        <f t="shared" si="2"/>
        <v>0</v>
      </c>
    </row>
    <row r="36" spans="1:10">
      <c r="A36" s="1363"/>
      <c r="B36" s="278"/>
      <c r="C36" s="1101">
        <f t="shared" si="8"/>
        <v>0</v>
      </c>
      <c r="D36" s="1101" t="e">
        <f t="shared" si="3"/>
        <v>#DIV/0!</v>
      </c>
      <c r="E36" s="1101" t="e">
        <f t="shared" si="4"/>
        <v>#DIV/0!</v>
      </c>
      <c r="F36" s="1101" t="e">
        <f t="shared" si="5"/>
        <v>#DIV/0!</v>
      </c>
      <c r="G36" s="1101">
        <f t="shared" si="6"/>
        <v>0</v>
      </c>
      <c r="H36" s="1101">
        <f t="shared" si="7"/>
        <v>0</v>
      </c>
      <c r="I36">
        <f t="shared" si="1"/>
        <v>0</v>
      </c>
      <c r="J36">
        <f t="shared" si="2"/>
        <v>0</v>
      </c>
    </row>
    <row r="37" spans="1:10">
      <c r="A37" s="1363"/>
      <c r="B37" s="278"/>
      <c r="C37" s="1101">
        <f t="shared" si="8"/>
        <v>0</v>
      </c>
      <c r="D37" s="1101" t="e">
        <f t="shared" si="3"/>
        <v>#DIV/0!</v>
      </c>
      <c r="E37" s="1101" t="e">
        <f t="shared" si="4"/>
        <v>#DIV/0!</v>
      </c>
      <c r="F37" s="1101" t="e">
        <f t="shared" si="5"/>
        <v>#DIV/0!</v>
      </c>
      <c r="G37" s="1101">
        <f t="shared" si="6"/>
        <v>0</v>
      </c>
      <c r="H37" s="1101">
        <f t="shared" si="7"/>
        <v>0</v>
      </c>
      <c r="I37">
        <f t="shared" si="1"/>
        <v>0</v>
      </c>
      <c r="J37">
        <f t="shared" si="2"/>
        <v>0</v>
      </c>
    </row>
    <row r="38" spans="1:10">
      <c r="A38" s="1363"/>
      <c r="B38" s="278"/>
      <c r="C38" s="1101">
        <f t="shared" si="8"/>
        <v>0</v>
      </c>
      <c r="D38" s="1101" t="e">
        <f t="shared" si="3"/>
        <v>#DIV/0!</v>
      </c>
      <c r="E38" s="1101" t="e">
        <f t="shared" si="4"/>
        <v>#DIV/0!</v>
      </c>
      <c r="F38" s="1101" t="e">
        <f t="shared" si="5"/>
        <v>#DIV/0!</v>
      </c>
      <c r="G38" s="1101">
        <f t="shared" si="6"/>
        <v>0</v>
      </c>
      <c r="H38" s="1101">
        <f t="shared" si="7"/>
        <v>0</v>
      </c>
      <c r="I38">
        <f t="shared" si="1"/>
        <v>0</v>
      </c>
      <c r="J38">
        <f t="shared" si="2"/>
        <v>0</v>
      </c>
    </row>
    <row r="39" spans="1:10">
      <c r="A39" s="1363"/>
      <c r="B39" s="278"/>
      <c r="C39" s="1101">
        <f t="shared" si="8"/>
        <v>0</v>
      </c>
      <c r="D39" s="1101" t="e">
        <f t="shared" si="3"/>
        <v>#DIV/0!</v>
      </c>
      <c r="E39" s="1101" t="e">
        <f t="shared" si="4"/>
        <v>#DIV/0!</v>
      </c>
      <c r="F39" s="1101" t="e">
        <f t="shared" si="5"/>
        <v>#DIV/0!</v>
      </c>
      <c r="G39" s="1101">
        <f t="shared" si="6"/>
        <v>0</v>
      </c>
      <c r="H39" s="1101">
        <f t="shared" si="7"/>
        <v>0</v>
      </c>
      <c r="I39">
        <f t="shared" si="1"/>
        <v>0</v>
      </c>
      <c r="J39">
        <f t="shared" si="2"/>
        <v>0</v>
      </c>
    </row>
    <row r="40" spans="1:10">
      <c r="A40" s="1363"/>
      <c r="B40" s="278"/>
      <c r="C40" s="1101">
        <f t="shared" si="8"/>
        <v>0</v>
      </c>
      <c r="D40" s="1101" t="e">
        <f t="shared" si="3"/>
        <v>#DIV/0!</v>
      </c>
      <c r="E40" s="1101" t="e">
        <f t="shared" si="4"/>
        <v>#DIV/0!</v>
      </c>
      <c r="F40" s="1101" t="e">
        <f t="shared" si="5"/>
        <v>#DIV/0!</v>
      </c>
      <c r="G40" s="1101">
        <f t="shared" si="6"/>
        <v>0</v>
      </c>
      <c r="H40" s="1101">
        <f t="shared" si="7"/>
        <v>0</v>
      </c>
      <c r="I40">
        <f t="shared" si="1"/>
        <v>0</v>
      </c>
      <c r="J40">
        <f t="shared" si="2"/>
        <v>0</v>
      </c>
    </row>
    <row r="41" spans="1:10" s="1362" customFormat="1">
      <c r="A41" s="1363"/>
      <c r="B41" s="1363"/>
      <c r="C41" s="1101">
        <f t="shared" ref="C41" si="9">ABS(B40-B41)</f>
        <v>0</v>
      </c>
      <c r="D41" s="1101" t="e">
        <f t="shared" si="3"/>
        <v>#DIV/0!</v>
      </c>
      <c r="E41" s="1101" t="e">
        <f t="shared" si="4"/>
        <v>#DIV/0!</v>
      </c>
      <c r="F41" s="1101" t="e">
        <f t="shared" si="5"/>
        <v>#DIV/0!</v>
      </c>
      <c r="G41" s="1101">
        <f t="shared" si="6"/>
        <v>0</v>
      </c>
      <c r="H41" s="1101">
        <f t="shared" si="7"/>
        <v>0</v>
      </c>
      <c r="I41" s="1362">
        <f t="shared" si="1"/>
        <v>0</v>
      </c>
      <c r="J41" s="1362">
        <f t="shared" si="2"/>
        <v>0</v>
      </c>
    </row>
    <row r="42" spans="1:10" s="1362" customFormat="1">
      <c r="A42" s="1363"/>
      <c r="B42" s="1363"/>
      <c r="C42" s="1101">
        <f t="shared" ref="C42" si="10">ABS(B40-B42)</f>
        <v>0</v>
      </c>
      <c r="D42" s="1101" t="e">
        <f>D40</f>
        <v>#DIV/0!</v>
      </c>
      <c r="E42" s="1101" t="e">
        <f>E40</f>
        <v>#DIV/0!</v>
      </c>
      <c r="F42" s="1101" t="e">
        <f>F40</f>
        <v>#DIV/0!</v>
      </c>
      <c r="G42" s="1101">
        <f>G40</f>
        <v>0</v>
      </c>
      <c r="H42" s="1101">
        <f>H40</f>
        <v>0</v>
      </c>
      <c r="I42" s="1362">
        <f t="shared" si="1"/>
        <v>0</v>
      </c>
      <c r="J42" s="1362">
        <f t="shared" si="2"/>
        <v>0</v>
      </c>
    </row>
    <row r="43" spans="1:10" s="1362" customFormat="1">
      <c r="A43" s="1363"/>
      <c r="B43" s="1363"/>
      <c r="C43" s="1101">
        <f t="shared" ref="C43" si="11">ABS(B40-B43)</f>
        <v>0</v>
      </c>
      <c r="D43" s="1101" t="e">
        <f>D40</f>
        <v>#DIV/0!</v>
      </c>
      <c r="E43" s="1101" t="e">
        <f>E40</f>
        <v>#DIV/0!</v>
      </c>
      <c r="F43" s="1101" t="e">
        <f>F40</f>
        <v>#DIV/0!</v>
      </c>
      <c r="G43" s="1101">
        <f>G40</f>
        <v>0</v>
      </c>
      <c r="H43" s="1101">
        <f>H40</f>
        <v>0</v>
      </c>
      <c r="I43" s="1362">
        <f t="shared" si="1"/>
        <v>0</v>
      </c>
      <c r="J43" s="1362">
        <f t="shared" si="2"/>
        <v>0</v>
      </c>
    </row>
    <row r="44" spans="1:10" s="1362" customFormat="1">
      <c r="A44" s="1363"/>
      <c r="B44" s="1363"/>
      <c r="C44" s="1101">
        <f t="shared" ref="C44" si="12">ABS(B40-B44)</f>
        <v>0</v>
      </c>
      <c r="D44" s="1101" t="e">
        <f>D40</f>
        <v>#DIV/0!</v>
      </c>
      <c r="E44" s="1101" t="e">
        <f>E40</f>
        <v>#DIV/0!</v>
      </c>
      <c r="F44" s="1101" t="e">
        <f>F40</f>
        <v>#DIV/0!</v>
      </c>
      <c r="G44" s="1101">
        <f>G40</f>
        <v>0</v>
      </c>
      <c r="H44" s="1101">
        <f>H40</f>
        <v>0</v>
      </c>
      <c r="I44" s="1362">
        <f t="shared" si="1"/>
        <v>0</v>
      </c>
      <c r="J44" s="1362">
        <f t="shared" si="2"/>
        <v>0</v>
      </c>
    </row>
    <row r="45" spans="1:10" s="1362" customFormat="1">
      <c r="A45" s="1363"/>
      <c r="B45" s="1363"/>
      <c r="C45" s="1101">
        <f t="shared" ref="C45" si="13">ABS(B40-B45)</f>
        <v>0</v>
      </c>
      <c r="D45" s="1101" t="e">
        <f>D40</f>
        <v>#DIV/0!</v>
      </c>
      <c r="E45" s="1101" t="e">
        <f>E40</f>
        <v>#DIV/0!</v>
      </c>
      <c r="F45" s="1101" t="e">
        <f>F40</f>
        <v>#DIV/0!</v>
      </c>
      <c r="G45" s="1101">
        <f>G40</f>
        <v>0</v>
      </c>
      <c r="H45" s="1101">
        <f>H40</f>
        <v>0</v>
      </c>
      <c r="I45" s="1362">
        <f t="shared" si="1"/>
        <v>0</v>
      </c>
      <c r="J45" s="1362">
        <f t="shared" si="2"/>
        <v>0</v>
      </c>
    </row>
    <row r="46" spans="1:10">
      <c r="A46" s="1102"/>
      <c r="B46" s="1102"/>
      <c r="C46" s="1103"/>
      <c r="D46" s="1101" t="e">
        <f>D40</f>
        <v>#DIV/0!</v>
      </c>
      <c r="E46" s="1101" t="e">
        <f>E40</f>
        <v>#DIV/0!</v>
      </c>
      <c r="F46" s="1101" t="e">
        <f>F40</f>
        <v>#DIV/0!</v>
      </c>
      <c r="G46" s="1101">
        <f>G40</f>
        <v>0</v>
      </c>
      <c r="H46" s="1101">
        <f>H40</f>
        <v>0</v>
      </c>
      <c r="I46">
        <f t="shared" si="1"/>
        <v>0</v>
      </c>
      <c r="J46">
        <f t="shared" si="2"/>
        <v>0</v>
      </c>
    </row>
    <row r="47" spans="1:10">
      <c r="A47" s="1101" t="s">
        <v>126</v>
      </c>
      <c r="B47" s="1101" t="e">
        <f>AVERAGE(B11:B40)</f>
        <v>#DIV/0!</v>
      </c>
      <c r="C47" s="1101">
        <f>AVERAGE(C11:C40)</f>
        <v>0</v>
      </c>
    </row>
  </sheetData>
  <sheetProtection password="CC08" sheet="1" scenarios="1"/>
  <mergeCells count="22">
    <mergeCell ref="B5:C5"/>
    <mergeCell ref="K5:P5"/>
    <mergeCell ref="B7:C7"/>
    <mergeCell ref="D5:G5"/>
    <mergeCell ref="D7:G7"/>
    <mergeCell ref="K7:P7"/>
    <mergeCell ref="K8:P8"/>
    <mergeCell ref="B4:C4"/>
    <mergeCell ref="B6:C6"/>
    <mergeCell ref="B2:C2"/>
    <mergeCell ref="D1:G1"/>
    <mergeCell ref="D2:G2"/>
    <mergeCell ref="D3:G3"/>
    <mergeCell ref="D4:G4"/>
    <mergeCell ref="D6:G6"/>
    <mergeCell ref="B1:C1"/>
    <mergeCell ref="B3:C3"/>
    <mergeCell ref="K1:P1"/>
    <mergeCell ref="K2:P2"/>
    <mergeCell ref="K3:P3"/>
    <mergeCell ref="K4:P4"/>
    <mergeCell ref="K6:P6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&amp;C&amp;"Arial,Bold"&amp;12Individual Value, Moving Range Control Chart</oddHeader>
    <oddFooter>&amp;L&amp;8&amp;F&amp;R&amp;8Printed:  &amp;D</oddFooter>
  </headerFooter>
  <drawing r:id="rId2"/>
  <legacyDrawing r:id="rId3"/>
  <controls>
    <control shapeId="76810" r:id="rId4" name="MainMenu"/>
  </controls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49"/>
  <dimension ref="A1:R44"/>
  <sheetViews>
    <sheetView workbookViewId="0">
      <pane ySplit="11" topLeftCell="A12" activePane="bottomLeft" state="frozen"/>
      <selection pane="bottomLeft" activeCell="K8" sqref="K8"/>
    </sheetView>
  </sheetViews>
  <sheetFormatPr defaultRowHeight="12.75"/>
  <sheetData>
    <row r="1" spans="1:18">
      <c r="B1" s="1673" t="s">
        <v>1148</v>
      </c>
      <c r="C1" s="1673"/>
      <c r="D1" s="1587"/>
      <c r="E1" s="1587"/>
      <c r="F1" s="1587"/>
      <c r="G1" s="1587"/>
      <c r="I1" s="796" t="s">
        <v>155</v>
      </c>
      <c r="J1" s="278"/>
      <c r="M1" s="1488" t="str">
        <f t="shared" ref="M1:M6" si="0">IF(D1="","",D1)</f>
        <v/>
      </c>
      <c r="N1" s="1488"/>
      <c r="O1" s="1488"/>
      <c r="P1" s="1488"/>
      <c r="Q1" s="1488"/>
      <c r="R1" s="1488"/>
    </row>
    <row r="2" spans="1:18">
      <c r="B2" s="1673" t="s">
        <v>1149</v>
      </c>
      <c r="C2" s="1673"/>
      <c r="D2" s="1587"/>
      <c r="E2" s="1587"/>
      <c r="F2" s="1587"/>
      <c r="G2" s="1587"/>
      <c r="I2" s="796" t="s">
        <v>1176</v>
      </c>
      <c r="J2" s="278"/>
      <c r="M2" s="1488" t="str">
        <f t="shared" si="0"/>
        <v/>
      </c>
      <c r="N2" s="1488"/>
      <c r="O2" s="1488"/>
      <c r="P2" s="1488"/>
      <c r="Q2" s="1488"/>
      <c r="R2" s="1488"/>
    </row>
    <row r="3" spans="1:18">
      <c r="B3" s="1674" t="s">
        <v>1150</v>
      </c>
      <c r="C3" s="1674"/>
      <c r="D3" s="1587"/>
      <c r="E3" s="1587"/>
      <c r="F3" s="1587"/>
      <c r="G3" s="1587"/>
      <c r="I3" s="796" t="s">
        <v>154</v>
      </c>
      <c r="J3" s="278"/>
      <c r="M3" s="1488" t="str">
        <f t="shared" si="0"/>
        <v/>
      </c>
      <c r="N3" s="1488"/>
      <c r="O3" s="1488"/>
      <c r="P3" s="1488"/>
      <c r="Q3" s="1488"/>
      <c r="R3" s="1488"/>
    </row>
    <row r="4" spans="1:18">
      <c r="B4" s="1673" t="s">
        <v>69</v>
      </c>
      <c r="C4" s="1673"/>
      <c r="D4" s="1587"/>
      <c r="E4" s="1587"/>
      <c r="F4" s="1587"/>
      <c r="G4" s="1587"/>
      <c r="M4" s="1488" t="str">
        <f t="shared" si="0"/>
        <v/>
      </c>
      <c r="N4" s="1488"/>
      <c r="O4" s="1488"/>
      <c r="P4" s="1488"/>
      <c r="Q4" s="1488"/>
      <c r="R4" s="1488"/>
    </row>
    <row r="5" spans="1:18">
      <c r="B5" s="1673" t="s">
        <v>1151</v>
      </c>
      <c r="C5" s="1673"/>
      <c r="D5" s="1587"/>
      <c r="E5" s="1587"/>
      <c r="F5" s="1587"/>
      <c r="G5" s="1587"/>
      <c r="M5" s="1488" t="str">
        <f t="shared" si="0"/>
        <v/>
      </c>
      <c r="N5" s="1488"/>
      <c r="O5" s="1488"/>
      <c r="P5" s="1488"/>
      <c r="Q5" s="1488"/>
      <c r="R5" s="1488"/>
    </row>
    <row r="6" spans="1:18">
      <c r="B6" s="1673" t="s">
        <v>1152</v>
      </c>
      <c r="C6" s="1673"/>
      <c r="D6" s="1587"/>
      <c r="E6" s="1587"/>
      <c r="F6" s="1587"/>
      <c r="G6" s="1587"/>
      <c r="M6" s="1488" t="str">
        <f t="shared" si="0"/>
        <v/>
      </c>
      <c r="N6" s="1488"/>
      <c r="O6" s="1488"/>
      <c r="P6" s="1488"/>
      <c r="Q6" s="1488"/>
      <c r="R6" s="1488"/>
    </row>
    <row r="7" spans="1:18">
      <c r="B7" s="1673" t="s">
        <v>1153</v>
      </c>
      <c r="C7" s="1673"/>
      <c r="D7" s="1587"/>
      <c r="E7" s="1587"/>
      <c r="F7" s="1587"/>
      <c r="G7" s="1587"/>
      <c r="M7" s="1488" t="s">
        <v>1173</v>
      </c>
      <c r="N7" s="1488"/>
      <c r="O7" s="1488"/>
      <c r="P7" s="1488"/>
      <c r="Q7" s="1488"/>
      <c r="R7" s="1488"/>
    </row>
    <row r="8" spans="1:18">
      <c r="M8" s="1672">
        <f ca="1">IF(D7="",TODAY())</f>
        <v>40599</v>
      </c>
      <c r="N8" s="1672"/>
      <c r="O8" s="1672"/>
      <c r="P8" s="1672"/>
      <c r="Q8" s="1672"/>
      <c r="R8" s="1672"/>
    </row>
    <row r="11" spans="1:18" ht="13.5" thickBot="1">
      <c r="A11" s="1107" t="s">
        <v>1154</v>
      </c>
      <c r="B11" s="1097" t="s">
        <v>1161</v>
      </c>
      <c r="C11" s="1097" t="s">
        <v>1162</v>
      </c>
      <c r="D11" s="1107" t="s">
        <v>195</v>
      </c>
      <c r="E11" s="1107" t="s">
        <v>117</v>
      </c>
      <c r="F11" s="1108" t="s">
        <v>1166</v>
      </c>
      <c r="G11" s="1108" t="s">
        <v>421</v>
      </c>
      <c r="H11" s="1108" t="s">
        <v>1167</v>
      </c>
      <c r="I11" s="1108" t="s">
        <v>1168</v>
      </c>
      <c r="J11" s="1108" t="s">
        <v>1169</v>
      </c>
      <c r="K11" s="1109" t="s">
        <v>155</v>
      </c>
      <c r="L11" s="1109" t="s">
        <v>154</v>
      </c>
    </row>
    <row r="12" spans="1:18" ht="13.5" thickTop="1">
      <c r="A12" s="1110"/>
      <c r="B12" s="1111"/>
      <c r="C12" s="1111"/>
      <c r="D12" s="1112"/>
      <c r="E12" s="1112"/>
      <c r="F12" s="1113" t="e">
        <f>IF(D44-(1.88*E44)&lt;0,0,D44-(1.88*E44))</f>
        <v>#DIV/0!</v>
      </c>
      <c r="G12" s="1113" t="e">
        <f>D44</f>
        <v>#DIV/0!</v>
      </c>
      <c r="H12" s="1113" t="e">
        <f>D44+(1.88*E44)</f>
        <v>#DIV/0!</v>
      </c>
      <c r="I12" s="1113">
        <f>3.267*E44</f>
        <v>0</v>
      </c>
      <c r="J12" s="1113">
        <f>E44</f>
        <v>0</v>
      </c>
      <c r="K12" s="1114">
        <f t="shared" ref="K12:K43" si="1">$J$1</f>
        <v>0</v>
      </c>
      <c r="L12" s="1114">
        <f t="shared" ref="L12:L43" si="2">$J$3</f>
        <v>0</v>
      </c>
    </row>
    <row r="13" spans="1:18">
      <c r="A13">
        <v>1</v>
      </c>
      <c r="B13" s="273"/>
      <c r="C13" s="273"/>
      <c r="D13" s="1113" t="str">
        <f t="shared" ref="D13:D42" si="3">IF(B13="","",AVERAGE(B13:C13))</f>
        <v/>
      </c>
      <c r="E13" s="1113">
        <f t="shared" ref="E13:E42" si="4">MAX(B13:C13)-MIN(B13:C13)</f>
        <v>0</v>
      </c>
      <c r="F13" s="1113" t="e">
        <f t="shared" ref="F13:F43" si="5">F12</f>
        <v>#DIV/0!</v>
      </c>
      <c r="G13" s="1113" t="e">
        <f t="shared" ref="G13:G43" si="6">G12</f>
        <v>#DIV/0!</v>
      </c>
      <c r="H13" s="1113" t="e">
        <f t="shared" ref="H13:H43" si="7">H12</f>
        <v>#DIV/0!</v>
      </c>
      <c r="I13" s="1113">
        <f t="shared" ref="I13:I43" si="8">I12</f>
        <v>0</v>
      </c>
      <c r="J13" s="1113">
        <f t="shared" ref="J13:J43" si="9">J12</f>
        <v>0</v>
      </c>
      <c r="K13" s="1114">
        <f t="shared" si="1"/>
        <v>0</v>
      </c>
      <c r="L13" s="1114">
        <f t="shared" si="2"/>
        <v>0</v>
      </c>
    </row>
    <row r="14" spans="1:18">
      <c r="A14">
        <v>2</v>
      </c>
      <c r="B14" s="273"/>
      <c r="C14" s="273"/>
      <c r="D14" s="1113" t="str">
        <f t="shared" si="3"/>
        <v/>
      </c>
      <c r="E14" s="1113">
        <f t="shared" si="4"/>
        <v>0</v>
      </c>
      <c r="F14" s="1113" t="e">
        <f t="shared" si="5"/>
        <v>#DIV/0!</v>
      </c>
      <c r="G14" s="1113" t="e">
        <f t="shared" si="6"/>
        <v>#DIV/0!</v>
      </c>
      <c r="H14" s="1113" t="e">
        <f t="shared" si="7"/>
        <v>#DIV/0!</v>
      </c>
      <c r="I14" s="1113">
        <f t="shared" si="8"/>
        <v>0</v>
      </c>
      <c r="J14" s="1113">
        <f t="shared" si="9"/>
        <v>0</v>
      </c>
      <c r="K14" s="1114">
        <f t="shared" si="1"/>
        <v>0</v>
      </c>
      <c r="L14" s="1114">
        <f t="shared" si="2"/>
        <v>0</v>
      </c>
    </row>
    <row r="15" spans="1:18">
      <c r="A15">
        <v>3</v>
      </c>
      <c r="B15" s="273"/>
      <c r="C15" s="273"/>
      <c r="D15" s="1113" t="str">
        <f t="shared" si="3"/>
        <v/>
      </c>
      <c r="E15" s="1113">
        <f t="shared" si="4"/>
        <v>0</v>
      </c>
      <c r="F15" s="1113" t="e">
        <f t="shared" si="5"/>
        <v>#DIV/0!</v>
      </c>
      <c r="G15" s="1113" t="e">
        <f t="shared" si="6"/>
        <v>#DIV/0!</v>
      </c>
      <c r="H15" s="1113" t="e">
        <f t="shared" si="7"/>
        <v>#DIV/0!</v>
      </c>
      <c r="I15" s="1113">
        <f t="shared" si="8"/>
        <v>0</v>
      </c>
      <c r="J15" s="1113">
        <f t="shared" si="9"/>
        <v>0</v>
      </c>
      <c r="K15" s="1114">
        <f t="shared" si="1"/>
        <v>0</v>
      </c>
      <c r="L15" s="1114">
        <f t="shared" si="2"/>
        <v>0</v>
      </c>
    </row>
    <row r="16" spans="1:18">
      <c r="A16">
        <v>4</v>
      </c>
      <c r="B16" s="273"/>
      <c r="C16" s="273"/>
      <c r="D16" s="1113" t="str">
        <f t="shared" si="3"/>
        <v/>
      </c>
      <c r="E16" s="1113">
        <f t="shared" si="4"/>
        <v>0</v>
      </c>
      <c r="F16" s="1113" t="e">
        <f t="shared" si="5"/>
        <v>#DIV/0!</v>
      </c>
      <c r="G16" s="1113" t="e">
        <f t="shared" si="6"/>
        <v>#DIV/0!</v>
      </c>
      <c r="H16" s="1113" t="e">
        <f t="shared" si="7"/>
        <v>#DIV/0!</v>
      </c>
      <c r="I16" s="1113">
        <f t="shared" si="8"/>
        <v>0</v>
      </c>
      <c r="J16" s="1113">
        <f t="shared" si="9"/>
        <v>0</v>
      </c>
      <c r="K16" s="1114">
        <f t="shared" si="1"/>
        <v>0</v>
      </c>
      <c r="L16" s="1114">
        <f t="shared" si="2"/>
        <v>0</v>
      </c>
    </row>
    <row r="17" spans="1:12">
      <c r="A17">
        <v>5</v>
      </c>
      <c r="B17" s="273"/>
      <c r="C17" s="273"/>
      <c r="D17" s="1113" t="str">
        <f t="shared" si="3"/>
        <v/>
      </c>
      <c r="E17" s="1113">
        <f t="shared" si="4"/>
        <v>0</v>
      </c>
      <c r="F17" s="1113" t="e">
        <f t="shared" si="5"/>
        <v>#DIV/0!</v>
      </c>
      <c r="G17" s="1113" t="e">
        <f t="shared" si="6"/>
        <v>#DIV/0!</v>
      </c>
      <c r="H17" s="1113" t="e">
        <f t="shared" si="7"/>
        <v>#DIV/0!</v>
      </c>
      <c r="I17" s="1113">
        <f t="shared" si="8"/>
        <v>0</v>
      </c>
      <c r="J17" s="1113">
        <f t="shared" si="9"/>
        <v>0</v>
      </c>
      <c r="K17" s="1114">
        <f t="shared" si="1"/>
        <v>0</v>
      </c>
      <c r="L17" s="1114">
        <f t="shared" si="2"/>
        <v>0</v>
      </c>
    </row>
    <row r="18" spans="1:12">
      <c r="A18">
        <v>6</v>
      </c>
      <c r="B18" s="273"/>
      <c r="C18" s="273"/>
      <c r="D18" s="1113" t="str">
        <f t="shared" si="3"/>
        <v/>
      </c>
      <c r="E18" s="1113">
        <f t="shared" si="4"/>
        <v>0</v>
      </c>
      <c r="F18" s="1113" t="e">
        <f t="shared" si="5"/>
        <v>#DIV/0!</v>
      </c>
      <c r="G18" s="1113" t="e">
        <f t="shared" si="6"/>
        <v>#DIV/0!</v>
      </c>
      <c r="H18" s="1113" t="e">
        <f t="shared" si="7"/>
        <v>#DIV/0!</v>
      </c>
      <c r="I18" s="1113">
        <f t="shared" si="8"/>
        <v>0</v>
      </c>
      <c r="J18" s="1113">
        <f t="shared" si="9"/>
        <v>0</v>
      </c>
      <c r="K18" s="1114">
        <f t="shared" si="1"/>
        <v>0</v>
      </c>
      <c r="L18" s="1114">
        <f t="shared" si="2"/>
        <v>0</v>
      </c>
    </row>
    <row r="19" spans="1:12">
      <c r="A19">
        <v>7</v>
      </c>
      <c r="B19" s="273"/>
      <c r="C19" s="273"/>
      <c r="D19" s="1113" t="str">
        <f t="shared" si="3"/>
        <v/>
      </c>
      <c r="E19" s="1113">
        <f t="shared" si="4"/>
        <v>0</v>
      </c>
      <c r="F19" s="1113" t="e">
        <f t="shared" si="5"/>
        <v>#DIV/0!</v>
      </c>
      <c r="G19" s="1113" t="e">
        <f t="shared" si="6"/>
        <v>#DIV/0!</v>
      </c>
      <c r="H19" s="1113" t="e">
        <f t="shared" si="7"/>
        <v>#DIV/0!</v>
      </c>
      <c r="I19" s="1113">
        <f t="shared" si="8"/>
        <v>0</v>
      </c>
      <c r="J19" s="1113">
        <f t="shared" si="9"/>
        <v>0</v>
      </c>
      <c r="K19" s="1114">
        <f t="shared" si="1"/>
        <v>0</v>
      </c>
      <c r="L19" s="1114">
        <f t="shared" si="2"/>
        <v>0</v>
      </c>
    </row>
    <row r="20" spans="1:12">
      <c r="A20">
        <v>8</v>
      </c>
      <c r="B20" s="273"/>
      <c r="C20" s="273"/>
      <c r="D20" s="1113" t="str">
        <f t="shared" si="3"/>
        <v/>
      </c>
      <c r="E20" s="1113">
        <f t="shared" si="4"/>
        <v>0</v>
      </c>
      <c r="F20" s="1113" t="e">
        <f t="shared" si="5"/>
        <v>#DIV/0!</v>
      </c>
      <c r="G20" s="1113" t="e">
        <f t="shared" si="6"/>
        <v>#DIV/0!</v>
      </c>
      <c r="H20" s="1113" t="e">
        <f t="shared" si="7"/>
        <v>#DIV/0!</v>
      </c>
      <c r="I20" s="1113">
        <f t="shared" si="8"/>
        <v>0</v>
      </c>
      <c r="J20" s="1113">
        <f t="shared" si="9"/>
        <v>0</v>
      </c>
      <c r="K20" s="1114">
        <f t="shared" si="1"/>
        <v>0</v>
      </c>
      <c r="L20" s="1114">
        <f t="shared" si="2"/>
        <v>0</v>
      </c>
    </row>
    <row r="21" spans="1:12">
      <c r="A21">
        <v>9</v>
      </c>
      <c r="B21" s="273"/>
      <c r="C21" s="273"/>
      <c r="D21" s="1113" t="str">
        <f t="shared" si="3"/>
        <v/>
      </c>
      <c r="E21" s="1113">
        <f t="shared" si="4"/>
        <v>0</v>
      </c>
      <c r="F21" s="1113" t="e">
        <f t="shared" si="5"/>
        <v>#DIV/0!</v>
      </c>
      <c r="G21" s="1113" t="e">
        <f t="shared" si="6"/>
        <v>#DIV/0!</v>
      </c>
      <c r="H21" s="1113" t="e">
        <f t="shared" si="7"/>
        <v>#DIV/0!</v>
      </c>
      <c r="I21" s="1113">
        <f t="shared" si="8"/>
        <v>0</v>
      </c>
      <c r="J21" s="1113">
        <f t="shared" si="9"/>
        <v>0</v>
      </c>
      <c r="K21" s="1114">
        <f t="shared" si="1"/>
        <v>0</v>
      </c>
      <c r="L21" s="1114">
        <f t="shared" si="2"/>
        <v>0</v>
      </c>
    </row>
    <row r="22" spans="1:12">
      <c r="A22">
        <v>10</v>
      </c>
      <c r="B22" s="273"/>
      <c r="C22" s="273"/>
      <c r="D22" s="1113" t="str">
        <f t="shared" si="3"/>
        <v/>
      </c>
      <c r="E22" s="1113">
        <f t="shared" si="4"/>
        <v>0</v>
      </c>
      <c r="F22" s="1113" t="e">
        <f t="shared" si="5"/>
        <v>#DIV/0!</v>
      </c>
      <c r="G22" s="1113" t="e">
        <f t="shared" si="6"/>
        <v>#DIV/0!</v>
      </c>
      <c r="H22" s="1113" t="e">
        <f t="shared" si="7"/>
        <v>#DIV/0!</v>
      </c>
      <c r="I22" s="1113">
        <f t="shared" si="8"/>
        <v>0</v>
      </c>
      <c r="J22" s="1113">
        <f t="shared" si="9"/>
        <v>0</v>
      </c>
      <c r="K22" s="1114">
        <f t="shared" si="1"/>
        <v>0</v>
      </c>
      <c r="L22" s="1114">
        <f t="shared" si="2"/>
        <v>0</v>
      </c>
    </row>
    <row r="23" spans="1:12">
      <c r="A23">
        <v>11</v>
      </c>
      <c r="B23" s="273"/>
      <c r="C23" s="273"/>
      <c r="D23" s="1113" t="str">
        <f t="shared" si="3"/>
        <v/>
      </c>
      <c r="E23" s="1113">
        <f t="shared" si="4"/>
        <v>0</v>
      </c>
      <c r="F23" s="1113" t="e">
        <f t="shared" si="5"/>
        <v>#DIV/0!</v>
      </c>
      <c r="G23" s="1113" t="e">
        <f t="shared" si="6"/>
        <v>#DIV/0!</v>
      </c>
      <c r="H23" s="1113" t="e">
        <f t="shared" si="7"/>
        <v>#DIV/0!</v>
      </c>
      <c r="I23" s="1113">
        <f t="shared" si="8"/>
        <v>0</v>
      </c>
      <c r="J23" s="1113">
        <f t="shared" si="9"/>
        <v>0</v>
      </c>
      <c r="K23" s="1114">
        <f t="shared" si="1"/>
        <v>0</v>
      </c>
      <c r="L23" s="1114">
        <f t="shared" si="2"/>
        <v>0</v>
      </c>
    </row>
    <row r="24" spans="1:12">
      <c r="A24">
        <v>12</v>
      </c>
      <c r="B24" s="273"/>
      <c r="C24" s="273"/>
      <c r="D24" s="1113" t="str">
        <f t="shared" si="3"/>
        <v/>
      </c>
      <c r="E24" s="1113">
        <f t="shared" si="4"/>
        <v>0</v>
      </c>
      <c r="F24" s="1113" t="e">
        <f t="shared" si="5"/>
        <v>#DIV/0!</v>
      </c>
      <c r="G24" s="1113" t="e">
        <f t="shared" si="6"/>
        <v>#DIV/0!</v>
      </c>
      <c r="H24" s="1113" t="e">
        <f t="shared" si="7"/>
        <v>#DIV/0!</v>
      </c>
      <c r="I24" s="1113">
        <f t="shared" si="8"/>
        <v>0</v>
      </c>
      <c r="J24" s="1113">
        <f t="shared" si="9"/>
        <v>0</v>
      </c>
      <c r="K24" s="1114">
        <f t="shared" si="1"/>
        <v>0</v>
      </c>
      <c r="L24" s="1114">
        <f t="shared" si="2"/>
        <v>0</v>
      </c>
    </row>
    <row r="25" spans="1:12">
      <c r="A25">
        <v>13</v>
      </c>
      <c r="B25" s="273"/>
      <c r="C25" s="273"/>
      <c r="D25" s="1113" t="str">
        <f t="shared" si="3"/>
        <v/>
      </c>
      <c r="E25" s="1113">
        <f t="shared" si="4"/>
        <v>0</v>
      </c>
      <c r="F25" s="1113" t="e">
        <f t="shared" si="5"/>
        <v>#DIV/0!</v>
      </c>
      <c r="G25" s="1113" t="e">
        <f t="shared" si="6"/>
        <v>#DIV/0!</v>
      </c>
      <c r="H25" s="1113" t="e">
        <f t="shared" si="7"/>
        <v>#DIV/0!</v>
      </c>
      <c r="I25" s="1113">
        <f t="shared" si="8"/>
        <v>0</v>
      </c>
      <c r="J25" s="1113">
        <f t="shared" si="9"/>
        <v>0</v>
      </c>
      <c r="K25" s="1114">
        <f t="shared" si="1"/>
        <v>0</v>
      </c>
      <c r="L25" s="1114">
        <f t="shared" si="2"/>
        <v>0</v>
      </c>
    </row>
    <row r="26" spans="1:12">
      <c r="A26">
        <v>14</v>
      </c>
      <c r="B26" s="273"/>
      <c r="C26" s="273"/>
      <c r="D26" s="1113" t="str">
        <f t="shared" si="3"/>
        <v/>
      </c>
      <c r="E26" s="1113">
        <f t="shared" si="4"/>
        <v>0</v>
      </c>
      <c r="F26" s="1113" t="e">
        <f t="shared" si="5"/>
        <v>#DIV/0!</v>
      </c>
      <c r="G26" s="1113" t="e">
        <f t="shared" si="6"/>
        <v>#DIV/0!</v>
      </c>
      <c r="H26" s="1113" t="e">
        <f t="shared" si="7"/>
        <v>#DIV/0!</v>
      </c>
      <c r="I26" s="1113">
        <f t="shared" si="8"/>
        <v>0</v>
      </c>
      <c r="J26" s="1113">
        <f t="shared" si="9"/>
        <v>0</v>
      </c>
      <c r="K26" s="1114">
        <f t="shared" si="1"/>
        <v>0</v>
      </c>
      <c r="L26" s="1114">
        <f t="shared" si="2"/>
        <v>0</v>
      </c>
    </row>
    <row r="27" spans="1:12">
      <c r="A27">
        <v>15</v>
      </c>
      <c r="B27" s="273"/>
      <c r="C27" s="273"/>
      <c r="D27" s="1113" t="str">
        <f t="shared" si="3"/>
        <v/>
      </c>
      <c r="E27" s="1113">
        <f t="shared" si="4"/>
        <v>0</v>
      </c>
      <c r="F27" s="1113" t="e">
        <f t="shared" si="5"/>
        <v>#DIV/0!</v>
      </c>
      <c r="G27" s="1113" t="e">
        <f t="shared" si="6"/>
        <v>#DIV/0!</v>
      </c>
      <c r="H27" s="1113" t="e">
        <f t="shared" si="7"/>
        <v>#DIV/0!</v>
      </c>
      <c r="I27" s="1113">
        <f t="shared" si="8"/>
        <v>0</v>
      </c>
      <c r="J27" s="1113">
        <f t="shared" si="9"/>
        <v>0</v>
      </c>
      <c r="K27" s="1114">
        <f t="shared" si="1"/>
        <v>0</v>
      </c>
      <c r="L27" s="1114">
        <f t="shared" si="2"/>
        <v>0</v>
      </c>
    </row>
    <row r="28" spans="1:12">
      <c r="A28">
        <v>16</v>
      </c>
      <c r="B28" s="273"/>
      <c r="C28" s="273"/>
      <c r="D28" s="1113" t="str">
        <f t="shared" si="3"/>
        <v/>
      </c>
      <c r="E28" s="1113">
        <f t="shared" si="4"/>
        <v>0</v>
      </c>
      <c r="F28" s="1113" t="e">
        <f t="shared" si="5"/>
        <v>#DIV/0!</v>
      </c>
      <c r="G28" s="1113" t="e">
        <f t="shared" si="6"/>
        <v>#DIV/0!</v>
      </c>
      <c r="H28" s="1113" t="e">
        <f t="shared" si="7"/>
        <v>#DIV/0!</v>
      </c>
      <c r="I28" s="1113">
        <f t="shared" si="8"/>
        <v>0</v>
      </c>
      <c r="J28" s="1113">
        <f t="shared" si="9"/>
        <v>0</v>
      </c>
      <c r="K28" s="1114">
        <f t="shared" si="1"/>
        <v>0</v>
      </c>
      <c r="L28" s="1114">
        <f t="shared" si="2"/>
        <v>0</v>
      </c>
    </row>
    <row r="29" spans="1:12">
      <c r="A29">
        <v>17</v>
      </c>
      <c r="B29" s="273"/>
      <c r="C29" s="273"/>
      <c r="D29" s="1113" t="str">
        <f t="shared" si="3"/>
        <v/>
      </c>
      <c r="E29" s="1113">
        <f t="shared" si="4"/>
        <v>0</v>
      </c>
      <c r="F29" s="1113" t="e">
        <f t="shared" si="5"/>
        <v>#DIV/0!</v>
      </c>
      <c r="G29" s="1113" t="e">
        <f t="shared" si="6"/>
        <v>#DIV/0!</v>
      </c>
      <c r="H29" s="1113" t="e">
        <f t="shared" si="7"/>
        <v>#DIV/0!</v>
      </c>
      <c r="I29" s="1113">
        <f t="shared" si="8"/>
        <v>0</v>
      </c>
      <c r="J29" s="1113">
        <f t="shared" si="9"/>
        <v>0</v>
      </c>
      <c r="K29" s="1114">
        <f t="shared" si="1"/>
        <v>0</v>
      </c>
      <c r="L29" s="1114">
        <f t="shared" si="2"/>
        <v>0</v>
      </c>
    </row>
    <row r="30" spans="1:12">
      <c r="A30">
        <v>18</v>
      </c>
      <c r="B30" s="273"/>
      <c r="C30" s="273"/>
      <c r="D30" s="1113" t="str">
        <f t="shared" si="3"/>
        <v/>
      </c>
      <c r="E30" s="1113">
        <f t="shared" si="4"/>
        <v>0</v>
      </c>
      <c r="F30" s="1113" t="e">
        <f t="shared" si="5"/>
        <v>#DIV/0!</v>
      </c>
      <c r="G30" s="1113" t="e">
        <f t="shared" si="6"/>
        <v>#DIV/0!</v>
      </c>
      <c r="H30" s="1113" t="e">
        <f t="shared" si="7"/>
        <v>#DIV/0!</v>
      </c>
      <c r="I30" s="1113">
        <f t="shared" si="8"/>
        <v>0</v>
      </c>
      <c r="J30" s="1113">
        <f t="shared" si="9"/>
        <v>0</v>
      </c>
      <c r="K30" s="1114">
        <f t="shared" si="1"/>
        <v>0</v>
      </c>
      <c r="L30" s="1114">
        <f t="shared" si="2"/>
        <v>0</v>
      </c>
    </row>
    <row r="31" spans="1:12">
      <c r="A31">
        <v>19</v>
      </c>
      <c r="B31" s="273"/>
      <c r="C31" s="273"/>
      <c r="D31" s="1113" t="str">
        <f t="shared" si="3"/>
        <v/>
      </c>
      <c r="E31" s="1113">
        <f t="shared" si="4"/>
        <v>0</v>
      </c>
      <c r="F31" s="1113" t="e">
        <f t="shared" si="5"/>
        <v>#DIV/0!</v>
      </c>
      <c r="G31" s="1113" t="e">
        <f t="shared" si="6"/>
        <v>#DIV/0!</v>
      </c>
      <c r="H31" s="1113" t="e">
        <f t="shared" si="7"/>
        <v>#DIV/0!</v>
      </c>
      <c r="I31" s="1113">
        <f t="shared" si="8"/>
        <v>0</v>
      </c>
      <c r="J31" s="1113">
        <f t="shared" si="9"/>
        <v>0</v>
      </c>
      <c r="K31" s="1114">
        <f t="shared" si="1"/>
        <v>0</v>
      </c>
      <c r="L31" s="1114">
        <f t="shared" si="2"/>
        <v>0</v>
      </c>
    </row>
    <row r="32" spans="1:12">
      <c r="A32">
        <v>20</v>
      </c>
      <c r="B32" s="273"/>
      <c r="C32" s="273"/>
      <c r="D32" s="1113" t="str">
        <f t="shared" si="3"/>
        <v/>
      </c>
      <c r="E32" s="1113">
        <f t="shared" si="4"/>
        <v>0</v>
      </c>
      <c r="F32" s="1113" t="e">
        <f t="shared" si="5"/>
        <v>#DIV/0!</v>
      </c>
      <c r="G32" s="1113" t="e">
        <f t="shared" si="6"/>
        <v>#DIV/0!</v>
      </c>
      <c r="H32" s="1113" t="e">
        <f t="shared" si="7"/>
        <v>#DIV/0!</v>
      </c>
      <c r="I32" s="1113">
        <f t="shared" si="8"/>
        <v>0</v>
      </c>
      <c r="J32" s="1113">
        <f t="shared" si="9"/>
        <v>0</v>
      </c>
      <c r="K32" s="1114">
        <f t="shared" si="1"/>
        <v>0</v>
      </c>
      <c r="L32" s="1114">
        <f t="shared" si="2"/>
        <v>0</v>
      </c>
    </row>
    <row r="33" spans="1:12">
      <c r="A33">
        <v>21</v>
      </c>
      <c r="B33" s="273"/>
      <c r="C33" s="273"/>
      <c r="D33" s="1113" t="str">
        <f t="shared" si="3"/>
        <v/>
      </c>
      <c r="E33" s="1113">
        <f t="shared" si="4"/>
        <v>0</v>
      </c>
      <c r="F33" s="1113" t="e">
        <f t="shared" si="5"/>
        <v>#DIV/0!</v>
      </c>
      <c r="G33" s="1113" t="e">
        <f t="shared" si="6"/>
        <v>#DIV/0!</v>
      </c>
      <c r="H33" s="1113" t="e">
        <f t="shared" si="7"/>
        <v>#DIV/0!</v>
      </c>
      <c r="I33" s="1113">
        <f t="shared" si="8"/>
        <v>0</v>
      </c>
      <c r="J33" s="1113">
        <f t="shared" si="9"/>
        <v>0</v>
      </c>
      <c r="K33" s="1114">
        <f t="shared" si="1"/>
        <v>0</v>
      </c>
      <c r="L33" s="1114">
        <f t="shared" si="2"/>
        <v>0</v>
      </c>
    </row>
    <row r="34" spans="1:12">
      <c r="A34">
        <v>22</v>
      </c>
      <c r="B34" s="273"/>
      <c r="C34" s="273"/>
      <c r="D34" s="1113" t="str">
        <f t="shared" si="3"/>
        <v/>
      </c>
      <c r="E34" s="1113">
        <f t="shared" si="4"/>
        <v>0</v>
      </c>
      <c r="F34" s="1113" t="e">
        <f t="shared" si="5"/>
        <v>#DIV/0!</v>
      </c>
      <c r="G34" s="1113" t="e">
        <f t="shared" si="6"/>
        <v>#DIV/0!</v>
      </c>
      <c r="H34" s="1113" t="e">
        <f t="shared" si="7"/>
        <v>#DIV/0!</v>
      </c>
      <c r="I34" s="1113">
        <f t="shared" si="8"/>
        <v>0</v>
      </c>
      <c r="J34" s="1113">
        <f t="shared" si="9"/>
        <v>0</v>
      </c>
      <c r="K34" s="1114">
        <f t="shared" si="1"/>
        <v>0</v>
      </c>
      <c r="L34" s="1114">
        <f t="shared" si="2"/>
        <v>0</v>
      </c>
    </row>
    <row r="35" spans="1:12">
      <c r="A35">
        <v>23</v>
      </c>
      <c r="B35" s="273"/>
      <c r="C35" s="273"/>
      <c r="D35" s="1113" t="str">
        <f t="shared" si="3"/>
        <v/>
      </c>
      <c r="E35" s="1113">
        <f t="shared" si="4"/>
        <v>0</v>
      </c>
      <c r="F35" s="1113" t="e">
        <f t="shared" si="5"/>
        <v>#DIV/0!</v>
      </c>
      <c r="G35" s="1113" t="e">
        <f t="shared" si="6"/>
        <v>#DIV/0!</v>
      </c>
      <c r="H35" s="1113" t="e">
        <f t="shared" si="7"/>
        <v>#DIV/0!</v>
      </c>
      <c r="I35" s="1113">
        <f t="shared" si="8"/>
        <v>0</v>
      </c>
      <c r="J35" s="1113">
        <f t="shared" si="9"/>
        <v>0</v>
      </c>
      <c r="K35" s="1114">
        <f t="shared" si="1"/>
        <v>0</v>
      </c>
      <c r="L35" s="1114">
        <f t="shared" si="2"/>
        <v>0</v>
      </c>
    </row>
    <row r="36" spans="1:12">
      <c r="A36">
        <v>24</v>
      </c>
      <c r="B36" s="273"/>
      <c r="C36" s="273"/>
      <c r="D36" s="1113" t="str">
        <f t="shared" si="3"/>
        <v/>
      </c>
      <c r="E36" s="1113">
        <f t="shared" si="4"/>
        <v>0</v>
      </c>
      <c r="F36" s="1113" t="e">
        <f t="shared" si="5"/>
        <v>#DIV/0!</v>
      </c>
      <c r="G36" s="1113" t="e">
        <f t="shared" si="6"/>
        <v>#DIV/0!</v>
      </c>
      <c r="H36" s="1113" t="e">
        <f t="shared" si="7"/>
        <v>#DIV/0!</v>
      </c>
      <c r="I36" s="1113">
        <f t="shared" si="8"/>
        <v>0</v>
      </c>
      <c r="J36" s="1113">
        <f t="shared" si="9"/>
        <v>0</v>
      </c>
      <c r="K36" s="1114">
        <f t="shared" si="1"/>
        <v>0</v>
      </c>
      <c r="L36" s="1114">
        <f t="shared" si="2"/>
        <v>0</v>
      </c>
    </row>
    <row r="37" spans="1:12">
      <c r="A37">
        <v>25</v>
      </c>
      <c r="B37" s="273"/>
      <c r="C37" s="273"/>
      <c r="D37" s="1113" t="str">
        <f t="shared" si="3"/>
        <v/>
      </c>
      <c r="E37" s="1113">
        <f t="shared" si="4"/>
        <v>0</v>
      </c>
      <c r="F37" s="1113" t="e">
        <f t="shared" si="5"/>
        <v>#DIV/0!</v>
      </c>
      <c r="G37" s="1113" t="e">
        <f t="shared" si="6"/>
        <v>#DIV/0!</v>
      </c>
      <c r="H37" s="1113" t="e">
        <f t="shared" si="7"/>
        <v>#DIV/0!</v>
      </c>
      <c r="I37" s="1113">
        <f t="shared" si="8"/>
        <v>0</v>
      </c>
      <c r="J37" s="1113">
        <f t="shared" si="9"/>
        <v>0</v>
      </c>
      <c r="K37" s="1114">
        <f t="shared" si="1"/>
        <v>0</v>
      </c>
      <c r="L37" s="1114">
        <f t="shared" si="2"/>
        <v>0</v>
      </c>
    </row>
    <row r="38" spans="1:12">
      <c r="A38">
        <v>26</v>
      </c>
      <c r="B38" s="273"/>
      <c r="C38" s="273"/>
      <c r="D38" s="1113" t="str">
        <f t="shared" si="3"/>
        <v/>
      </c>
      <c r="E38" s="1113">
        <f t="shared" si="4"/>
        <v>0</v>
      </c>
      <c r="F38" s="1113" t="e">
        <f t="shared" si="5"/>
        <v>#DIV/0!</v>
      </c>
      <c r="G38" s="1113" t="e">
        <f t="shared" si="6"/>
        <v>#DIV/0!</v>
      </c>
      <c r="H38" s="1113" t="e">
        <f t="shared" si="7"/>
        <v>#DIV/0!</v>
      </c>
      <c r="I38" s="1113">
        <f t="shared" si="8"/>
        <v>0</v>
      </c>
      <c r="J38" s="1113">
        <f t="shared" si="9"/>
        <v>0</v>
      </c>
      <c r="K38" s="1114">
        <f t="shared" si="1"/>
        <v>0</v>
      </c>
      <c r="L38" s="1114">
        <f t="shared" si="2"/>
        <v>0</v>
      </c>
    </row>
    <row r="39" spans="1:12">
      <c r="A39">
        <v>27</v>
      </c>
      <c r="B39" s="273"/>
      <c r="C39" s="273"/>
      <c r="D39" s="1113" t="str">
        <f t="shared" si="3"/>
        <v/>
      </c>
      <c r="E39" s="1113">
        <f t="shared" si="4"/>
        <v>0</v>
      </c>
      <c r="F39" s="1113" t="e">
        <f t="shared" si="5"/>
        <v>#DIV/0!</v>
      </c>
      <c r="G39" s="1113" t="e">
        <f t="shared" si="6"/>
        <v>#DIV/0!</v>
      </c>
      <c r="H39" s="1113" t="e">
        <f t="shared" si="7"/>
        <v>#DIV/0!</v>
      </c>
      <c r="I39" s="1113">
        <f t="shared" si="8"/>
        <v>0</v>
      </c>
      <c r="J39" s="1113">
        <f t="shared" si="9"/>
        <v>0</v>
      </c>
      <c r="K39" s="1114">
        <f t="shared" si="1"/>
        <v>0</v>
      </c>
      <c r="L39" s="1114">
        <f t="shared" si="2"/>
        <v>0</v>
      </c>
    </row>
    <row r="40" spans="1:12">
      <c r="A40">
        <v>28</v>
      </c>
      <c r="B40" s="273"/>
      <c r="C40" s="273"/>
      <c r="D40" s="1113" t="str">
        <f t="shared" si="3"/>
        <v/>
      </c>
      <c r="E40" s="1113">
        <f t="shared" si="4"/>
        <v>0</v>
      </c>
      <c r="F40" s="1113" t="e">
        <f t="shared" si="5"/>
        <v>#DIV/0!</v>
      </c>
      <c r="G40" s="1113" t="e">
        <f t="shared" si="6"/>
        <v>#DIV/0!</v>
      </c>
      <c r="H40" s="1113" t="e">
        <f t="shared" si="7"/>
        <v>#DIV/0!</v>
      </c>
      <c r="I40" s="1113">
        <f t="shared" si="8"/>
        <v>0</v>
      </c>
      <c r="J40" s="1113">
        <f t="shared" si="9"/>
        <v>0</v>
      </c>
      <c r="K40" s="1114">
        <f t="shared" si="1"/>
        <v>0</v>
      </c>
      <c r="L40" s="1114">
        <f t="shared" si="2"/>
        <v>0</v>
      </c>
    </row>
    <row r="41" spans="1:12">
      <c r="A41">
        <v>29</v>
      </c>
      <c r="B41" s="273"/>
      <c r="C41" s="273"/>
      <c r="D41" s="1113" t="str">
        <f t="shared" si="3"/>
        <v/>
      </c>
      <c r="E41" s="1113">
        <f t="shared" si="4"/>
        <v>0</v>
      </c>
      <c r="F41" s="1113" t="e">
        <f t="shared" si="5"/>
        <v>#DIV/0!</v>
      </c>
      <c r="G41" s="1113" t="e">
        <f t="shared" si="6"/>
        <v>#DIV/0!</v>
      </c>
      <c r="H41" s="1113" t="e">
        <f t="shared" si="7"/>
        <v>#DIV/0!</v>
      </c>
      <c r="I41" s="1113">
        <f t="shared" si="8"/>
        <v>0</v>
      </c>
      <c r="J41" s="1113">
        <f t="shared" si="9"/>
        <v>0</v>
      </c>
      <c r="K41" s="1114">
        <f t="shared" si="1"/>
        <v>0</v>
      </c>
      <c r="L41" s="1114">
        <f t="shared" si="2"/>
        <v>0</v>
      </c>
    </row>
    <row r="42" spans="1:12">
      <c r="A42">
        <v>30</v>
      </c>
      <c r="B42" s="273"/>
      <c r="C42" s="273"/>
      <c r="D42" s="1113" t="str">
        <f t="shared" si="3"/>
        <v/>
      </c>
      <c r="E42" s="1113">
        <f t="shared" si="4"/>
        <v>0</v>
      </c>
      <c r="F42" s="1113" t="e">
        <f t="shared" si="5"/>
        <v>#DIV/0!</v>
      </c>
      <c r="G42" s="1113" t="e">
        <f t="shared" si="6"/>
        <v>#DIV/0!</v>
      </c>
      <c r="H42" s="1113" t="e">
        <f t="shared" si="7"/>
        <v>#DIV/0!</v>
      </c>
      <c r="I42" s="1113">
        <f t="shared" si="8"/>
        <v>0</v>
      </c>
      <c r="J42" s="1113">
        <f t="shared" si="9"/>
        <v>0</v>
      </c>
      <c r="K42" s="1114">
        <f t="shared" si="1"/>
        <v>0</v>
      </c>
      <c r="L42" s="1114">
        <f t="shared" si="2"/>
        <v>0</v>
      </c>
    </row>
    <row r="43" spans="1:12">
      <c r="A43" s="1115"/>
      <c r="B43" s="1102"/>
      <c r="C43" s="1102"/>
      <c r="D43" s="1102"/>
      <c r="E43" s="1102"/>
      <c r="F43" s="1113" t="e">
        <f t="shared" si="5"/>
        <v>#DIV/0!</v>
      </c>
      <c r="G43" s="1113" t="e">
        <f t="shared" si="6"/>
        <v>#DIV/0!</v>
      </c>
      <c r="H43" s="1113" t="e">
        <f t="shared" si="7"/>
        <v>#DIV/0!</v>
      </c>
      <c r="I43" s="1113">
        <f t="shared" si="8"/>
        <v>0</v>
      </c>
      <c r="J43" s="1113">
        <f t="shared" si="9"/>
        <v>0</v>
      </c>
      <c r="K43" s="1114">
        <f t="shared" si="1"/>
        <v>0</v>
      </c>
      <c r="L43" s="1114">
        <f t="shared" si="2"/>
        <v>0</v>
      </c>
    </row>
    <row r="44" spans="1:12">
      <c r="C44" s="1113" t="s">
        <v>1170</v>
      </c>
      <c r="D44" s="1113" t="e">
        <f>AVERAGE(D13:D42)</f>
        <v>#DIV/0!</v>
      </c>
      <c r="E44" s="1113">
        <f>AVERAGE(E13:E42)</f>
        <v>0</v>
      </c>
    </row>
  </sheetData>
  <sheetProtection password="CC08" sheet="1" scenarios="1"/>
  <protectedRanges>
    <protectedRange sqref="D1:G7 J1:J3 B13:C42" name="Range1"/>
  </protectedRanges>
  <mergeCells count="22">
    <mergeCell ref="B1:C1"/>
    <mergeCell ref="D1:G1"/>
    <mergeCell ref="M1:R1"/>
    <mergeCell ref="B2:C2"/>
    <mergeCell ref="D2:G2"/>
    <mergeCell ref="M2:R2"/>
    <mergeCell ref="B3:C3"/>
    <mergeCell ref="D3:G3"/>
    <mergeCell ref="M3:R3"/>
    <mergeCell ref="B4:C4"/>
    <mergeCell ref="D4:G4"/>
    <mergeCell ref="M4:R4"/>
    <mergeCell ref="B7:C7"/>
    <mergeCell ref="D7:G7"/>
    <mergeCell ref="M8:R8"/>
    <mergeCell ref="M7:R7"/>
    <mergeCell ref="B5:C5"/>
    <mergeCell ref="D5:G5"/>
    <mergeCell ref="M5:R5"/>
    <mergeCell ref="B6:C6"/>
    <mergeCell ref="D6:G6"/>
    <mergeCell ref="M6:R6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&amp;C&amp;"Arial,Bold"&amp;12Control Chart</oddHeader>
    <oddFooter>&amp;L&amp;8&amp;F&amp;R&amp;8Printed: &amp;D</oddFooter>
  </headerFooter>
  <drawing r:id="rId2"/>
  <legacyDrawing r:id="rId3"/>
  <controls>
    <control shapeId="77827" r:id="rId4" name="MainMenu"/>
  </controls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0"/>
  <dimension ref="A1:T60"/>
  <sheetViews>
    <sheetView workbookViewId="0">
      <selection activeCell="K8" sqref="K8"/>
    </sheetView>
  </sheetViews>
  <sheetFormatPr defaultRowHeight="12.75"/>
  <sheetData>
    <row r="1" spans="1:20">
      <c r="B1" s="1673" t="s">
        <v>1148</v>
      </c>
      <c r="C1" s="1673"/>
      <c r="D1" s="1587"/>
      <c r="E1" s="1587"/>
      <c r="F1" s="1587"/>
      <c r="G1" s="1587"/>
      <c r="I1" s="796" t="s">
        <v>154</v>
      </c>
      <c r="J1" s="278"/>
      <c r="O1" s="1488" t="str">
        <f t="shared" ref="O1:O6" si="0">IF(D1="","",D1)</f>
        <v/>
      </c>
      <c r="P1" s="1488"/>
      <c r="Q1" s="1488"/>
      <c r="R1" s="1488"/>
      <c r="S1" s="1488"/>
      <c r="T1" s="1488"/>
    </row>
    <row r="2" spans="1:20">
      <c r="B2" s="1673" t="s">
        <v>1149</v>
      </c>
      <c r="C2" s="1673"/>
      <c r="D2" s="1587"/>
      <c r="E2" s="1587"/>
      <c r="F2" s="1587"/>
      <c r="G2" s="1587"/>
      <c r="I2" s="796" t="s">
        <v>1176</v>
      </c>
      <c r="J2" s="278"/>
      <c r="O2" s="1488" t="str">
        <f t="shared" si="0"/>
        <v/>
      </c>
      <c r="P2" s="1488"/>
      <c r="Q2" s="1488"/>
      <c r="R2" s="1488"/>
      <c r="S2" s="1488"/>
      <c r="T2" s="1488"/>
    </row>
    <row r="3" spans="1:20">
      <c r="B3" s="1674" t="s">
        <v>1150</v>
      </c>
      <c r="C3" s="1674"/>
      <c r="D3" s="1587"/>
      <c r="E3" s="1587"/>
      <c r="F3" s="1587"/>
      <c r="G3" s="1587"/>
      <c r="I3" s="796" t="s">
        <v>155</v>
      </c>
      <c r="J3" s="278"/>
      <c r="O3" s="1488" t="str">
        <f t="shared" si="0"/>
        <v/>
      </c>
      <c r="P3" s="1488"/>
      <c r="Q3" s="1488"/>
      <c r="R3" s="1488"/>
      <c r="S3" s="1488"/>
      <c r="T3" s="1488"/>
    </row>
    <row r="4" spans="1:20">
      <c r="B4" s="1673" t="s">
        <v>69</v>
      </c>
      <c r="C4" s="1673"/>
      <c r="D4" s="1587"/>
      <c r="E4" s="1587"/>
      <c r="F4" s="1587"/>
      <c r="G4" s="1587"/>
      <c r="O4" s="1488" t="str">
        <f t="shared" si="0"/>
        <v/>
      </c>
      <c r="P4" s="1488"/>
      <c r="Q4" s="1488"/>
      <c r="R4" s="1488"/>
      <c r="S4" s="1488"/>
      <c r="T4" s="1488"/>
    </row>
    <row r="5" spans="1:20">
      <c r="B5" s="1673" t="s">
        <v>1151</v>
      </c>
      <c r="C5" s="1673"/>
      <c r="D5" s="1587"/>
      <c r="E5" s="1587"/>
      <c r="F5" s="1587"/>
      <c r="G5" s="1587"/>
      <c r="O5" s="1488" t="str">
        <f t="shared" si="0"/>
        <v/>
      </c>
      <c r="P5" s="1488"/>
      <c r="Q5" s="1488"/>
      <c r="R5" s="1488"/>
      <c r="S5" s="1488"/>
      <c r="T5" s="1488"/>
    </row>
    <row r="6" spans="1:20">
      <c r="B6" s="1673" t="s">
        <v>1152</v>
      </c>
      <c r="C6" s="1673"/>
      <c r="D6" s="1587"/>
      <c r="E6" s="1587"/>
      <c r="F6" s="1587"/>
      <c r="G6" s="1587"/>
      <c r="I6" s="103"/>
      <c r="O6" s="1488" t="str">
        <f t="shared" si="0"/>
        <v/>
      </c>
      <c r="P6" s="1488"/>
      <c r="Q6" s="1488"/>
      <c r="R6" s="1488"/>
      <c r="S6" s="1488"/>
      <c r="T6" s="1488"/>
    </row>
    <row r="7" spans="1:20">
      <c r="B7" s="1673" t="s">
        <v>1153</v>
      </c>
      <c r="C7" s="1673"/>
      <c r="D7" s="1587"/>
      <c r="E7" s="1587"/>
      <c r="F7" s="1587"/>
      <c r="G7" s="1587"/>
      <c r="O7" s="1488" t="s">
        <v>1174</v>
      </c>
      <c r="P7" s="1488"/>
      <c r="Q7" s="1488"/>
      <c r="R7" s="1488"/>
      <c r="S7" s="1488"/>
      <c r="T7" s="1488"/>
    </row>
    <row r="8" spans="1:20">
      <c r="O8" s="1672">
        <f ca="1">IF(D7="",TODAY())</f>
        <v>40599</v>
      </c>
      <c r="P8" s="1672"/>
      <c r="Q8" s="1672"/>
      <c r="R8" s="1672"/>
      <c r="S8" s="1672"/>
      <c r="T8" s="1672"/>
    </row>
    <row r="11" spans="1:20" ht="15" thickBot="1">
      <c r="A11" s="1107" t="s">
        <v>1154</v>
      </c>
      <c r="B11" s="1097" t="s">
        <v>1161</v>
      </c>
      <c r="C11" s="1097" t="s">
        <v>1162</v>
      </c>
      <c r="D11" s="1097" t="s">
        <v>1163</v>
      </c>
      <c r="E11" s="1107" t="s">
        <v>195</v>
      </c>
      <c r="F11" s="1107" t="s">
        <v>117</v>
      </c>
      <c r="G11" s="1108" t="s">
        <v>1166</v>
      </c>
      <c r="H11" s="1108" t="s">
        <v>421</v>
      </c>
      <c r="I11" s="1108" t="s">
        <v>1167</v>
      </c>
      <c r="J11" s="1108" t="s">
        <v>1168</v>
      </c>
      <c r="K11" s="1108" t="s">
        <v>1169</v>
      </c>
      <c r="L11" s="1108" t="s">
        <v>1328</v>
      </c>
      <c r="M11" s="1109" t="s">
        <v>155</v>
      </c>
      <c r="N11" s="1109" t="s">
        <v>154</v>
      </c>
    </row>
    <row r="12" spans="1:20" ht="13.5" thickTop="1">
      <c r="A12" s="1110"/>
      <c r="B12" s="1111"/>
      <c r="C12" s="1111"/>
      <c r="D12" s="1111"/>
      <c r="E12" s="1112"/>
      <c r="F12" s="1112"/>
      <c r="G12" s="1113" t="str">
        <f>IF(B13="","",IF(E44-(1.023*F44)&lt;0,0,E44-(1.023*F44)))</f>
        <v/>
      </c>
      <c r="H12" s="1113" t="str">
        <f>IF(B13="","",E44)</f>
        <v/>
      </c>
      <c r="I12" s="1113" t="str">
        <f>IF(B13="","",E44+(1.023*F44))</f>
        <v/>
      </c>
      <c r="J12" s="1113" t="str">
        <f>IF(B13="","",2.575*F44)</f>
        <v/>
      </c>
      <c r="K12" s="1113" t="str">
        <f>IF(B13="","",F44)</f>
        <v/>
      </c>
      <c r="L12" s="1116"/>
      <c r="M12" s="1114">
        <f t="shared" ref="M12:M43" si="1">$J$3</f>
        <v>0</v>
      </c>
      <c r="N12" s="1114">
        <f t="shared" ref="N12:N43" si="2">$J$1</f>
        <v>0</v>
      </c>
    </row>
    <row r="13" spans="1:20">
      <c r="A13">
        <v>1</v>
      </c>
      <c r="B13" s="273"/>
      <c r="C13" s="273"/>
      <c r="D13" s="273"/>
      <c r="E13" s="1113" t="str">
        <f t="shared" ref="E13:E42" si="3">IF(B13="","",AVERAGE(B13:D13))</f>
        <v/>
      </c>
      <c r="F13" s="1113" t="str">
        <f t="shared" ref="F13:F42" si="4">IF(B13="","",MAX(B13:D13)-MIN(B13:D13))</f>
        <v/>
      </c>
      <c r="G13" s="1113" t="str">
        <f t="shared" ref="G13:G43" si="5">G12</f>
        <v/>
      </c>
      <c r="H13" s="1113" t="str">
        <f t="shared" ref="H13:H43" si="6">H12</f>
        <v/>
      </c>
      <c r="I13" s="1113" t="str">
        <f t="shared" ref="I13:I43" si="7">I12</f>
        <v/>
      </c>
      <c r="J13" s="1113" t="str">
        <f t="shared" ref="J13:J43" si="8">J12</f>
        <v/>
      </c>
      <c r="K13" s="1113" t="str">
        <f t="shared" ref="K13:K43" si="9">K12</f>
        <v/>
      </c>
      <c r="L13" s="1113" t="str">
        <f t="shared" ref="L13:L42" si="10">IF(B13="","",STDEV(B13:D13))</f>
        <v/>
      </c>
      <c r="M13" s="1114">
        <f t="shared" si="1"/>
        <v>0</v>
      </c>
      <c r="N13" s="1114">
        <f t="shared" si="2"/>
        <v>0</v>
      </c>
    </row>
    <row r="14" spans="1:20">
      <c r="A14">
        <v>2</v>
      </c>
      <c r="B14" s="273"/>
      <c r="C14" s="273"/>
      <c r="D14" s="273"/>
      <c r="E14" s="1113" t="str">
        <f t="shared" si="3"/>
        <v/>
      </c>
      <c r="F14" s="1113" t="str">
        <f t="shared" si="4"/>
        <v/>
      </c>
      <c r="G14" s="1113" t="str">
        <f t="shared" si="5"/>
        <v/>
      </c>
      <c r="H14" s="1113" t="str">
        <f t="shared" si="6"/>
        <v/>
      </c>
      <c r="I14" s="1113" t="str">
        <f t="shared" si="7"/>
        <v/>
      </c>
      <c r="J14" s="1113" t="str">
        <f t="shared" si="8"/>
        <v/>
      </c>
      <c r="K14" s="1113" t="str">
        <f t="shared" si="9"/>
        <v/>
      </c>
      <c r="L14" s="1113" t="str">
        <f t="shared" si="10"/>
        <v/>
      </c>
      <c r="M14" s="1114">
        <f t="shared" si="1"/>
        <v>0</v>
      </c>
      <c r="N14" s="1114">
        <f t="shared" si="2"/>
        <v>0</v>
      </c>
    </row>
    <row r="15" spans="1:20">
      <c r="A15">
        <v>3</v>
      </c>
      <c r="B15" s="273"/>
      <c r="C15" s="273"/>
      <c r="D15" s="273"/>
      <c r="E15" s="1113" t="str">
        <f t="shared" si="3"/>
        <v/>
      </c>
      <c r="F15" s="1113" t="str">
        <f t="shared" si="4"/>
        <v/>
      </c>
      <c r="G15" s="1113" t="str">
        <f t="shared" si="5"/>
        <v/>
      </c>
      <c r="H15" s="1113" t="str">
        <f t="shared" si="6"/>
        <v/>
      </c>
      <c r="I15" s="1113" t="str">
        <f t="shared" si="7"/>
        <v/>
      </c>
      <c r="J15" s="1113" t="str">
        <f t="shared" si="8"/>
        <v/>
      </c>
      <c r="K15" s="1113" t="str">
        <f t="shared" si="9"/>
        <v/>
      </c>
      <c r="L15" s="1113" t="str">
        <f t="shared" si="10"/>
        <v/>
      </c>
      <c r="M15" s="1114">
        <f t="shared" si="1"/>
        <v>0</v>
      </c>
      <c r="N15" s="1114">
        <f t="shared" si="2"/>
        <v>0</v>
      </c>
    </row>
    <row r="16" spans="1:20">
      <c r="A16">
        <v>4</v>
      </c>
      <c r="B16" s="273"/>
      <c r="C16" s="273"/>
      <c r="D16" s="273"/>
      <c r="E16" s="1113" t="str">
        <f t="shared" si="3"/>
        <v/>
      </c>
      <c r="F16" s="1113" t="str">
        <f t="shared" si="4"/>
        <v/>
      </c>
      <c r="G16" s="1113" t="str">
        <f t="shared" si="5"/>
        <v/>
      </c>
      <c r="H16" s="1113" t="str">
        <f t="shared" si="6"/>
        <v/>
      </c>
      <c r="I16" s="1113" t="str">
        <f t="shared" si="7"/>
        <v/>
      </c>
      <c r="J16" s="1113" t="str">
        <f t="shared" si="8"/>
        <v/>
      </c>
      <c r="K16" s="1113" t="str">
        <f t="shared" si="9"/>
        <v/>
      </c>
      <c r="L16" s="1113" t="str">
        <f t="shared" si="10"/>
        <v/>
      </c>
      <c r="M16" s="1114">
        <f t="shared" si="1"/>
        <v>0</v>
      </c>
      <c r="N16" s="1114">
        <f t="shared" si="2"/>
        <v>0</v>
      </c>
    </row>
    <row r="17" spans="1:14">
      <c r="A17">
        <v>5</v>
      </c>
      <c r="B17" s="273"/>
      <c r="C17" s="273"/>
      <c r="D17" s="273"/>
      <c r="E17" s="1113" t="str">
        <f t="shared" si="3"/>
        <v/>
      </c>
      <c r="F17" s="1113" t="str">
        <f t="shared" si="4"/>
        <v/>
      </c>
      <c r="G17" s="1113" t="str">
        <f t="shared" si="5"/>
        <v/>
      </c>
      <c r="H17" s="1113" t="str">
        <f t="shared" si="6"/>
        <v/>
      </c>
      <c r="I17" s="1113" t="str">
        <f t="shared" si="7"/>
        <v/>
      </c>
      <c r="J17" s="1113" t="str">
        <f t="shared" si="8"/>
        <v/>
      </c>
      <c r="K17" s="1113" t="str">
        <f t="shared" si="9"/>
        <v/>
      </c>
      <c r="L17" s="1113" t="str">
        <f t="shared" si="10"/>
        <v/>
      </c>
      <c r="M17" s="1114">
        <f t="shared" si="1"/>
        <v>0</v>
      </c>
      <c r="N17" s="1114">
        <f t="shared" si="2"/>
        <v>0</v>
      </c>
    </row>
    <row r="18" spans="1:14">
      <c r="A18">
        <v>6</v>
      </c>
      <c r="B18" s="273"/>
      <c r="C18" s="273"/>
      <c r="D18" s="273"/>
      <c r="E18" s="1113" t="str">
        <f t="shared" si="3"/>
        <v/>
      </c>
      <c r="F18" s="1113" t="str">
        <f t="shared" si="4"/>
        <v/>
      </c>
      <c r="G18" s="1113" t="str">
        <f t="shared" si="5"/>
        <v/>
      </c>
      <c r="H18" s="1113" t="str">
        <f t="shared" si="6"/>
        <v/>
      </c>
      <c r="I18" s="1113" t="str">
        <f t="shared" si="7"/>
        <v/>
      </c>
      <c r="J18" s="1113" t="str">
        <f t="shared" si="8"/>
        <v/>
      </c>
      <c r="K18" s="1113" t="str">
        <f t="shared" si="9"/>
        <v/>
      </c>
      <c r="L18" s="1113" t="str">
        <f t="shared" si="10"/>
        <v/>
      </c>
      <c r="M18" s="1114">
        <f t="shared" si="1"/>
        <v>0</v>
      </c>
      <c r="N18" s="1114">
        <f t="shared" si="2"/>
        <v>0</v>
      </c>
    </row>
    <row r="19" spans="1:14">
      <c r="A19">
        <v>7</v>
      </c>
      <c r="B19" s="273"/>
      <c r="C19" s="273"/>
      <c r="D19" s="273"/>
      <c r="E19" s="1113" t="str">
        <f t="shared" si="3"/>
        <v/>
      </c>
      <c r="F19" s="1113" t="str">
        <f t="shared" si="4"/>
        <v/>
      </c>
      <c r="G19" s="1113" t="str">
        <f t="shared" si="5"/>
        <v/>
      </c>
      <c r="H19" s="1113" t="str">
        <f t="shared" si="6"/>
        <v/>
      </c>
      <c r="I19" s="1113" t="str">
        <f t="shared" si="7"/>
        <v/>
      </c>
      <c r="J19" s="1113" t="str">
        <f t="shared" si="8"/>
        <v/>
      </c>
      <c r="K19" s="1113" t="str">
        <f t="shared" si="9"/>
        <v/>
      </c>
      <c r="L19" s="1113" t="str">
        <f t="shared" si="10"/>
        <v/>
      </c>
      <c r="M19" s="1114">
        <f t="shared" si="1"/>
        <v>0</v>
      </c>
      <c r="N19" s="1114">
        <f t="shared" si="2"/>
        <v>0</v>
      </c>
    </row>
    <row r="20" spans="1:14">
      <c r="A20">
        <v>8</v>
      </c>
      <c r="B20" s="273"/>
      <c r="C20" s="273"/>
      <c r="D20" s="273"/>
      <c r="E20" s="1113" t="str">
        <f t="shared" si="3"/>
        <v/>
      </c>
      <c r="F20" s="1113" t="str">
        <f t="shared" si="4"/>
        <v/>
      </c>
      <c r="G20" s="1113" t="str">
        <f t="shared" si="5"/>
        <v/>
      </c>
      <c r="H20" s="1113" t="str">
        <f t="shared" si="6"/>
        <v/>
      </c>
      <c r="I20" s="1113" t="str">
        <f t="shared" si="7"/>
        <v/>
      </c>
      <c r="J20" s="1113" t="str">
        <f t="shared" si="8"/>
        <v/>
      </c>
      <c r="K20" s="1113" t="str">
        <f t="shared" si="9"/>
        <v/>
      </c>
      <c r="L20" s="1113" t="str">
        <f t="shared" si="10"/>
        <v/>
      </c>
      <c r="M20" s="1114">
        <f t="shared" si="1"/>
        <v>0</v>
      </c>
      <c r="N20" s="1114">
        <f t="shared" si="2"/>
        <v>0</v>
      </c>
    </row>
    <row r="21" spans="1:14">
      <c r="A21">
        <v>9</v>
      </c>
      <c r="B21" s="273"/>
      <c r="C21" s="273"/>
      <c r="D21" s="273"/>
      <c r="E21" s="1113" t="str">
        <f t="shared" si="3"/>
        <v/>
      </c>
      <c r="F21" s="1113" t="str">
        <f t="shared" si="4"/>
        <v/>
      </c>
      <c r="G21" s="1113" t="str">
        <f t="shared" si="5"/>
        <v/>
      </c>
      <c r="H21" s="1113" t="str">
        <f t="shared" si="6"/>
        <v/>
      </c>
      <c r="I21" s="1113" t="str">
        <f t="shared" si="7"/>
        <v/>
      </c>
      <c r="J21" s="1113" t="str">
        <f t="shared" si="8"/>
        <v/>
      </c>
      <c r="K21" s="1113" t="str">
        <f t="shared" si="9"/>
        <v/>
      </c>
      <c r="L21" s="1113" t="str">
        <f t="shared" si="10"/>
        <v/>
      </c>
      <c r="M21" s="1114">
        <f t="shared" si="1"/>
        <v>0</v>
      </c>
      <c r="N21" s="1114">
        <f t="shared" si="2"/>
        <v>0</v>
      </c>
    </row>
    <row r="22" spans="1:14">
      <c r="A22">
        <v>10</v>
      </c>
      <c r="B22" s="273"/>
      <c r="C22" s="273"/>
      <c r="D22" s="273"/>
      <c r="E22" s="1113" t="str">
        <f t="shared" si="3"/>
        <v/>
      </c>
      <c r="F22" s="1113" t="str">
        <f t="shared" si="4"/>
        <v/>
      </c>
      <c r="G22" s="1113" t="str">
        <f t="shared" si="5"/>
        <v/>
      </c>
      <c r="H22" s="1113" t="str">
        <f t="shared" si="6"/>
        <v/>
      </c>
      <c r="I22" s="1113" t="str">
        <f t="shared" si="7"/>
        <v/>
      </c>
      <c r="J22" s="1113" t="str">
        <f t="shared" si="8"/>
        <v/>
      </c>
      <c r="K22" s="1113" t="str">
        <f t="shared" si="9"/>
        <v/>
      </c>
      <c r="L22" s="1113" t="str">
        <f t="shared" si="10"/>
        <v/>
      </c>
      <c r="M22" s="1114">
        <f t="shared" si="1"/>
        <v>0</v>
      </c>
      <c r="N22" s="1114">
        <f t="shared" si="2"/>
        <v>0</v>
      </c>
    </row>
    <row r="23" spans="1:14">
      <c r="A23">
        <v>11</v>
      </c>
      <c r="B23" s="273"/>
      <c r="C23" s="273"/>
      <c r="D23" s="273"/>
      <c r="E23" s="1113" t="str">
        <f t="shared" si="3"/>
        <v/>
      </c>
      <c r="F23" s="1113" t="str">
        <f t="shared" si="4"/>
        <v/>
      </c>
      <c r="G23" s="1113" t="str">
        <f t="shared" si="5"/>
        <v/>
      </c>
      <c r="H23" s="1113" t="str">
        <f t="shared" si="6"/>
        <v/>
      </c>
      <c r="I23" s="1113" t="str">
        <f t="shared" si="7"/>
        <v/>
      </c>
      <c r="J23" s="1113" t="str">
        <f t="shared" si="8"/>
        <v/>
      </c>
      <c r="K23" s="1113" t="str">
        <f t="shared" si="9"/>
        <v/>
      </c>
      <c r="L23" s="1113" t="str">
        <f t="shared" si="10"/>
        <v/>
      </c>
      <c r="M23" s="1114">
        <f t="shared" si="1"/>
        <v>0</v>
      </c>
      <c r="N23" s="1114">
        <f t="shared" si="2"/>
        <v>0</v>
      </c>
    </row>
    <row r="24" spans="1:14">
      <c r="A24">
        <v>12</v>
      </c>
      <c r="B24" s="273"/>
      <c r="C24" s="273"/>
      <c r="D24" s="273"/>
      <c r="E24" s="1113" t="str">
        <f t="shared" si="3"/>
        <v/>
      </c>
      <c r="F24" s="1113" t="str">
        <f t="shared" si="4"/>
        <v/>
      </c>
      <c r="G24" s="1113" t="str">
        <f t="shared" si="5"/>
        <v/>
      </c>
      <c r="H24" s="1113" t="str">
        <f t="shared" si="6"/>
        <v/>
      </c>
      <c r="I24" s="1113" t="str">
        <f t="shared" si="7"/>
        <v/>
      </c>
      <c r="J24" s="1113" t="str">
        <f t="shared" si="8"/>
        <v/>
      </c>
      <c r="K24" s="1113" t="str">
        <f t="shared" si="9"/>
        <v/>
      </c>
      <c r="L24" s="1113" t="str">
        <f t="shared" si="10"/>
        <v/>
      </c>
      <c r="M24" s="1114">
        <f t="shared" si="1"/>
        <v>0</v>
      </c>
      <c r="N24" s="1114">
        <f t="shared" si="2"/>
        <v>0</v>
      </c>
    </row>
    <row r="25" spans="1:14">
      <c r="A25">
        <v>13</v>
      </c>
      <c r="B25" s="273"/>
      <c r="C25" s="273"/>
      <c r="D25" s="273"/>
      <c r="E25" s="1113" t="str">
        <f t="shared" si="3"/>
        <v/>
      </c>
      <c r="F25" s="1113" t="str">
        <f t="shared" si="4"/>
        <v/>
      </c>
      <c r="G25" s="1113" t="str">
        <f t="shared" si="5"/>
        <v/>
      </c>
      <c r="H25" s="1113" t="str">
        <f t="shared" si="6"/>
        <v/>
      </c>
      <c r="I25" s="1113" t="str">
        <f t="shared" si="7"/>
        <v/>
      </c>
      <c r="J25" s="1113" t="str">
        <f t="shared" si="8"/>
        <v/>
      </c>
      <c r="K25" s="1113" t="str">
        <f t="shared" si="9"/>
        <v/>
      </c>
      <c r="L25" s="1113" t="str">
        <f t="shared" si="10"/>
        <v/>
      </c>
      <c r="M25" s="1114">
        <f t="shared" si="1"/>
        <v>0</v>
      </c>
      <c r="N25" s="1114">
        <f t="shared" si="2"/>
        <v>0</v>
      </c>
    </row>
    <row r="26" spans="1:14">
      <c r="A26">
        <v>14</v>
      </c>
      <c r="B26" s="273"/>
      <c r="C26" s="273"/>
      <c r="D26" s="273"/>
      <c r="E26" s="1113" t="str">
        <f t="shared" si="3"/>
        <v/>
      </c>
      <c r="F26" s="1113" t="str">
        <f t="shared" si="4"/>
        <v/>
      </c>
      <c r="G26" s="1113" t="str">
        <f t="shared" si="5"/>
        <v/>
      </c>
      <c r="H26" s="1113" t="str">
        <f t="shared" si="6"/>
        <v/>
      </c>
      <c r="I26" s="1113" t="str">
        <f t="shared" si="7"/>
        <v/>
      </c>
      <c r="J26" s="1113" t="str">
        <f t="shared" si="8"/>
        <v/>
      </c>
      <c r="K26" s="1113" t="str">
        <f t="shared" si="9"/>
        <v/>
      </c>
      <c r="L26" s="1113" t="str">
        <f t="shared" si="10"/>
        <v/>
      </c>
      <c r="M26" s="1114">
        <f t="shared" si="1"/>
        <v>0</v>
      </c>
      <c r="N26" s="1114">
        <f t="shared" si="2"/>
        <v>0</v>
      </c>
    </row>
    <row r="27" spans="1:14">
      <c r="A27">
        <v>15</v>
      </c>
      <c r="B27" s="273"/>
      <c r="C27" s="273"/>
      <c r="D27" s="273"/>
      <c r="E27" s="1113" t="str">
        <f t="shared" si="3"/>
        <v/>
      </c>
      <c r="F27" s="1113" t="str">
        <f t="shared" si="4"/>
        <v/>
      </c>
      <c r="G27" s="1113" t="str">
        <f t="shared" si="5"/>
        <v/>
      </c>
      <c r="H27" s="1113" t="str">
        <f t="shared" si="6"/>
        <v/>
      </c>
      <c r="I27" s="1113" t="str">
        <f t="shared" si="7"/>
        <v/>
      </c>
      <c r="J27" s="1113" t="str">
        <f t="shared" si="8"/>
        <v/>
      </c>
      <c r="K27" s="1113" t="str">
        <f t="shared" si="9"/>
        <v/>
      </c>
      <c r="L27" s="1113" t="str">
        <f t="shared" si="10"/>
        <v/>
      </c>
      <c r="M27" s="1114">
        <f t="shared" si="1"/>
        <v>0</v>
      </c>
      <c r="N27" s="1114">
        <f t="shared" si="2"/>
        <v>0</v>
      </c>
    </row>
    <row r="28" spans="1:14">
      <c r="A28">
        <v>16</v>
      </c>
      <c r="B28" s="273"/>
      <c r="C28" s="273"/>
      <c r="D28" s="273"/>
      <c r="E28" s="1113" t="str">
        <f t="shared" si="3"/>
        <v/>
      </c>
      <c r="F28" s="1113" t="str">
        <f t="shared" si="4"/>
        <v/>
      </c>
      <c r="G28" s="1113" t="str">
        <f t="shared" si="5"/>
        <v/>
      </c>
      <c r="H28" s="1113" t="str">
        <f t="shared" si="6"/>
        <v/>
      </c>
      <c r="I28" s="1113" t="str">
        <f t="shared" si="7"/>
        <v/>
      </c>
      <c r="J28" s="1113" t="str">
        <f t="shared" si="8"/>
        <v/>
      </c>
      <c r="K28" s="1113" t="str">
        <f t="shared" si="9"/>
        <v/>
      </c>
      <c r="L28" s="1113" t="str">
        <f t="shared" si="10"/>
        <v/>
      </c>
      <c r="M28" s="1114">
        <f t="shared" si="1"/>
        <v>0</v>
      </c>
      <c r="N28" s="1114">
        <f t="shared" si="2"/>
        <v>0</v>
      </c>
    </row>
    <row r="29" spans="1:14">
      <c r="A29">
        <v>17</v>
      </c>
      <c r="B29" s="273"/>
      <c r="C29" s="273"/>
      <c r="D29" s="273"/>
      <c r="E29" s="1113" t="str">
        <f t="shared" si="3"/>
        <v/>
      </c>
      <c r="F29" s="1113" t="str">
        <f t="shared" si="4"/>
        <v/>
      </c>
      <c r="G29" s="1113" t="str">
        <f t="shared" si="5"/>
        <v/>
      </c>
      <c r="H29" s="1113" t="str">
        <f t="shared" si="6"/>
        <v/>
      </c>
      <c r="I29" s="1113" t="str">
        <f t="shared" si="7"/>
        <v/>
      </c>
      <c r="J29" s="1113" t="str">
        <f t="shared" si="8"/>
        <v/>
      </c>
      <c r="K29" s="1113" t="str">
        <f t="shared" si="9"/>
        <v/>
      </c>
      <c r="L29" s="1113" t="str">
        <f t="shared" si="10"/>
        <v/>
      </c>
      <c r="M29" s="1114">
        <f t="shared" si="1"/>
        <v>0</v>
      </c>
      <c r="N29" s="1114">
        <f t="shared" si="2"/>
        <v>0</v>
      </c>
    </row>
    <row r="30" spans="1:14">
      <c r="A30">
        <v>18</v>
      </c>
      <c r="B30" s="273"/>
      <c r="C30" s="273"/>
      <c r="D30" s="273"/>
      <c r="E30" s="1113" t="str">
        <f t="shared" si="3"/>
        <v/>
      </c>
      <c r="F30" s="1113" t="str">
        <f t="shared" si="4"/>
        <v/>
      </c>
      <c r="G30" s="1113" t="str">
        <f t="shared" si="5"/>
        <v/>
      </c>
      <c r="H30" s="1113" t="str">
        <f t="shared" si="6"/>
        <v/>
      </c>
      <c r="I30" s="1113" t="str">
        <f t="shared" si="7"/>
        <v/>
      </c>
      <c r="J30" s="1113" t="str">
        <f t="shared" si="8"/>
        <v/>
      </c>
      <c r="K30" s="1113" t="str">
        <f t="shared" si="9"/>
        <v/>
      </c>
      <c r="L30" s="1113" t="str">
        <f t="shared" si="10"/>
        <v/>
      </c>
      <c r="M30" s="1114">
        <f t="shared" si="1"/>
        <v>0</v>
      </c>
      <c r="N30" s="1114">
        <f t="shared" si="2"/>
        <v>0</v>
      </c>
    </row>
    <row r="31" spans="1:14">
      <c r="A31">
        <v>19</v>
      </c>
      <c r="B31" s="273"/>
      <c r="C31" s="273"/>
      <c r="D31" s="273"/>
      <c r="E31" s="1113" t="str">
        <f t="shared" si="3"/>
        <v/>
      </c>
      <c r="F31" s="1113" t="str">
        <f t="shared" si="4"/>
        <v/>
      </c>
      <c r="G31" s="1113" t="str">
        <f t="shared" si="5"/>
        <v/>
      </c>
      <c r="H31" s="1113" t="str">
        <f t="shared" si="6"/>
        <v/>
      </c>
      <c r="I31" s="1113" t="str">
        <f t="shared" si="7"/>
        <v/>
      </c>
      <c r="J31" s="1113" t="str">
        <f t="shared" si="8"/>
        <v/>
      </c>
      <c r="K31" s="1113" t="str">
        <f t="shared" si="9"/>
        <v/>
      </c>
      <c r="L31" s="1113" t="str">
        <f t="shared" si="10"/>
        <v/>
      </c>
      <c r="M31" s="1114">
        <f t="shared" si="1"/>
        <v>0</v>
      </c>
      <c r="N31" s="1114">
        <f t="shared" si="2"/>
        <v>0</v>
      </c>
    </row>
    <row r="32" spans="1:14">
      <c r="A32">
        <v>20</v>
      </c>
      <c r="B32" s="273"/>
      <c r="C32" s="273"/>
      <c r="D32" s="273"/>
      <c r="E32" s="1113" t="str">
        <f t="shared" si="3"/>
        <v/>
      </c>
      <c r="F32" s="1113" t="str">
        <f t="shared" si="4"/>
        <v/>
      </c>
      <c r="G32" s="1113" t="str">
        <f t="shared" si="5"/>
        <v/>
      </c>
      <c r="H32" s="1113" t="str">
        <f t="shared" si="6"/>
        <v/>
      </c>
      <c r="I32" s="1113" t="str">
        <f t="shared" si="7"/>
        <v/>
      </c>
      <c r="J32" s="1113" t="str">
        <f t="shared" si="8"/>
        <v/>
      </c>
      <c r="K32" s="1113" t="str">
        <f t="shared" si="9"/>
        <v/>
      </c>
      <c r="L32" s="1113" t="str">
        <f t="shared" si="10"/>
        <v/>
      </c>
      <c r="M32" s="1114">
        <f t="shared" si="1"/>
        <v>0</v>
      </c>
      <c r="N32" s="1114">
        <f t="shared" si="2"/>
        <v>0</v>
      </c>
    </row>
    <row r="33" spans="1:14">
      <c r="A33">
        <v>21</v>
      </c>
      <c r="B33" s="273"/>
      <c r="C33" s="273"/>
      <c r="D33" s="273"/>
      <c r="E33" s="1113" t="str">
        <f t="shared" si="3"/>
        <v/>
      </c>
      <c r="F33" s="1113" t="str">
        <f t="shared" si="4"/>
        <v/>
      </c>
      <c r="G33" s="1113" t="str">
        <f t="shared" si="5"/>
        <v/>
      </c>
      <c r="H33" s="1113" t="str">
        <f t="shared" si="6"/>
        <v/>
      </c>
      <c r="I33" s="1113" t="str">
        <f t="shared" si="7"/>
        <v/>
      </c>
      <c r="J33" s="1113" t="str">
        <f t="shared" si="8"/>
        <v/>
      </c>
      <c r="K33" s="1113" t="str">
        <f t="shared" si="9"/>
        <v/>
      </c>
      <c r="L33" s="1113" t="str">
        <f t="shared" si="10"/>
        <v/>
      </c>
      <c r="M33" s="1114">
        <f t="shared" si="1"/>
        <v>0</v>
      </c>
      <c r="N33" s="1114">
        <f t="shared" si="2"/>
        <v>0</v>
      </c>
    </row>
    <row r="34" spans="1:14">
      <c r="A34">
        <v>22</v>
      </c>
      <c r="B34" s="273"/>
      <c r="C34" s="273"/>
      <c r="D34" s="273"/>
      <c r="E34" s="1113" t="str">
        <f t="shared" si="3"/>
        <v/>
      </c>
      <c r="F34" s="1113" t="str">
        <f t="shared" si="4"/>
        <v/>
      </c>
      <c r="G34" s="1113" t="str">
        <f t="shared" si="5"/>
        <v/>
      </c>
      <c r="H34" s="1113" t="str">
        <f t="shared" si="6"/>
        <v/>
      </c>
      <c r="I34" s="1113" t="str">
        <f t="shared" si="7"/>
        <v/>
      </c>
      <c r="J34" s="1113" t="str">
        <f t="shared" si="8"/>
        <v/>
      </c>
      <c r="K34" s="1113" t="str">
        <f t="shared" si="9"/>
        <v/>
      </c>
      <c r="L34" s="1113" t="str">
        <f t="shared" si="10"/>
        <v/>
      </c>
      <c r="M34" s="1114">
        <f t="shared" si="1"/>
        <v>0</v>
      </c>
      <c r="N34" s="1114">
        <f t="shared" si="2"/>
        <v>0</v>
      </c>
    </row>
    <row r="35" spans="1:14">
      <c r="A35">
        <v>23</v>
      </c>
      <c r="B35" s="273"/>
      <c r="C35" s="273"/>
      <c r="D35" s="273"/>
      <c r="E35" s="1113" t="str">
        <f t="shared" si="3"/>
        <v/>
      </c>
      <c r="F35" s="1113" t="str">
        <f t="shared" si="4"/>
        <v/>
      </c>
      <c r="G35" s="1113" t="str">
        <f t="shared" si="5"/>
        <v/>
      </c>
      <c r="H35" s="1113" t="str">
        <f t="shared" si="6"/>
        <v/>
      </c>
      <c r="I35" s="1113" t="str">
        <f t="shared" si="7"/>
        <v/>
      </c>
      <c r="J35" s="1113" t="str">
        <f t="shared" si="8"/>
        <v/>
      </c>
      <c r="K35" s="1113" t="str">
        <f t="shared" si="9"/>
        <v/>
      </c>
      <c r="L35" s="1113" t="str">
        <f t="shared" si="10"/>
        <v/>
      </c>
      <c r="M35" s="1114">
        <f t="shared" si="1"/>
        <v>0</v>
      </c>
      <c r="N35" s="1114">
        <f t="shared" si="2"/>
        <v>0</v>
      </c>
    </row>
    <row r="36" spans="1:14">
      <c r="A36">
        <v>24</v>
      </c>
      <c r="B36" s="273"/>
      <c r="C36" s="273"/>
      <c r="D36" s="273"/>
      <c r="E36" s="1113" t="str">
        <f t="shared" si="3"/>
        <v/>
      </c>
      <c r="F36" s="1113" t="str">
        <f t="shared" si="4"/>
        <v/>
      </c>
      <c r="G36" s="1113" t="str">
        <f t="shared" si="5"/>
        <v/>
      </c>
      <c r="H36" s="1113" t="str">
        <f t="shared" si="6"/>
        <v/>
      </c>
      <c r="I36" s="1113" t="str">
        <f t="shared" si="7"/>
        <v/>
      </c>
      <c r="J36" s="1113" t="str">
        <f t="shared" si="8"/>
        <v/>
      </c>
      <c r="K36" s="1113" t="str">
        <f t="shared" si="9"/>
        <v/>
      </c>
      <c r="L36" s="1113" t="str">
        <f t="shared" si="10"/>
        <v/>
      </c>
      <c r="M36" s="1114">
        <f t="shared" si="1"/>
        <v>0</v>
      </c>
      <c r="N36" s="1114">
        <f t="shared" si="2"/>
        <v>0</v>
      </c>
    </row>
    <row r="37" spans="1:14">
      <c r="A37">
        <v>25</v>
      </c>
      <c r="B37" s="273"/>
      <c r="C37" s="273"/>
      <c r="D37" s="273"/>
      <c r="E37" s="1113" t="str">
        <f t="shared" si="3"/>
        <v/>
      </c>
      <c r="F37" s="1113" t="str">
        <f t="shared" si="4"/>
        <v/>
      </c>
      <c r="G37" s="1113" t="str">
        <f t="shared" si="5"/>
        <v/>
      </c>
      <c r="H37" s="1113" t="str">
        <f t="shared" si="6"/>
        <v/>
      </c>
      <c r="I37" s="1113" t="str">
        <f t="shared" si="7"/>
        <v/>
      </c>
      <c r="J37" s="1113" t="str">
        <f t="shared" si="8"/>
        <v/>
      </c>
      <c r="K37" s="1113" t="str">
        <f t="shared" si="9"/>
        <v/>
      </c>
      <c r="L37" s="1113" t="str">
        <f t="shared" si="10"/>
        <v/>
      </c>
      <c r="M37" s="1114">
        <f t="shared" si="1"/>
        <v>0</v>
      </c>
      <c r="N37" s="1114">
        <f t="shared" si="2"/>
        <v>0</v>
      </c>
    </row>
    <row r="38" spans="1:14">
      <c r="A38">
        <v>26</v>
      </c>
      <c r="B38" s="273"/>
      <c r="C38" s="273"/>
      <c r="D38" s="273"/>
      <c r="E38" s="1113" t="str">
        <f t="shared" si="3"/>
        <v/>
      </c>
      <c r="F38" s="1113" t="str">
        <f t="shared" si="4"/>
        <v/>
      </c>
      <c r="G38" s="1113" t="str">
        <f t="shared" si="5"/>
        <v/>
      </c>
      <c r="H38" s="1113" t="str">
        <f t="shared" si="6"/>
        <v/>
      </c>
      <c r="I38" s="1113" t="str">
        <f t="shared" si="7"/>
        <v/>
      </c>
      <c r="J38" s="1113" t="str">
        <f t="shared" si="8"/>
        <v/>
      </c>
      <c r="K38" s="1113" t="str">
        <f t="shared" si="9"/>
        <v/>
      </c>
      <c r="L38" s="1113" t="str">
        <f t="shared" si="10"/>
        <v/>
      </c>
      <c r="M38" s="1114">
        <f t="shared" si="1"/>
        <v>0</v>
      </c>
      <c r="N38" s="1114">
        <f t="shared" si="2"/>
        <v>0</v>
      </c>
    </row>
    <row r="39" spans="1:14">
      <c r="A39">
        <v>27</v>
      </c>
      <c r="B39" s="273"/>
      <c r="C39" s="273"/>
      <c r="D39" s="273"/>
      <c r="E39" s="1113" t="str">
        <f t="shared" si="3"/>
        <v/>
      </c>
      <c r="F39" s="1113" t="str">
        <f t="shared" si="4"/>
        <v/>
      </c>
      <c r="G39" s="1113" t="str">
        <f t="shared" si="5"/>
        <v/>
      </c>
      <c r="H39" s="1113" t="str">
        <f t="shared" si="6"/>
        <v/>
      </c>
      <c r="I39" s="1113" t="str">
        <f t="shared" si="7"/>
        <v/>
      </c>
      <c r="J39" s="1113" t="str">
        <f t="shared" si="8"/>
        <v/>
      </c>
      <c r="K39" s="1113" t="str">
        <f t="shared" si="9"/>
        <v/>
      </c>
      <c r="L39" s="1113" t="str">
        <f t="shared" si="10"/>
        <v/>
      </c>
      <c r="M39" s="1114">
        <f t="shared" si="1"/>
        <v>0</v>
      </c>
      <c r="N39" s="1114">
        <f t="shared" si="2"/>
        <v>0</v>
      </c>
    </row>
    <row r="40" spans="1:14">
      <c r="A40">
        <v>28</v>
      </c>
      <c r="B40" s="273"/>
      <c r="C40" s="273"/>
      <c r="D40" s="273"/>
      <c r="E40" s="1113" t="str">
        <f t="shared" si="3"/>
        <v/>
      </c>
      <c r="F40" s="1113" t="str">
        <f t="shared" si="4"/>
        <v/>
      </c>
      <c r="G40" s="1113" t="str">
        <f t="shared" si="5"/>
        <v/>
      </c>
      <c r="H40" s="1113" t="str">
        <f t="shared" si="6"/>
        <v/>
      </c>
      <c r="I40" s="1113" t="str">
        <f t="shared" si="7"/>
        <v/>
      </c>
      <c r="J40" s="1113" t="str">
        <f t="shared" si="8"/>
        <v/>
      </c>
      <c r="K40" s="1113" t="str">
        <f t="shared" si="9"/>
        <v/>
      </c>
      <c r="L40" s="1113" t="str">
        <f t="shared" si="10"/>
        <v/>
      </c>
      <c r="M40" s="1114">
        <f t="shared" si="1"/>
        <v>0</v>
      </c>
      <c r="N40" s="1114">
        <f t="shared" si="2"/>
        <v>0</v>
      </c>
    </row>
    <row r="41" spans="1:14">
      <c r="A41">
        <v>29</v>
      </c>
      <c r="B41" s="273"/>
      <c r="C41" s="273"/>
      <c r="D41" s="273"/>
      <c r="E41" s="1113" t="str">
        <f t="shared" si="3"/>
        <v/>
      </c>
      <c r="F41" s="1113" t="str">
        <f t="shared" si="4"/>
        <v/>
      </c>
      <c r="G41" s="1113" t="str">
        <f t="shared" si="5"/>
        <v/>
      </c>
      <c r="H41" s="1113" t="str">
        <f t="shared" si="6"/>
        <v/>
      </c>
      <c r="I41" s="1113" t="str">
        <f t="shared" si="7"/>
        <v/>
      </c>
      <c r="J41" s="1113" t="str">
        <f t="shared" si="8"/>
        <v/>
      </c>
      <c r="K41" s="1113" t="str">
        <f t="shared" si="9"/>
        <v/>
      </c>
      <c r="L41" s="1113" t="str">
        <f t="shared" si="10"/>
        <v/>
      </c>
      <c r="M41" s="1114">
        <f t="shared" si="1"/>
        <v>0</v>
      </c>
      <c r="N41" s="1114">
        <f t="shared" si="2"/>
        <v>0</v>
      </c>
    </row>
    <row r="42" spans="1:14">
      <c r="A42">
        <v>30</v>
      </c>
      <c r="B42" s="273"/>
      <c r="C42" s="273"/>
      <c r="D42" s="273"/>
      <c r="E42" s="1113" t="str">
        <f t="shared" si="3"/>
        <v/>
      </c>
      <c r="F42" s="1113" t="str">
        <f t="shared" si="4"/>
        <v/>
      </c>
      <c r="G42" s="1113" t="str">
        <f t="shared" si="5"/>
        <v/>
      </c>
      <c r="H42" s="1113" t="str">
        <f t="shared" si="6"/>
        <v/>
      </c>
      <c r="I42" s="1113" t="str">
        <f t="shared" si="7"/>
        <v/>
      </c>
      <c r="J42" s="1113" t="str">
        <f t="shared" si="8"/>
        <v/>
      </c>
      <c r="K42" s="1113" t="str">
        <f t="shared" si="9"/>
        <v/>
      </c>
      <c r="L42" s="1113" t="str">
        <f t="shared" si="10"/>
        <v/>
      </c>
      <c r="M42" s="1114">
        <f t="shared" si="1"/>
        <v>0</v>
      </c>
      <c r="N42" s="1114">
        <f t="shared" si="2"/>
        <v>0</v>
      </c>
    </row>
    <row r="43" spans="1:14">
      <c r="A43" s="1115"/>
      <c r="B43" s="1102"/>
      <c r="C43" s="1102"/>
      <c r="D43" s="1102"/>
      <c r="E43" s="1102"/>
      <c r="F43" s="1102"/>
      <c r="G43" s="1113" t="str">
        <f t="shared" si="5"/>
        <v/>
      </c>
      <c r="H43" s="1113" t="str">
        <f t="shared" si="6"/>
        <v/>
      </c>
      <c r="I43" s="1113" t="str">
        <f t="shared" si="7"/>
        <v/>
      </c>
      <c r="J43" s="1113" t="str">
        <f t="shared" si="8"/>
        <v/>
      </c>
      <c r="K43" s="1113" t="str">
        <f t="shared" si="9"/>
        <v/>
      </c>
      <c r="L43" s="1117"/>
      <c r="M43" s="1114">
        <f t="shared" si="1"/>
        <v>0</v>
      </c>
      <c r="N43" s="1114">
        <f t="shared" si="2"/>
        <v>0</v>
      </c>
    </row>
    <row r="44" spans="1:14">
      <c r="D44" s="1113" t="s">
        <v>1170</v>
      </c>
      <c r="E44" s="1113" t="e">
        <f>AVERAGE(E13:E42)</f>
        <v>#DIV/0!</v>
      </c>
      <c r="F44" s="1113" t="e">
        <f>AVERAGE(F13:F42)</f>
        <v>#DIV/0!</v>
      </c>
      <c r="L44" s="1113" t="e">
        <f>AVERAGE(L13:L42)</f>
        <v>#DIV/0!</v>
      </c>
    </row>
    <row r="45" spans="1:14" ht="18.75">
      <c r="E45" s="1118" t="s">
        <v>1329</v>
      </c>
      <c r="F45" s="818" t="e">
        <f>F44/1.693</f>
        <v>#DIV/0!</v>
      </c>
      <c r="G45" s="184" t="s">
        <v>1330</v>
      </c>
    </row>
    <row r="46" spans="1:14" ht="18.75">
      <c r="E46" s="1118" t="s">
        <v>1329</v>
      </c>
      <c r="F46" s="818" t="e">
        <f>L44/(((4*F51*3)-4)/((4*F51*3)-3))</f>
        <v>#DIV/0!</v>
      </c>
      <c r="G46" s="1119" t="s">
        <v>1331</v>
      </c>
    </row>
    <row r="47" spans="1:14" ht="18.75">
      <c r="E47" s="1118" t="s">
        <v>1332</v>
      </c>
      <c r="F47" s="818" t="e">
        <f>STDEV(B13:D42)</f>
        <v>#DIV/0!</v>
      </c>
    </row>
    <row r="48" spans="1:14">
      <c r="E48" s="99"/>
    </row>
    <row r="49" spans="5:7">
      <c r="E49" s="99"/>
    </row>
    <row r="50" spans="5:7">
      <c r="E50" s="99"/>
    </row>
    <row r="51" spans="5:7">
      <c r="E51" s="325" t="s">
        <v>1177</v>
      </c>
      <c r="F51" s="101">
        <f>COUNT(B13:B42)</f>
        <v>0</v>
      </c>
    </row>
    <row r="52" spans="5:7" ht="14.25">
      <c r="F52" s="93" t="s">
        <v>117</v>
      </c>
      <c r="G52" s="1109" t="s">
        <v>1328</v>
      </c>
    </row>
    <row r="53" spans="5:7">
      <c r="E53" s="184" t="s">
        <v>1175</v>
      </c>
      <c r="F53" s="1114" t="e">
        <f>(J3-J1)/(6*(F45))</f>
        <v>#DIV/0!</v>
      </c>
      <c r="G53" s="1114" t="e">
        <f>(J3-J1)/(6*F46)</f>
        <v>#DIV/0!</v>
      </c>
    </row>
    <row r="54" spans="5:7" ht="14.25">
      <c r="E54" s="184" t="s">
        <v>1333</v>
      </c>
      <c r="F54" s="1120" t="e">
        <f>MIN(((J3-E44)/(3*F45)),((E44-J1)/(3*F45)))</f>
        <v>#DIV/0!</v>
      </c>
      <c r="G54" s="1114" t="e">
        <f>MIN(((J3-E44)/(3*F46)),((E44-J1)/(3*F46)))</f>
        <v>#DIV/0!</v>
      </c>
    </row>
    <row r="55" spans="5:7">
      <c r="E55" s="184"/>
      <c r="F55" s="1114" t="s">
        <v>1179</v>
      </c>
      <c r="G55" s="1114" t="s">
        <v>1180</v>
      </c>
    </row>
    <row r="56" spans="5:7">
      <c r="E56" s="184" t="s">
        <v>678</v>
      </c>
      <c r="F56" s="1114" t="e">
        <f>(J3-J1)/(6*F47)</f>
        <v>#DIV/0!</v>
      </c>
    </row>
    <row r="57" spans="5:7" ht="14.25">
      <c r="E57" s="184" t="s">
        <v>1334</v>
      </c>
      <c r="F57" s="1114" t="e">
        <f>MIN(((J3-E44)/(3*F47)),((E44-J1)/(3*F47)))</f>
        <v>#DIV/0!</v>
      </c>
      <c r="G57" s="1114" t="e">
        <f>(NORMSINV(1-(((1-NORMSDIST(3*F59))*10^6+(1-NORMSDIST(3*F60))*10^6)/10^6)))/3</f>
        <v>#DIV/0!</v>
      </c>
    </row>
    <row r="59" spans="5:7">
      <c r="E59" s="184" t="s">
        <v>569</v>
      </c>
      <c r="F59" s="1114" t="e">
        <f>(E44-J1)/(3*F47)</f>
        <v>#DIV/0!</v>
      </c>
    </row>
    <row r="60" spans="5:7">
      <c r="E60" s="184" t="s">
        <v>568</v>
      </c>
      <c r="F60" s="1114" t="e">
        <f>(J3-E44)/(3*F47)</f>
        <v>#DIV/0!</v>
      </c>
    </row>
  </sheetData>
  <sheetProtection password="CC08" sheet="1" scenarios="1"/>
  <protectedRanges>
    <protectedRange sqref="D1:G7 J1:J3 B13:D42" name="Range1"/>
  </protectedRanges>
  <mergeCells count="22">
    <mergeCell ref="B1:C1"/>
    <mergeCell ref="D1:G1"/>
    <mergeCell ref="O1:T1"/>
    <mergeCell ref="B2:C2"/>
    <mergeCell ref="D2:G2"/>
    <mergeCell ref="O2:T2"/>
    <mergeCell ref="B3:C3"/>
    <mergeCell ref="D3:G3"/>
    <mergeCell ref="O3:T3"/>
    <mergeCell ref="B4:C4"/>
    <mergeCell ref="D4:G4"/>
    <mergeCell ref="O4:T4"/>
    <mergeCell ref="B7:C7"/>
    <mergeCell ref="D7:G7"/>
    <mergeCell ref="O8:T8"/>
    <mergeCell ref="O7:T7"/>
    <mergeCell ref="B5:C5"/>
    <mergeCell ref="D5:G5"/>
    <mergeCell ref="O5:T5"/>
    <mergeCell ref="B6:C6"/>
    <mergeCell ref="D6:G6"/>
    <mergeCell ref="O6:T6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&amp;C&amp;"Arial,Bold"&amp;12Control Chart</oddHeader>
    <oddFooter>&amp;L&amp;8&amp;F&amp;R&amp;8Printed: &amp;D</oddFooter>
  </headerFooter>
  <drawing r:id="rId2"/>
  <legacyDrawing r:id="rId3"/>
  <controls>
    <control shapeId="78851" r:id="rId4" name="MainMenu"/>
  </controls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1"/>
  <dimension ref="A1:Z199"/>
  <sheetViews>
    <sheetView workbookViewId="0">
      <selection activeCell="M6" sqref="M6"/>
    </sheetView>
  </sheetViews>
  <sheetFormatPr defaultRowHeight="12.75"/>
  <cols>
    <col min="14" max="14" width="14.28515625" bestFit="1" customWidth="1"/>
  </cols>
  <sheetData>
    <row r="1" spans="1:26">
      <c r="B1" s="1673" t="s">
        <v>1148</v>
      </c>
      <c r="C1" s="1673"/>
      <c r="D1" s="1587"/>
      <c r="E1" s="1587"/>
      <c r="F1" s="1587"/>
      <c r="G1" s="1587"/>
      <c r="I1" s="796" t="s">
        <v>154</v>
      </c>
      <c r="J1" s="278"/>
      <c r="S1" s="1488" t="str">
        <f>IF(D1="","",D1)</f>
        <v/>
      </c>
      <c r="T1" s="1488"/>
      <c r="U1" s="1488"/>
      <c r="V1" s="1488"/>
      <c r="W1" s="1488"/>
      <c r="X1" s="1488"/>
      <c r="Y1" s="1488"/>
      <c r="Z1" s="1488"/>
    </row>
    <row r="2" spans="1:26">
      <c r="B2" s="1673" t="s">
        <v>1149</v>
      </c>
      <c r="C2" s="1673"/>
      <c r="D2" s="1587"/>
      <c r="E2" s="1587"/>
      <c r="F2" s="1587"/>
      <c r="G2" s="1587"/>
      <c r="I2" s="796" t="s">
        <v>1176</v>
      </c>
      <c r="J2" s="278">
        <v>0</v>
      </c>
      <c r="S2" s="1488" t="str">
        <f>IF(D2="","",D2&amp;" "&amp;D3&amp;" @ "&amp;D4&amp;" Process")</f>
        <v/>
      </c>
      <c r="T2" s="1488"/>
      <c r="U2" s="1488"/>
      <c r="V2" s="1488"/>
      <c r="W2" s="1488"/>
      <c r="X2" s="1488"/>
      <c r="Y2" s="1488"/>
      <c r="Z2" s="1488"/>
    </row>
    <row r="3" spans="1:26">
      <c r="B3" s="1674" t="s">
        <v>1150</v>
      </c>
      <c r="C3" s="1674"/>
      <c r="D3" s="1587"/>
      <c r="E3" s="1587"/>
      <c r="F3" s="1587"/>
      <c r="G3" s="1587"/>
      <c r="I3" s="796" t="s">
        <v>155</v>
      </c>
      <c r="J3" s="278"/>
      <c r="S3" s="1488" t="str">
        <f>IF(D5="","",D5)</f>
        <v/>
      </c>
      <c r="T3" s="1488"/>
      <c r="U3" s="1488"/>
      <c r="V3" s="1488"/>
      <c r="W3" s="1488"/>
      <c r="X3" s="1488"/>
      <c r="Y3" s="1488"/>
      <c r="Z3" s="1488"/>
    </row>
    <row r="4" spans="1:26">
      <c r="B4" s="1673" t="s">
        <v>1151</v>
      </c>
      <c r="C4" s="1673"/>
      <c r="D4" s="1587"/>
      <c r="E4" s="1587"/>
      <c r="F4" s="1587"/>
      <c r="G4" s="1587"/>
      <c r="S4" s="1488" t="s">
        <v>1181</v>
      </c>
      <c r="T4" s="1488"/>
      <c r="U4" s="1488"/>
      <c r="V4" s="1488"/>
      <c r="W4" s="1488"/>
      <c r="X4" s="1488"/>
      <c r="Y4" s="1488"/>
      <c r="Z4" s="1488"/>
    </row>
    <row r="5" spans="1:26">
      <c r="B5" s="1673" t="s">
        <v>1152</v>
      </c>
      <c r="C5" s="1673"/>
      <c r="D5" s="1587"/>
      <c r="E5" s="1587"/>
      <c r="F5" s="1587"/>
      <c r="G5" s="1587"/>
      <c r="S5" s="1672">
        <f ca="1">IF(D6="",TODAY(),D6)</f>
        <v>40599</v>
      </c>
      <c r="T5" s="1672"/>
      <c r="U5" s="1672"/>
      <c r="V5" s="1672"/>
      <c r="W5" s="1672"/>
      <c r="X5" s="1672"/>
      <c r="Y5" s="1672"/>
      <c r="Z5" s="1672"/>
    </row>
    <row r="6" spans="1:26">
      <c r="B6" s="1673" t="s">
        <v>1153</v>
      </c>
      <c r="C6" s="1673"/>
      <c r="D6" s="1675"/>
      <c r="E6" s="1676"/>
      <c r="F6" s="1676"/>
      <c r="G6" s="1677"/>
      <c r="U6" s="80"/>
      <c r="V6" s="80"/>
      <c r="W6" s="80"/>
      <c r="X6" s="80"/>
      <c r="Y6" s="80"/>
    </row>
    <row r="7" spans="1:26">
      <c r="U7" s="1096"/>
      <c r="V7" s="1096"/>
      <c r="W7" s="1096"/>
      <c r="X7" s="1096"/>
      <c r="Y7" s="1096"/>
    </row>
    <row r="10" spans="1:26" ht="15" thickBot="1">
      <c r="A10" s="1107" t="s">
        <v>1154</v>
      </c>
      <c r="B10" s="1097" t="s">
        <v>1161</v>
      </c>
      <c r="C10" s="1097" t="s">
        <v>1162</v>
      </c>
      <c r="D10" s="1097" t="s">
        <v>1163</v>
      </c>
      <c r="E10" s="1097" t="s">
        <v>1164</v>
      </c>
      <c r="F10" s="1097" t="s">
        <v>1165</v>
      </c>
      <c r="G10" s="1107" t="s">
        <v>195</v>
      </c>
      <c r="H10" s="1107" t="s">
        <v>117</v>
      </c>
      <c r="I10" s="1108" t="s">
        <v>1166</v>
      </c>
      <c r="J10" s="1108" t="s">
        <v>421</v>
      </c>
      <c r="K10" s="1108" t="s">
        <v>1167</v>
      </c>
      <c r="L10" s="1108" t="s">
        <v>1168</v>
      </c>
      <c r="M10" s="1108" t="s">
        <v>1169</v>
      </c>
      <c r="N10" s="1121" t="s">
        <v>1328</v>
      </c>
      <c r="O10" s="1108" t="s">
        <v>154</v>
      </c>
      <c r="P10" s="1108" t="s">
        <v>1033</v>
      </c>
      <c r="Q10" s="1108" t="s">
        <v>155</v>
      </c>
      <c r="R10" s="1109"/>
      <c r="S10" s="1109"/>
    </row>
    <row r="11" spans="1:26" ht="13.5" thickTop="1">
      <c r="A11" s="1110"/>
      <c r="B11" s="1111"/>
      <c r="C11" s="1111"/>
      <c r="D11" s="1111"/>
      <c r="E11" s="1111"/>
      <c r="F11" s="1111"/>
      <c r="G11" s="1112"/>
      <c r="H11" s="1112"/>
      <c r="I11" s="1122" t="e">
        <f>G43-(0.577*H43)</f>
        <v>#DIV/0!</v>
      </c>
      <c r="J11" s="1122" t="e">
        <f>G43</f>
        <v>#DIV/0!</v>
      </c>
      <c r="K11" s="1122" t="e">
        <f>G43+(0.577*H43)</f>
        <v>#DIV/0!</v>
      </c>
      <c r="L11" s="1122" t="e">
        <f>2.115*H43</f>
        <v>#DIV/0!</v>
      </c>
      <c r="M11" s="1122" t="e">
        <f>H43</f>
        <v>#DIV/0!</v>
      </c>
      <c r="N11" s="1116"/>
      <c r="O11" s="1122">
        <f t="shared" ref="O11:O42" si="0">J$1</f>
        <v>0</v>
      </c>
      <c r="P11" s="1122">
        <f t="shared" ref="P11:P42" si="1">J$2</f>
        <v>0</v>
      </c>
      <c r="Q11" s="1122">
        <f t="shared" ref="Q11:Q42" si="2">J$3</f>
        <v>0</v>
      </c>
      <c r="R11" s="1114"/>
      <c r="S11" s="1114"/>
    </row>
    <row r="12" spans="1:26">
      <c r="A12">
        <v>1</v>
      </c>
      <c r="B12" s="273"/>
      <c r="C12" s="273"/>
      <c r="D12" s="273"/>
      <c r="E12" s="273"/>
      <c r="F12" s="273"/>
      <c r="G12" s="1122" t="str">
        <f t="shared" ref="G12:G41" si="3">IF(B12="","",AVERAGE(B12:F12))</f>
        <v/>
      </c>
      <c r="H12" s="1122" t="str">
        <f t="shared" ref="H12:H41" si="4">IF(B12="","",MAX(B12:F12)-MIN(B12:F12))</f>
        <v/>
      </c>
      <c r="I12" s="1122" t="e">
        <f t="shared" ref="I12:I42" si="5">I11</f>
        <v>#DIV/0!</v>
      </c>
      <c r="J12" s="1122" t="e">
        <f t="shared" ref="J12:J42" si="6">J11</f>
        <v>#DIV/0!</v>
      </c>
      <c r="K12" s="1122" t="e">
        <f t="shared" ref="K12:K42" si="7">K11</f>
        <v>#DIV/0!</v>
      </c>
      <c r="L12" s="1122" t="e">
        <f t="shared" ref="L12:L42" si="8">L11</f>
        <v>#DIV/0!</v>
      </c>
      <c r="M12" s="1122" t="e">
        <f t="shared" ref="M12:M42" si="9">M11</f>
        <v>#DIV/0!</v>
      </c>
      <c r="N12" s="1122" t="str">
        <f t="shared" ref="N12:N41" si="10">IF(B12="","",STDEV(B12:F12))</f>
        <v/>
      </c>
      <c r="O12" s="1122">
        <f t="shared" si="0"/>
        <v>0</v>
      </c>
      <c r="P12" s="1122">
        <f t="shared" si="1"/>
        <v>0</v>
      </c>
      <c r="Q12" s="1122">
        <f t="shared" si="2"/>
        <v>0</v>
      </c>
      <c r="R12" s="1114"/>
      <c r="S12" s="1114"/>
    </row>
    <row r="13" spans="1:26">
      <c r="A13">
        <v>2</v>
      </c>
      <c r="B13" s="273"/>
      <c r="C13" s="273"/>
      <c r="D13" s="273"/>
      <c r="E13" s="273"/>
      <c r="F13" s="273"/>
      <c r="G13" s="1122" t="str">
        <f t="shared" si="3"/>
        <v/>
      </c>
      <c r="H13" s="1122" t="str">
        <f t="shared" si="4"/>
        <v/>
      </c>
      <c r="I13" s="1122" t="e">
        <f t="shared" si="5"/>
        <v>#DIV/0!</v>
      </c>
      <c r="J13" s="1122" t="e">
        <f t="shared" si="6"/>
        <v>#DIV/0!</v>
      </c>
      <c r="K13" s="1122" t="e">
        <f t="shared" si="7"/>
        <v>#DIV/0!</v>
      </c>
      <c r="L13" s="1122" t="e">
        <f t="shared" si="8"/>
        <v>#DIV/0!</v>
      </c>
      <c r="M13" s="1122" t="e">
        <f t="shared" si="9"/>
        <v>#DIV/0!</v>
      </c>
      <c r="N13" s="1122" t="str">
        <f t="shared" si="10"/>
        <v/>
      </c>
      <c r="O13" s="1122">
        <f t="shared" si="0"/>
        <v>0</v>
      </c>
      <c r="P13" s="1122">
        <f t="shared" si="1"/>
        <v>0</v>
      </c>
      <c r="Q13" s="1122">
        <f t="shared" si="2"/>
        <v>0</v>
      </c>
      <c r="R13" s="1114"/>
      <c r="S13" s="1114"/>
    </row>
    <row r="14" spans="1:26">
      <c r="A14">
        <v>3</v>
      </c>
      <c r="B14" s="273"/>
      <c r="C14" s="273"/>
      <c r="D14" s="273"/>
      <c r="E14" s="273"/>
      <c r="F14" s="273"/>
      <c r="G14" s="1122" t="str">
        <f t="shared" si="3"/>
        <v/>
      </c>
      <c r="H14" s="1122" t="str">
        <f t="shared" si="4"/>
        <v/>
      </c>
      <c r="I14" s="1122" t="e">
        <f t="shared" si="5"/>
        <v>#DIV/0!</v>
      </c>
      <c r="J14" s="1122" t="e">
        <f t="shared" si="6"/>
        <v>#DIV/0!</v>
      </c>
      <c r="K14" s="1122" t="e">
        <f t="shared" si="7"/>
        <v>#DIV/0!</v>
      </c>
      <c r="L14" s="1122" t="e">
        <f t="shared" si="8"/>
        <v>#DIV/0!</v>
      </c>
      <c r="M14" s="1122" t="e">
        <f t="shared" si="9"/>
        <v>#DIV/0!</v>
      </c>
      <c r="N14" s="1122" t="str">
        <f t="shared" si="10"/>
        <v/>
      </c>
      <c r="O14" s="1122">
        <f t="shared" si="0"/>
        <v>0</v>
      </c>
      <c r="P14" s="1122">
        <f t="shared" si="1"/>
        <v>0</v>
      </c>
      <c r="Q14" s="1122">
        <f t="shared" si="2"/>
        <v>0</v>
      </c>
      <c r="R14" s="1114"/>
      <c r="S14" s="1114"/>
    </row>
    <row r="15" spans="1:26">
      <c r="A15">
        <v>4</v>
      </c>
      <c r="B15" s="273"/>
      <c r="C15" s="273"/>
      <c r="D15" s="273"/>
      <c r="E15" s="273"/>
      <c r="F15" s="273"/>
      <c r="G15" s="1122" t="str">
        <f t="shared" si="3"/>
        <v/>
      </c>
      <c r="H15" s="1122" t="str">
        <f t="shared" si="4"/>
        <v/>
      </c>
      <c r="I15" s="1122" t="e">
        <f t="shared" si="5"/>
        <v>#DIV/0!</v>
      </c>
      <c r="J15" s="1122" t="e">
        <f t="shared" si="6"/>
        <v>#DIV/0!</v>
      </c>
      <c r="K15" s="1122" t="e">
        <f t="shared" si="7"/>
        <v>#DIV/0!</v>
      </c>
      <c r="L15" s="1122" t="e">
        <f t="shared" si="8"/>
        <v>#DIV/0!</v>
      </c>
      <c r="M15" s="1122" t="e">
        <f t="shared" si="9"/>
        <v>#DIV/0!</v>
      </c>
      <c r="N15" s="1122" t="str">
        <f t="shared" si="10"/>
        <v/>
      </c>
      <c r="O15" s="1122">
        <f t="shared" si="0"/>
        <v>0</v>
      </c>
      <c r="P15" s="1122">
        <f t="shared" si="1"/>
        <v>0</v>
      </c>
      <c r="Q15" s="1122">
        <f t="shared" si="2"/>
        <v>0</v>
      </c>
      <c r="R15" s="1114"/>
      <c r="S15" s="1114"/>
    </row>
    <row r="16" spans="1:26">
      <c r="A16">
        <v>5</v>
      </c>
      <c r="B16" s="273"/>
      <c r="C16" s="273"/>
      <c r="D16" s="273"/>
      <c r="E16" s="273"/>
      <c r="F16" s="273"/>
      <c r="G16" s="1122" t="str">
        <f t="shared" si="3"/>
        <v/>
      </c>
      <c r="H16" s="1122" t="str">
        <f t="shared" si="4"/>
        <v/>
      </c>
      <c r="I16" s="1122" t="e">
        <f t="shared" si="5"/>
        <v>#DIV/0!</v>
      </c>
      <c r="J16" s="1122" t="e">
        <f t="shared" si="6"/>
        <v>#DIV/0!</v>
      </c>
      <c r="K16" s="1122" t="e">
        <f t="shared" si="7"/>
        <v>#DIV/0!</v>
      </c>
      <c r="L16" s="1122" t="e">
        <f t="shared" si="8"/>
        <v>#DIV/0!</v>
      </c>
      <c r="M16" s="1122" t="e">
        <f t="shared" si="9"/>
        <v>#DIV/0!</v>
      </c>
      <c r="N16" s="1122" t="str">
        <f t="shared" si="10"/>
        <v/>
      </c>
      <c r="O16" s="1122">
        <f t="shared" si="0"/>
        <v>0</v>
      </c>
      <c r="P16" s="1122">
        <f t="shared" si="1"/>
        <v>0</v>
      </c>
      <c r="Q16" s="1122">
        <f t="shared" si="2"/>
        <v>0</v>
      </c>
      <c r="R16" s="1114"/>
      <c r="S16" s="1114"/>
    </row>
    <row r="17" spans="1:19">
      <c r="A17">
        <v>6</v>
      </c>
      <c r="B17" s="273"/>
      <c r="C17" s="273"/>
      <c r="D17" s="273"/>
      <c r="E17" s="273"/>
      <c r="F17" s="273"/>
      <c r="G17" s="1122" t="str">
        <f t="shared" si="3"/>
        <v/>
      </c>
      <c r="H17" s="1122" t="str">
        <f t="shared" si="4"/>
        <v/>
      </c>
      <c r="I17" s="1122" t="e">
        <f t="shared" si="5"/>
        <v>#DIV/0!</v>
      </c>
      <c r="J17" s="1122" t="e">
        <f t="shared" si="6"/>
        <v>#DIV/0!</v>
      </c>
      <c r="K17" s="1122" t="e">
        <f t="shared" si="7"/>
        <v>#DIV/0!</v>
      </c>
      <c r="L17" s="1122" t="e">
        <f t="shared" si="8"/>
        <v>#DIV/0!</v>
      </c>
      <c r="M17" s="1122" t="e">
        <f t="shared" si="9"/>
        <v>#DIV/0!</v>
      </c>
      <c r="N17" s="1122" t="str">
        <f t="shared" si="10"/>
        <v/>
      </c>
      <c r="O17" s="1122">
        <f t="shared" si="0"/>
        <v>0</v>
      </c>
      <c r="P17" s="1122">
        <f t="shared" si="1"/>
        <v>0</v>
      </c>
      <c r="Q17" s="1122">
        <f t="shared" si="2"/>
        <v>0</v>
      </c>
      <c r="R17" s="1114"/>
      <c r="S17" s="1114"/>
    </row>
    <row r="18" spans="1:19">
      <c r="A18">
        <v>7</v>
      </c>
      <c r="B18" s="273"/>
      <c r="C18" s="273"/>
      <c r="D18" s="273"/>
      <c r="E18" s="273"/>
      <c r="F18" s="273"/>
      <c r="G18" s="1122" t="str">
        <f t="shared" si="3"/>
        <v/>
      </c>
      <c r="H18" s="1122" t="str">
        <f t="shared" si="4"/>
        <v/>
      </c>
      <c r="I18" s="1122" t="e">
        <f t="shared" si="5"/>
        <v>#DIV/0!</v>
      </c>
      <c r="J18" s="1122" t="e">
        <f t="shared" si="6"/>
        <v>#DIV/0!</v>
      </c>
      <c r="K18" s="1122" t="e">
        <f t="shared" si="7"/>
        <v>#DIV/0!</v>
      </c>
      <c r="L18" s="1122" t="e">
        <f t="shared" si="8"/>
        <v>#DIV/0!</v>
      </c>
      <c r="M18" s="1122" t="e">
        <f t="shared" si="9"/>
        <v>#DIV/0!</v>
      </c>
      <c r="N18" s="1122" t="str">
        <f t="shared" si="10"/>
        <v/>
      </c>
      <c r="O18" s="1122">
        <f t="shared" si="0"/>
        <v>0</v>
      </c>
      <c r="P18" s="1122">
        <f t="shared" si="1"/>
        <v>0</v>
      </c>
      <c r="Q18" s="1122">
        <f t="shared" si="2"/>
        <v>0</v>
      </c>
      <c r="R18" s="1114"/>
      <c r="S18" s="1114"/>
    </row>
    <row r="19" spans="1:19">
      <c r="A19">
        <v>8</v>
      </c>
      <c r="B19" s="273"/>
      <c r="C19" s="273"/>
      <c r="D19" s="273"/>
      <c r="E19" s="273"/>
      <c r="F19" s="273"/>
      <c r="G19" s="1122" t="str">
        <f t="shared" si="3"/>
        <v/>
      </c>
      <c r="H19" s="1122" t="str">
        <f t="shared" si="4"/>
        <v/>
      </c>
      <c r="I19" s="1122" t="e">
        <f t="shared" si="5"/>
        <v>#DIV/0!</v>
      </c>
      <c r="J19" s="1122" t="e">
        <f t="shared" si="6"/>
        <v>#DIV/0!</v>
      </c>
      <c r="K19" s="1122" t="e">
        <f t="shared" si="7"/>
        <v>#DIV/0!</v>
      </c>
      <c r="L19" s="1122" t="e">
        <f t="shared" si="8"/>
        <v>#DIV/0!</v>
      </c>
      <c r="M19" s="1122" t="e">
        <f t="shared" si="9"/>
        <v>#DIV/0!</v>
      </c>
      <c r="N19" s="1122" t="str">
        <f t="shared" si="10"/>
        <v/>
      </c>
      <c r="O19" s="1122">
        <f t="shared" si="0"/>
        <v>0</v>
      </c>
      <c r="P19" s="1122">
        <f t="shared" si="1"/>
        <v>0</v>
      </c>
      <c r="Q19" s="1122">
        <f t="shared" si="2"/>
        <v>0</v>
      </c>
      <c r="R19" s="1114"/>
      <c r="S19" s="1114"/>
    </row>
    <row r="20" spans="1:19">
      <c r="A20">
        <v>9</v>
      </c>
      <c r="B20" s="273"/>
      <c r="C20" s="273"/>
      <c r="D20" s="273"/>
      <c r="E20" s="273"/>
      <c r="F20" s="273"/>
      <c r="G20" s="1122" t="str">
        <f t="shared" si="3"/>
        <v/>
      </c>
      <c r="H20" s="1122" t="str">
        <f t="shared" si="4"/>
        <v/>
      </c>
      <c r="I20" s="1122" t="e">
        <f t="shared" si="5"/>
        <v>#DIV/0!</v>
      </c>
      <c r="J20" s="1122" t="e">
        <f t="shared" si="6"/>
        <v>#DIV/0!</v>
      </c>
      <c r="K20" s="1122" t="e">
        <f t="shared" si="7"/>
        <v>#DIV/0!</v>
      </c>
      <c r="L20" s="1122" t="e">
        <f t="shared" si="8"/>
        <v>#DIV/0!</v>
      </c>
      <c r="M20" s="1122" t="e">
        <f t="shared" si="9"/>
        <v>#DIV/0!</v>
      </c>
      <c r="N20" s="1122" t="str">
        <f t="shared" si="10"/>
        <v/>
      </c>
      <c r="O20" s="1122">
        <f t="shared" si="0"/>
        <v>0</v>
      </c>
      <c r="P20" s="1122">
        <f t="shared" si="1"/>
        <v>0</v>
      </c>
      <c r="Q20" s="1122">
        <f t="shared" si="2"/>
        <v>0</v>
      </c>
      <c r="R20" s="1114"/>
      <c r="S20" s="1114"/>
    </row>
    <row r="21" spans="1:19">
      <c r="A21">
        <v>10</v>
      </c>
      <c r="B21" s="273"/>
      <c r="C21" s="273"/>
      <c r="D21" s="273"/>
      <c r="E21" s="273"/>
      <c r="F21" s="273"/>
      <c r="G21" s="1122" t="str">
        <f t="shared" si="3"/>
        <v/>
      </c>
      <c r="H21" s="1122" t="str">
        <f t="shared" si="4"/>
        <v/>
      </c>
      <c r="I21" s="1122" t="e">
        <f t="shared" si="5"/>
        <v>#DIV/0!</v>
      </c>
      <c r="J21" s="1122" t="e">
        <f t="shared" si="6"/>
        <v>#DIV/0!</v>
      </c>
      <c r="K21" s="1122" t="e">
        <f t="shared" si="7"/>
        <v>#DIV/0!</v>
      </c>
      <c r="L21" s="1122" t="e">
        <f t="shared" si="8"/>
        <v>#DIV/0!</v>
      </c>
      <c r="M21" s="1122" t="e">
        <f t="shared" si="9"/>
        <v>#DIV/0!</v>
      </c>
      <c r="N21" s="1122" t="str">
        <f t="shared" si="10"/>
        <v/>
      </c>
      <c r="O21" s="1122">
        <f t="shared" si="0"/>
        <v>0</v>
      </c>
      <c r="P21" s="1122">
        <f t="shared" si="1"/>
        <v>0</v>
      </c>
      <c r="Q21" s="1122">
        <f t="shared" si="2"/>
        <v>0</v>
      </c>
      <c r="R21" s="1114"/>
      <c r="S21" s="1114"/>
    </row>
    <row r="22" spans="1:19">
      <c r="A22">
        <v>11</v>
      </c>
      <c r="B22" s="273"/>
      <c r="C22" s="273"/>
      <c r="D22" s="273"/>
      <c r="E22" s="273"/>
      <c r="F22" s="273"/>
      <c r="G22" s="1122" t="str">
        <f t="shared" si="3"/>
        <v/>
      </c>
      <c r="H22" s="1122" t="str">
        <f t="shared" si="4"/>
        <v/>
      </c>
      <c r="I22" s="1122" t="e">
        <f t="shared" si="5"/>
        <v>#DIV/0!</v>
      </c>
      <c r="J22" s="1122" t="e">
        <f t="shared" si="6"/>
        <v>#DIV/0!</v>
      </c>
      <c r="K22" s="1122" t="e">
        <f t="shared" si="7"/>
        <v>#DIV/0!</v>
      </c>
      <c r="L22" s="1122" t="e">
        <f t="shared" si="8"/>
        <v>#DIV/0!</v>
      </c>
      <c r="M22" s="1122" t="e">
        <f t="shared" si="9"/>
        <v>#DIV/0!</v>
      </c>
      <c r="N22" s="1122" t="str">
        <f t="shared" si="10"/>
        <v/>
      </c>
      <c r="O22" s="1122">
        <f t="shared" si="0"/>
        <v>0</v>
      </c>
      <c r="P22" s="1122">
        <f t="shared" si="1"/>
        <v>0</v>
      </c>
      <c r="Q22" s="1122">
        <f t="shared" si="2"/>
        <v>0</v>
      </c>
      <c r="R22" s="1114"/>
      <c r="S22" s="1114"/>
    </row>
    <row r="23" spans="1:19">
      <c r="A23">
        <v>12</v>
      </c>
      <c r="B23" s="273"/>
      <c r="C23" s="273"/>
      <c r="D23" s="273"/>
      <c r="E23" s="273"/>
      <c r="F23" s="273"/>
      <c r="G23" s="1122" t="str">
        <f t="shared" si="3"/>
        <v/>
      </c>
      <c r="H23" s="1122" t="str">
        <f t="shared" si="4"/>
        <v/>
      </c>
      <c r="I23" s="1122" t="e">
        <f t="shared" si="5"/>
        <v>#DIV/0!</v>
      </c>
      <c r="J23" s="1122" t="e">
        <f t="shared" si="6"/>
        <v>#DIV/0!</v>
      </c>
      <c r="K23" s="1122" t="e">
        <f t="shared" si="7"/>
        <v>#DIV/0!</v>
      </c>
      <c r="L23" s="1122" t="e">
        <f t="shared" si="8"/>
        <v>#DIV/0!</v>
      </c>
      <c r="M23" s="1122" t="e">
        <f t="shared" si="9"/>
        <v>#DIV/0!</v>
      </c>
      <c r="N23" s="1122" t="str">
        <f t="shared" si="10"/>
        <v/>
      </c>
      <c r="O23" s="1122">
        <f t="shared" si="0"/>
        <v>0</v>
      </c>
      <c r="P23" s="1122">
        <f t="shared" si="1"/>
        <v>0</v>
      </c>
      <c r="Q23" s="1122">
        <f t="shared" si="2"/>
        <v>0</v>
      </c>
      <c r="R23" s="1114"/>
      <c r="S23" s="1114"/>
    </row>
    <row r="24" spans="1:19">
      <c r="A24">
        <v>13</v>
      </c>
      <c r="B24" s="273"/>
      <c r="C24" s="273"/>
      <c r="D24" s="273"/>
      <c r="E24" s="273"/>
      <c r="F24" s="273"/>
      <c r="G24" s="1122" t="str">
        <f t="shared" si="3"/>
        <v/>
      </c>
      <c r="H24" s="1122" t="str">
        <f t="shared" si="4"/>
        <v/>
      </c>
      <c r="I24" s="1122" t="e">
        <f t="shared" si="5"/>
        <v>#DIV/0!</v>
      </c>
      <c r="J24" s="1122" t="e">
        <f t="shared" si="6"/>
        <v>#DIV/0!</v>
      </c>
      <c r="K24" s="1122" t="e">
        <f t="shared" si="7"/>
        <v>#DIV/0!</v>
      </c>
      <c r="L24" s="1122" t="e">
        <f t="shared" si="8"/>
        <v>#DIV/0!</v>
      </c>
      <c r="M24" s="1122" t="e">
        <f t="shared" si="9"/>
        <v>#DIV/0!</v>
      </c>
      <c r="N24" s="1122" t="str">
        <f t="shared" si="10"/>
        <v/>
      </c>
      <c r="O24" s="1122">
        <f t="shared" si="0"/>
        <v>0</v>
      </c>
      <c r="P24" s="1122">
        <f t="shared" si="1"/>
        <v>0</v>
      </c>
      <c r="Q24" s="1122">
        <f t="shared" si="2"/>
        <v>0</v>
      </c>
      <c r="R24" s="1114"/>
      <c r="S24" s="1114"/>
    </row>
    <row r="25" spans="1:19">
      <c r="A25">
        <v>14</v>
      </c>
      <c r="B25" s="273"/>
      <c r="C25" s="273"/>
      <c r="D25" s="273"/>
      <c r="E25" s="273"/>
      <c r="F25" s="273"/>
      <c r="G25" s="1122" t="str">
        <f t="shared" si="3"/>
        <v/>
      </c>
      <c r="H25" s="1122" t="str">
        <f t="shared" si="4"/>
        <v/>
      </c>
      <c r="I25" s="1122" t="e">
        <f t="shared" si="5"/>
        <v>#DIV/0!</v>
      </c>
      <c r="J25" s="1122" t="e">
        <f t="shared" si="6"/>
        <v>#DIV/0!</v>
      </c>
      <c r="K25" s="1122" t="e">
        <f t="shared" si="7"/>
        <v>#DIV/0!</v>
      </c>
      <c r="L25" s="1122" t="e">
        <f t="shared" si="8"/>
        <v>#DIV/0!</v>
      </c>
      <c r="M25" s="1122" t="e">
        <f t="shared" si="9"/>
        <v>#DIV/0!</v>
      </c>
      <c r="N25" s="1122" t="str">
        <f t="shared" si="10"/>
        <v/>
      </c>
      <c r="O25" s="1122">
        <f t="shared" si="0"/>
        <v>0</v>
      </c>
      <c r="P25" s="1122">
        <f t="shared" si="1"/>
        <v>0</v>
      </c>
      <c r="Q25" s="1122">
        <f t="shared" si="2"/>
        <v>0</v>
      </c>
      <c r="R25" s="1114"/>
      <c r="S25" s="1114"/>
    </row>
    <row r="26" spans="1:19">
      <c r="A26">
        <v>15</v>
      </c>
      <c r="B26" s="273"/>
      <c r="C26" s="273"/>
      <c r="D26" s="273"/>
      <c r="E26" s="273"/>
      <c r="F26" s="273"/>
      <c r="G26" s="1122" t="str">
        <f t="shared" si="3"/>
        <v/>
      </c>
      <c r="H26" s="1122" t="str">
        <f t="shared" si="4"/>
        <v/>
      </c>
      <c r="I26" s="1122" t="e">
        <f t="shared" si="5"/>
        <v>#DIV/0!</v>
      </c>
      <c r="J26" s="1122" t="e">
        <f t="shared" si="6"/>
        <v>#DIV/0!</v>
      </c>
      <c r="K26" s="1122" t="e">
        <f t="shared" si="7"/>
        <v>#DIV/0!</v>
      </c>
      <c r="L26" s="1122" t="e">
        <f t="shared" si="8"/>
        <v>#DIV/0!</v>
      </c>
      <c r="M26" s="1122" t="e">
        <f t="shared" si="9"/>
        <v>#DIV/0!</v>
      </c>
      <c r="N26" s="1122" t="str">
        <f t="shared" si="10"/>
        <v/>
      </c>
      <c r="O26" s="1122">
        <f t="shared" si="0"/>
        <v>0</v>
      </c>
      <c r="P26" s="1122">
        <f t="shared" si="1"/>
        <v>0</v>
      </c>
      <c r="Q26" s="1122">
        <f t="shared" si="2"/>
        <v>0</v>
      </c>
      <c r="R26" s="1114"/>
      <c r="S26" s="1114"/>
    </row>
    <row r="27" spans="1:19">
      <c r="A27">
        <v>16</v>
      </c>
      <c r="B27" s="273"/>
      <c r="C27" s="273"/>
      <c r="D27" s="273"/>
      <c r="E27" s="273"/>
      <c r="F27" s="273"/>
      <c r="G27" s="1122" t="str">
        <f t="shared" si="3"/>
        <v/>
      </c>
      <c r="H27" s="1122" t="str">
        <f t="shared" si="4"/>
        <v/>
      </c>
      <c r="I27" s="1122" t="e">
        <f t="shared" si="5"/>
        <v>#DIV/0!</v>
      </c>
      <c r="J27" s="1122" t="e">
        <f t="shared" si="6"/>
        <v>#DIV/0!</v>
      </c>
      <c r="K27" s="1122" t="e">
        <f t="shared" si="7"/>
        <v>#DIV/0!</v>
      </c>
      <c r="L27" s="1122" t="e">
        <f t="shared" si="8"/>
        <v>#DIV/0!</v>
      </c>
      <c r="M27" s="1122" t="e">
        <f t="shared" si="9"/>
        <v>#DIV/0!</v>
      </c>
      <c r="N27" s="1122" t="str">
        <f t="shared" si="10"/>
        <v/>
      </c>
      <c r="O27" s="1122">
        <f t="shared" si="0"/>
        <v>0</v>
      </c>
      <c r="P27" s="1122">
        <f t="shared" si="1"/>
        <v>0</v>
      </c>
      <c r="Q27" s="1122">
        <f t="shared" si="2"/>
        <v>0</v>
      </c>
      <c r="R27" s="1114"/>
      <c r="S27" s="1114"/>
    </row>
    <row r="28" spans="1:19">
      <c r="A28">
        <v>17</v>
      </c>
      <c r="B28" s="273"/>
      <c r="C28" s="273"/>
      <c r="D28" s="273"/>
      <c r="E28" s="273"/>
      <c r="F28" s="273"/>
      <c r="G28" s="1122" t="str">
        <f t="shared" si="3"/>
        <v/>
      </c>
      <c r="H28" s="1122" t="str">
        <f t="shared" si="4"/>
        <v/>
      </c>
      <c r="I28" s="1122" t="e">
        <f t="shared" si="5"/>
        <v>#DIV/0!</v>
      </c>
      <c r="J28" s="1122" t="e">
        <f t="shared" si="6"/>
        <v>#DIV/0!</v>
      </c>
      <c r="K28" s="1122" t="e">
        <f t="shared" si="7"/>
        <v>#DIV/0!</v>
      </c>
      <c r="L28" s="1122" t="e">
        <f t="shared" si="8"/>
        <v>#DIV/0!</v>
      </c>
      <c r="M28" s="1122" t="e">
        <f t="shared" si="9"/>
        <v>#DIV/0!</v>
      </c>
      <c r="N28" s="1122" t="str">
        <f t="shared" si="10"/>
        <v/>
      </c>
      <c r="O28" s="1122">
        <f t="shared" si="0"/>
        <v>0</v>
      </c>
      <c r="P28" s="1122">
        <f t="shared" si="1"/>
        <v>0</v>
      </c>
      <c r="Q28" s="1122">
        <f t="shared" si="2"/>
        <v>0</v>
      </c>
      <c r="R28" s="1114"/>
      <c r="S28" s="1114"/>
    </row>
    <row r="29" spans="1:19">
      <c r="A29">
        <v>18</v>
      </c>
      <c r="B29" s="273"/>
      <c r="C29" s="273"/>
      <c r="D29" s="273"/>
      <c r="E29" s="273"/>
      <c r="F29" s="273"/>
      <c r="G29" s="1122" t="str">
        <f t="shared" si="3"/>
        <v/>
      </c>
      <c r="H29" s="1122" t="str">
        <f t="shared" si="4"/>
        <v/>
      </c>
      <c r="I29" s="1122" t="e">
        <f t="shared" si="5"/>
        <v>#DIV/0!</v>
      </c>
      <c r="J29" s="1122" t="e">
        <f t="shared" si="6"/>
        <v>#DIV/0!</v>
      </c>
      <c r="K29" s="1122" t="e">
        <f t="shared" si="7"/>
        <v>#DIV/0!</v>
      </c>
      <c r="L29" s="1122" t="e">
        <f t="shared" si="8"/>
        <v>#DIV/0!</v>
      </c>
      <c r="M29" s="1122" t="e">
        <f t="shared" si="9"/>
        <v>#DIV/0!</v>
      </c>
      <c r="N29" s="1122" t="str">
        <f t="shared" si="10"/>
        <v/>
      </c>
      <c r="O29" s="1122">
        <f t="shared" si="0"/>
        <v>0</v>
      </c>
      <c r="P29" s="1122">
        <f t="shared" si="1"/>
        <v>0</v>
      </c>
      <c r="Q29" s="1122">
        <f t="shared" si="2"/>
        <v>0</v>
      </c>
      <c r="R29" s="1114"/>
      <c r="S29" s="1114"/>
    </row>
    <row r="30" spans="1:19">
      <c r="A30">
        <v>19</v>
      </c>
      <c r="B30" s="273"/>
      <c r="C30" s="273"/>
      <c r="D30" s="273"/>
      <c r="E30" s="273"/>
      <c r="F30" s="273"/>
      <c r="G30" s="1122" t="str">
        <f t="shared" si="3"/>
        <v/>
      </c>
      <c r="H30" s="1122" t="str">
        <f t="shared" si="4"/>
        <v/>
      </c>
      <c r="I30" s="1122" t="e">
        <f t="shared" si="5"/>
        <v>#DIV/0!</v>
      </c>
      <c r="J30" s="1122" t="e">
        <f t="shared" si="6"/>
        <v>#DIV/0!</v>
      </c>
      <c r="K30" s="1122" t="e">
        <f t="shared" si="7"/>
        <v>#DIV/0!</v>
      </c>
      <c r="L30" s="1122" t="e">
        <f t="shared" si="8"/>
        <v>#DIV/0!</v>
      </c>
      <c r="M30" s="1122" t="e">
        <f t="shared" si="9"/>
        <v>#DIV/0!</v>
      </c>
      <c r="N30" s="1122" t="str">
        <f t="shared" si="10"/>
        <v/>
      </c>
      <c r="O30" s="1122">
        <f t="shared" si="0"/>
        <v>0</v>
      </c>
      <c r="P30" s="1122">
        <f t="shared" si="1"/>
        <v>0</v>
      </c>
      <c r="Q30" s="1122">
        <f t="shared" si="2"/>
        <v>0</v>
      </c>
      <c r="R30" s="1114"/>
      <c r="S30" s="1114"/>
    </row>
    <row r="31" spans="1:19">
      <c r="A31">
        <v>20</v>
      </c>
      <c r="B31" s="273"/>
      <c r="C31" s="273"/>
      <c r="D31" s="273"/>
      <c r="E31" s="273"/>
      <c r="F31" s="273"/>
      <c r="G31" s="1122" t="str">
        <f t="shared" si="3"/>
        <v/>
      </c>
      <c r="H31" s="1122" t="str">
        <f t="shared" si="4"/>
        <v/>
      </c>
      <c r="I31" s="1122" t="e">
        <f t="shared" si="5"/>
        <v>#DIV/0!</v>
      </c>
      <c r="J31" s="1122" t="e">
        <f t="shared" si="6"/>
        <v>#DIV/0!</v>
      </c>
      <c r="K31" s="1122" t="e">
        <f t="shared" si="7"/>
        <v>#DIV/0!</v>
      </c>
      <c r="L31" s="1122" t="e">
        <f t="shared" si="8"/>
        <v>#DIV/0!</v>
      </c>
      <c r="M31" s="1122" t="e">
        <f t="shared" si="9"/>
        <v>#DIV/0!</v>
      </c>
      <c r="N31" s="1122" t="str">
        <f t="shared" si="10"/>
        <v/>
      </c>
      <c r="O31" s="1122">
        <f t="shared" si="0"/>
        <v>0</v>
      </c>
      <c r="P31" s="1122">
        <f t="shared" si="1"/>
        <v>0</v>
      </c>
      <c r="Q31" s="1122">
        <f t="shared" si="2"/>
        <v>0</v>
      </c>
      <c r="R31" s="1114"/>
      <c r="S31" s="1114"/>
    </row>
    <row r="32" spans="1:19">
      <c r="A32">
        <v>21</v>
      </c>
      <c r="B32" s="273"/>
      <c r="C32" s="273"/>
      <c r="D32" s="273"/>
      <c r="E32" s="273"/>
      <c r="F32" s="273"/>
      <c r="G32" s="1122" t="str">
        <f t="shared" si="3"/>
        <v/>
      </c>
      <c r="H32" s="1122" t="str">
        <f t="shared" si="4"/>
        <v/>
      </c>
      <c r="I32" s="1122" t="e">
        <f t="shared" si="5"/>
        <v>#DIV/0!</v>
      </c>
      <c r="J32" s="1122" t="e">
        <f t="shared" si="6"/>
        <v>#DIV/0!</v>
      </c>
      <c r="K32" s="1122" t="e">
        <f t="shared" si="7"/>
        <v>#DIV/0!</v>
      </c>
      <c r="L32" s="1122" t="e">
        <f t="shared" si="8"/>
        <v>#DIV/0!</v>
      </c>
      <c r="M32" s="1122" t="e">
        <f t="shared" si="9"/>
        <v>#DIV/0!</v>
      </c>
      <c r="N32" s="1122" t="str">
        <f t="shared" si="10"/>
        <v/>
      </c>
      <c r="O32" s="1122">
        <f t="shared" si="0"/>
        <v>0</v>
      </c>
      <c r="P32" s="1122">
        <f t="shared" si="1"/>
        <v>0</v>
      </c>
      <c r="Q32" s="1122">
        <f t="shared" si="2"/>
        <v>0</v>
      </c>
      <c r="R32" s="1114"/>
      <c r="S32" s="1114"/>
    </row>
    <row r="33" spans="1:24">
      <c r="A33">
        <v>22</v>
      </c>
      <c r="B33" s="273"/>
      <c r="C33" s="273"/>
      <c r="D33" s="273"/>
      <c r="E33" s="273"/>
      <c r="F33" s="273"/>
      <c r="G33" s="1122" t="str">
        <f t="shared" si="3"/>
        <v/>
      </c>
      <c r="H33" s="1122" t="str">
        <f t="shared" si="4"/>
        <v/>
      </c>
      <c r="I33" s="1122" t="e">
        <f t="shared" si="5"/>
        <v>#DIV/0!</v>
      </c>
      <c r="J33" s="1122" t="e">
        <f t="shared" si="6"/>
        <v>#DIV/0!</v>
      </c>
      <c r="K33" s="1122" t="e">
        <f t="shared" si="7"/>
        <v>#DIV/0!</v>
      </c>
      <c r="L33" s="1122" t="e">
        <f t="shared" si="8"/>
        <v>#DIV/0!</v>
      </c>
      <c r="M33" s="1122" t="e">
        <f t="shared" si="9"/>
        <v>#DIV/0!</v>
      </c>
      <c r="N33" s="1122" t="str">
        <f t="shared" si="10"/>
        <v/>
      </c>
      <c r="O33" s="1122">
        <f t="shared" si="0"/>
        <v>0</v>
      </c>
      <c r="P33" s="1122">
        <f t="shared" si="1"/>
        <v>0</v>
      </c>
      <c r="Q33" s="1122">
        <f t="shared" si="2"/>
        <v>0</v>
      </c>
      <c r="R33" s="1114"/>
      <c r="S33" s="1114"/>
    </row>
    <row r="34" spans="1:24">
      <c r="A34">
        <v>23</v>
      </c>
      <c r="B34" s="273"/>
      <c r="C34" s="273"/>
      <c r="D34" s="273"/>
      <c r="E34" s="273"/>
      <c r="F34" s="273"/>
      <c r="G34" s="1122" t="str">
        <f t="shared" si="3"/>
        <v/>
      </c>
      <c r="H34" s="1122" t="str">
        <f t="shared" si="4"/>
        <v/>
      </c>
      <c r="I34" s="1122" t="e">
        <f t="shared" si="5"/>
        <v>#DIV/0!</v>
      </c>
      <c r="J34" s="1122" t="e">
        <f t="shared" si="6"/>
        <v>#DIV/0!</v>
      </c>
      <c r="K34" s="1122" t="e">
        <f t="shared" si="7"/>
        <v>#DIV/0!</v>
      </c>
      <c r="L34" s="1122" t="e">
        <f t="shared" si="8"/>
        <v>#DIV/0!</v>
      </c>
      <c r="M34" s="1122" t="e">
        <f t="shared" si="9"/>
        <v>#DIV/0!</v>
      </c>
      <c r="N34" s="1122" t="str">
        <f t="shared" si="10"/>
        <v/>
      </c>
      <c r="O34" s="1122">
        <f t="shared" si="0"/>
        <v>0</v>
      </c>
      <c r="P34" s="1122">
        <f t="shared" si="1"/>
        <v>0</v>
      </c>
      <c r="Q34" s="1122">
        <f t="shared" si="2"/>
        <v>0</v>
      </c>
      <c r="R34" s="1114"/>
      <c r="S34" s="1114"/>
    </row>
    <row r="35" spans="1:24">
      <c r="A35">
        <v>24</v>
      </c>
      <c r="B35" s="273"/>
      <c r="C35" s="273"/>
      <c r="D35" s="273"/>
      <c r="E35" s="273"/>
      <c r="F35" s="273"/>
      <c r="G35" s="1122" t="str">
        <f t="shared" si="3"/>
        <v/>
      </c>
      <c r="H35" s="1122" t="str">
        <f t="shared" si="4"/>
        <v/>
      </c>
      <c r="I35" s="1122" t="e">
        <f t="shared" si="5"/>
        <v>#DIV/0!</v>
      </c>
      <c r="J35" s="1122" t="e">
        <f t="shared" si="6"/>
        <v>#DIV/0!</v>
      </c>
      <c r="K35" s="1122" t="e">
        <f t="shared" si="7"/>
        <v>#DIV/0!</v>
      </c>
      <c r="L35" s="1122" t="e">
        <f t="shared" si="8"/>
        <v>#DIV/0!</v>
      </c>
      <c r="M35" s="1122" t="e">
        <f t="shared" si="9"/>
        <v>#DIV/0!</v>
      </c>
      <c r="N35" s="1122" t="str">
        <f t="shared" si="10"/>
        <v/>
      </c>
      <c r="O35" s="1122">
        <f t="shared" si="0"/>
        <v>0</v>
      </c>
      <c r="P35" s="1122">
        <f t="shared" si="1"/>
        <v>0</v>
      </c>
      <c r="Q35" s="1122">
        <f t="shared" si="2"/>
        <v>0</v>
      </c>
      <c r="R35" s="1114"/>
      <c r="S35" s="1114"/>
    </row>
    <row r="36" spans="1:24">
      <c r="A36">
        <v>25</v>
      </c>
      <c r="B36" s="273"/>
      <c r="C36" s="273"/>
      <c r="D36" s="273"/>
      <c r="E36" s="273"/>
      <c r="F36" s="273"/>
      <c r="G36" s="1122" t="str">
        <f t="shared" si="3"/>
        <v/>
      </c>
      <c r="H36" s="1122" t="str">
        <f t="shared" si="4"/>
        <v/>
      </c>
      <c r="I36" s="1122" t="e">
        <f t="shared" si="5"/>
        <v>#DIV/0!</v>
      </c>
      <c r="J36" s="1122" t="e">
        <f t="shared" si="6"/>
        <v>#DIV/0!</v>
      </c>
      <c r="K36" s="1122" t="e">
        <f t="shared" si="7"/>
        <v>#DIV/0!</v>
      </c>
      <c r="L36" s="1122" t="e">
        <f t="shared" si="8"/>
        <v>#DIV/0!</v>
      </c>
      <c r="M36" s="1122" t="e">
        <f t="shared" si="9"/>
        <v>#DIV/0!</v>
      </c>
      <c r="N36" s="1122" t="str">
        <f t="shared" si="10"/>
        <v/>
      </c>
      <c r="O36" s="1122">
        <f t="shared" si="0"/>
        <v>0</v>
      </c>
      <c r="P36" s="1122">
        <f t="shared" si="1"/>
        <v>0</v>
      </c>
      <c r="Q36" s="1122">
        <f t="shared" si="2"/>
        <v>0</v>
      </c>
      <c r="R36" s="1114"/>
      <c r="S36" s="1114"/>
    </row>
    <row r="37" spans="1:24">
      <c r="A37">
        <v>26</v>
      </c>
      <c r="B37" s="273"/>
      <c r="C37" s="273"/>
      <c r="D37" s="273"/>
      <c r="E37" s="273"/>
      <c r="F37" s="273"/>
      <c r="G37" s="1122" t="str">
        <f t="shared" si="3"/>
        <v/>
      </c>
      <c r="H37" s="1122" t="str">
        <f t="shared" si="4"/>
        <v/>
      </c>
      <c r="I37" s="1122" t="e">
        <f t="shared" si="5"/>
        <v>#DIV/0!</v>
      </c>
      <c r="J37" s="1122" t="e">
        <f t="shared" si="6"/>
        <v>#DIV/0!</v>
      </c>
      <c r="K37" s="1122" t="e">
        <f t="shared" si="7"/>
        <v>#DIV/0!</v>
      </c>
      <c r="L37" s="1122" t="e">
        <f t="shared" si="8"/>
        <v>#DIV/0!</v>
      </c>
      <c r="M37" s="1122" t="e">
        <f t="shared" si="9"/>
        <v>#DIV/0!</v>
      </c>
      <c r="N37" s="1122" t="str">
        <f t="shared" si="10"/>
        <v/>
      </c>
      <c r="O37" s="1122">
        <f t="shared" si="0"/>
        <v>0</v>
      </c>
      <c r="P37" s="1122">
        <f t="shared" si="1"/>
        <v>0</v>
      </c>
      <c r="Q37" s="1122">
        <f t="shared" si="2"/>
        <v>0</v>
      </c>
      <c r="R37" s="1114"/>
      <c r="S37" s="1114"/>
    </row>
    <row r="38" spans="1:24">
      <c r="A38">
        <v>27</v>
      </c>
      <c r="B38" s="273"/>
      <c r="C38" s="273"/>
      <c r="D38" s="273"/>
      <c r="E38" s="273"/>
      <c r="F38" s="273"/>
      <c r="G38" s="1122" t="str">
        <f t="shared" si="3"/>
        <v/>
      </c>
      <c r="H38" s="1122" t="str">
        <f t="shared" si="4"/>
        <v/>
      </c>
      <c r="I38" s="1122" t="e">
        <f t="shared" si="5"/>
        <v>#DIV/0!</v>
      </c>
      <c r="J38" s="1122" t="e">
        <f t="shared" si="6"/>
        <v>#DIV/0!</v>
      </c>
      <c r="K38" s="1122" t="e">
        <f t="shared" si="7"/>
        <v>#DIV/0!</v>
      </c>
      <c r="L38" s="1122" t="e">
        <f t="shared" si="8"/>
        <v>#DIV/0!</v>
      </c>
      <c r="M38" s="1122" t="e">
        <f t="shared" si="9"/>
        <v>#DIV/0!</v>
      </c>
      <c r="N38" s="1122" t="str">
        <f t="shared" si="10"/>
        <v/>
      </c>
      <c r="O38" s="1122">
        <f t="shared" si="0"/>
        <v>0</v>
      </c>
      <c r="P38" s="1122">
        <f t="shared" si="1"/>
        <v>0</v>
      </c>
      <c r="Q38" s="1122">
        <f t="shared" si="2"/>
        <v>0</v>
      </c>
      <c r="R38" s="1114"/>
      <c r="S38" s="1114"/>
    </row>
    <row r="39" spans="1:24">
      <c r="A39">
        <v>28</v>
      </c>
      <c r="B39" s="273"/>
      <c r="C39" s="273"/>
      <c r="D39" s="273"/>
      <c r="E39" s="273"/>
      <c r="F39" s="273"/>
      <c r="G39" s="1122" t="str">
        <f t="shared" si="3"/>
        <v/>
      </c>
      <c r="H39" s="1122" t="str">
        <f t="shared" si="4"/>
        <v/>
      </c>
      <c r="I39" s="1122" t="e">
        <f t="shared" si="5"/>
        <v>#DIV/0!</v>
      </c>
      <c r="J39" s="1122" t="e">
        <f t="shared" si="6"/>
        <v>#DIV/0!</v>
      </c>
      <c r="K39" s="1122" t="e">
        <f t="shared" si="7"/>
        <v>#DIV/0!</v>
      </c>
      <c r="L39" s="1122" t="e">
        <f t="shared" si="8"/>
        <v>#DIV/0!</v>
      </c>
      <c r="M39" s="1122" t="e">
        <f t="shared" si="9"/>
        <v>#DIV/0!</v>
      </c>
      <c r="N39" s="1122" t="str">
        <f t="shared" si="10"/>
        <v/>
      </c>
      <c r="O39" s="1122">
        <f t="shared" si="0"/>
        <v>0</v>
      </c>
      <c r="P39" s="1122">
        <f t="shared" si="1"/>
        <v>0</v>
      </c>
      <c r="Q39" s="1122">
        <f t="shared" si="2"/>
        <v>0</v>
      </c>
      <c r="R39" s="1114"/>
      <c r="S39" s="1114"/>
    </row>
    <row r="40" spans="1:24">
      <c r="A40">
        <v>29</v>
      </c>
      <c r="B40" s="273"/>
      <c r="C40" s="273"/>
      <c r="D40" s="273"/>
      <c r="E40" s="273"/>
      <c r="F40" s="273"/>
      <c r="G40" s="1122" t="str">
        <f t="shared" si="3"/>
        <v/>
      </c>
      <c r="H40" s="1122" t="str">
        <f t="shared" si="4"/>
        <v/>
      </c>
      <c r="I40" s="1122" t="e">
        <f t="shared" si="5"/>
        <v>#DIV/0!</v>
      </c>
      <c r="J40" s="1122" t="e">
        <f t="shared" si="6"/>
        <v>#DIV/0!</v>
      </c>
      <c r="K40" s="1122" t="e">
        <f t="shared" si="7"/>
        <v>#DIV/0!</v>
      </c>
      <c r="L40" s="1122" t="e">
        <f t="shared" si="8"/>
        <v>#DIV/0!</v>
      </c>
      <c r="M40" s="1122" t="e">
        <f t="shared" si="9"/>
        <v>#DIV/0!</v>
      </c>
      <c r="N40" s="1122" t="str">
        <f t="shared" si="10"/>
        <v/>
      </c>
      <c r="O40" s="1122">
        <f t="shared" si="0"/>
        <v>0</v>
      </c>
      <c r="P40" s="1122">
        <f t="shared" si="1"/>
        <v>0</v>
      </c>
      <c r="Q40" s="1122">
        <f t="shared" si="2"/>
        <v>0</v>
      </c>
      <c r="R40" s="1114"/>
      <c r="S40" s="1114"/>
    </row>
    <row r="41" spans="1:24">
      <c r="A41">
        <v>30</v>
      </c>
      <c r="B41" s="273"/>
      <c r="C41" s="273"/>
      <c r="D41" s="273"/>
      <c r="E41" s="273"/>
      <c r="F41" s="273"/>
      <c r="G41" s="1122" t="str">
        <f t="shared" si="3"/>
        <v/>
      </c>
      <c r="H41" s="1122" t="str">
        <f t="shared" si="4"/>
        <v/>
      </c>
      <c r="I41" s="1122" t="e">
        <f t="shared" si="5"/>
        <v>#DIV/0!</v>
      </c>
      <c r="J41" s="1122" t="e">
        <f t="shared" si="6"/>
        <v>#DIV/0!</v>
      </c>
      <c r="K41" s="1122" t="e">
        <f t="shared" si="7"/>
        <v>#DIV/0!</v>
      </c>
      <c r="L41" s="1122" t="e">
        <f t="shared" si="8"/>
        <v>#DIV/0!</v>
      </c>
      <c r="M41" s="1122" t="e">
        <f t="shared" si="9"/>
        <v>#DIV/0!</v>
      </c>
      <c r="N41" s="1122" t="str">
        <f t="shared" si="10"/>
        <v/>
      </c>
      <c r="O41" s="1122">
        <f t="shared" si="0"/>
        <v>0</v>
      </c>
      <c r="P41" s="1122">
        <f t="shared" si="1"/>
        <v>0</v>
      </c>
      <c r="Q41" s="1122">
        <f t="shared" si="2"/>
        <v>0</v>
      </c>
      <c r="R41" s="1114"/>
      <c r="S41" s="1114"/>
    </row>
    <row r="42" spans="1:24">
      <c r="A42" s="1115"/>
      <c r="B42" s="1102"/>
      <c r="C42" s="1102"/>
      <c r="D42" s="1102"/>
      <c r="E42" s="1102"/>
      <c r="F42" s="1102"/>
      <c r="G42" s="1102"/>
      <c r="H42" s="1102"/>
      <c r="I42" s="1122" t="e">
        <f t="shared" si="5"/>
        <v>#DIV/0!</v>
      </c>
      <c r="J42" s="1122" t="e">
        <f t="shared" si="6"/>
        <v>#DIV/0!</v>
      </c>
      <c r="K42" s="1122" t="e">
        <f t="shared" si="7"/>
        <v>#DIV/0!</v>
      </c>
      <c r="L42" s="1122" t="e">
        <f t="shared" si="8"/>
        <v>#DIV/0!</v>
      </c>
      <c r="M42" s="1122" t="e">
        <f t="shared" si="9"/>
        <v>#DIV/0!</v>
      </c>
      <c r="N42" s="1117"/>
      <c r="O42" s="1122">
        <f t="shared" si="0"/>
        <v>0</v>
      </c>
      <c r="P42" s="1122">
        <f t="shared" si="1"/>
        <v>0</v>
      </c>
      <c r="Q42" s="1122">
        <f t="shared" si="2"/>
        <v>0</v>
      </c>
      <c r="R42" s="1114"/>
      <c r="S42" s="1114"/>
      <c r="W42" s="1620" t="s">
        <v>1178</v>
      </c>
      <c r="X42" s="1620"/>
    </row>
    <row r="43" spans="1:24" ht="14.25">
      <c r="F43" s="1113" t="s">
        <v>126</v>
      </c>
      <c r="G43" s="1122" t="e">
        <f>AVERAGE(G12:G41)</f>
        <v>#DIV/0!</v>
      </c>
      <c r="H43" s="1122" t="e">
        <f>AVERAGE(H12:H41)</f>
        <v>#DIV/0!</v>
      </c>
      <c r="N43" s="1122" t="e">
        <f>AVERAGE(N12:N41)</f>
        <v>#DIV/0!</v>
      </c>
      <c r="O43" s="1114"/>
      <c r="P43" s="1114"/>
      <c r="Q43" s="1114"/>
      <c r="R43" s="1114"/>
      <c r="S43" s="1114"/>
      <c r="V43" s="183"/>
      <c r="W43" s="881" t="s">
        <v>117</v>
      </c>
      <c r="X43" s="1108" t="s">
        <v>1328</v>
      </c>
    </row>
    <row r="44" spans="1:24" ht="12.75" customHeight="1">
      <c r="G44" s="1118" t="s">
        <v>1329</v>
      </c>
      <c r="H44" s="818" t="e">
        <f>H43/2.326</f>
        <v>#DIV/0!</v>
      </c>
      <c r="I44" s="184" t="s">
        <v>1330</v>
      </c>
      <c r="O44" s="1114"/>
      <c r="P44" s="1114"/>
      <c r="Q44" s="1114"/>
      <c r="R44" s="1114"/>
      <c r="S44" s="1114"/>
      <c r="V44" s="1095" t="s">
        <v>1175</v>
      </c>
      <c r="W44" s="1083" t="e">
        <f>H52</f>
        <v>#DIV/0!</v>
      </c>
      <c r="X44" s="1083" t="e">
        <f>I52</f>
        <v>#DIV/0!</v>
      </c>
    </row>
    <row r="45" spans="1:24" ht="12.75" customHeight="1">
      <c r="G45" s="1118" t="s">
        <v>1329</v>
      </c>
      <c r="H45" s="818" t="e">
        <f>N43/(((4*H50*5)-4)/((4*H50*5)-3))</f>
        <v>#DIV/0!</v>
      </c>
      <c r="I45" s="1119" t="s">
        <v>1331</v>
      </c>
      <c r="O45" s="1114"/>
      <c r="P45" s="1114"/>
      <c r="Q45" s="1114"/>
      <c r="R45" s="1114"/>
      <c r="S45" s="1114"/>
      <c r="V45" s="1095" t="s">
        <v>1333</v>
      </c>
      <c r="W45" s="1083" t="e">
        <f>H53</f>
        <v>#DIV/0!</v>
      </c>
      <c r="X45" s="1083" t="e">
        <f>I53</f>
        <v>#DIV/0!</v>
      </c>
    </row>
    <row r="46" spans="1:24" ht="12.75" customHeight="1">
      <c r="G46" s="1118" t="s">
        <v>1332</v>
      </c>
      <c r="H46" s="818" t="e">
        <f>STDEV(B12:F41)</f>
        <v>#DIV/0!</v>
      </c>
      <c r="P46" s="1114"/>
      <c r="Q46" s="1114"/>
      <c r="R46" s="1114"/>
      <c r="S46" s="1114"/>
      <c r="V46" s="1123"/>
      <c r="W46" s="1124"/>
      <c r="X46" s="1124"/>
    </row>
    <row r="47" spans="1:24">
      <c r="G47" s="99"/>
      <c r="O47" s="1114"/>
      <c r="P47" s="1114"/>
      <c r="Q47" s="1114"/>
      <c r="R47" s="1114"/>
      <c r="S47" s="1114"/>
      <c r="V47" s="1095" t="s">
        <v>678</v>
      </c>
      <c r="W47" s="1083" t="e">
        <f>H55</f>
        <v>#DIV/0!</v>
      </c>
      <c r="X47" s="183"/>
    </row>
    <row r="48" spans="1:24" ht="14.25">
      <c r="G48" s="99"/>
      <c r="O48" s="1114"/>
      <c r="P48" s="1114"/>
      <c r="Q48" s="1114"/>
      <c r="R48" s="1114"/>
      <c r="S48" s="1114"/>
      <c r="V48" s="1095" t="s">
        <v>1334</v>
      </c>
      <c r="W48" s="1083" t="e">
        <f>H56</f>
        <v>#DIV/0!</v>
      </c>
      <c r="X48" s="183"/>
    </row>
    <row r="49" spans="7:19">
      <c r="G49" s="99"/>
      <c r="O49" s="1114"/>
      <c r="P49" s="1114"/>
      <c r="Q49" s="1114"/>
      <c r="R49" s="1114"/>
      <c r="S49" s="1114"/>
    </row>
    <row r="50" spans="7:19">
      <c r="G50" s="325" t="s">
        <v>1177</v>
      </c>
      <c r="H50" s="101">
        <f>COUNT(B12:B41)</f>
        <v>0</v>
      </c>
      <c r="K50" t="s">
        <v>1182</v>
      </c>
      <c r="L50" t="str">
        <f t="shared" ref="L50:L81" ca="1" si="11">IF(INDIRECT(K50)="","",INDIRECT(K50))</f>
        <v/>
      </c>
      <c r="M50">
        <v>1</v>
      </c>
      <c r="O50" s="1114"/>
      <c r="P50" s="1114"/>
      <c r="Q50" s="1114"/>
      <c r="R50" s="1114"/>
      <c r="S50" s="1114"/>
    </row>
    <row r="51" spans="7:19" ht="14.25">
      <c r="H51" s="93" t="s">
        <v>117</v>
      </c>
      <c r="I51" s="1109" t="s">
        <v>1328</v>
      </c>
      <c r="K51" t="s">
        <v>1183</v>
      </c>
      <c r="L51" t="str">
        <f t="shared" ca="1" si="11"/>
        <v/>
      </c>
      <c r="M51">
        <v>2</v>
      </c>
      <c r="O51" s="1114"/>
      <c r="P51" s="1114"/>
      <c r="Q51" s="1114"/>
      <c r="R51" s="1114"/>
      <c r="S51" s="1114"/>
    </row>
    <row r="52" spans="7:19">
      <c r="G52" s="184" t="s">
        <v>1175</v>
      </c>
      <c r="H52" s="1114" t="e">
        <f>(J3-J1)/(6*(H44))</f>
        <v>#DIV/0!</v>
      </c>
      <c r="I52" s="1114" t="e">
        <f>(J3-J1)/(6*H45)</f>
        <v>#DIV/0!</v>
      </c>
      <c r="K52" t="s">
        <v>1184</v>
      </c>
      <c r="L52" t="str">
        <f t="shared" ca="1" si="11"/>
        <v/>
      </c>
      <c r="M52">
        <v>3</v>
      </c>
      <c r="O52" s="1114"/>
      <c r="P52" s="1114"/>
      <c r="Q52" s="1114"/>
      <c r="R52" s="1114"/>
      <c r="S52" s="1114"/>
    </row>
    <row r="53" spans="7:19" ht="14.25">
      <c r="G53" s="184" t="s">
        <v>1333</v>
      </c>
      <c r="H53" s="1120" t="e">
        <f>MIN(((J3-G43)/(3*H44)),((G43-J1)/(3*H44)))</f>
        <v>#DIV/0!</v>
      </c>
      <c r="I53" s="1114" t="e">
        <f>MIN(((J3-G43)/(3*H45)),((G43-J1)/(3*H45)))</f>
        <v>#DIV/0!</v>
      </c>
      <c r="K53" t="s">
        <v>1185</v>
      </c>
      <c r="L53" t="str">
        <f t="shared" ca="1" si="11"/>
        <v/>
      </c>
      <c r="M53">
        <v>4</v>
      </c>
      <c r="O53" s="1114"/>
      <c r="P53" s="1114"/>
      <c r="Q53" s="1114"/>
      <c r="R53" s="1114"/>
      <c r="S53" s="1114"/>
    </row>
    <row r="54" spans="7:19">
      <c r="G54" s="184"/>
      <c r="H54" s="1120"/>
      <c r="I54" s="1114"/>
      <c r="K54" t="s">
        <v>1186</v>
      </c>
      <c r="L54" t="str">
        <f t="shared" ca="1" si="11"/>
        <v/>
      </c>
      <c r="M54">
        <v>5</v>
      </c>
      <c r="O54" s="1114"/>
      <c r="P54" s="1114"/>
      <c r="Q54" s="1114"/>
      <c r="R54" s="1114"/>
      <c r="S54" s="1114"/>
    </row>
    <row r="55" spans="7:19">
      <c r="G55" s="184" t="s">
        <v>678</v>
      </c>
      <c r="H55" s="1114" t="e">
        <f>(J3-J1)/(6*H46)</f>
        <v>#DIV/0!</v>
      </c>
      <c r="K55" t="s">
        <v>1187</v>
      </c>
      <c r="L55" t="str">
        <f t="shared" ca="1" si="11"/>
        <v/>
      </c>
      <c r="M55">
        <v>6</v>
      </c>
      <c r="O55" s="1114"/>
      <c r="P55" s="1114"/>
      <c r="Q55" s="1114"/>
      <c r="R55" s="1114"/>
      <c r="S55" s="1114"/>
    </row>
    <row r="56" spans="7:19" ht="14.25">
      <c r="G56" s="184" t="s">
        <v>1334</v>
      </c>
      <c r="H56" s="1114" t="e">
        <f>MIN(((J3-G43)/(3*H46)),((G43-J1)/(3*H46)))</f>
        <v>#DIV/0!</v>
      </c>
      <c r="K56" t="s">
        <v>1188</v>
      </c>
      <c r="L56" t="str">
        <f t="shared" ca="1" si="11"/>
        <v/>
      </c>
      <c r="M56">
        <v>7</v>
      </c>
      <c r="O56" s="1114"/>
      <c r="P56" s="1114"/>
      <c r="Q56" s="1114"/>
      <c r="R56" s="1114"/>
      <c r="S56" s="1114"/>
    </row>
    <row r="57" spans="7:19">
      <c r="K57" t="s">
        <v>1189</v>
      </c>
      <c r="L57" t="str">
        <f t="shared" ca="1" si="11"/>
        <v/>
      </c>
      <c r="M57">
        <v>8</v>
      </c>
      <c r="O57" s="1114"/>
      <c r="P57" s="1114"/>
      <c r="Q57" s="1114"/>
      <c r="R57" s="1114"/>
      <c r="S57" s="1114"/>
    </row>
    <row r="58" spans="7:19">
      <c r="K58" t="s">
        <v>1190</v>
      </c>
      <c r="L58" t="str">
        <f t="shared" ca="1" si="11"/>
        <v/>
      </c>
      <c r="M58">
        <v>9</v>
      </c>
      <c r="O58" s="1114"/>
      <c r="P58" s="1114"/>
      <c r="Q58" s="1114"/>
      <c r="R58" s="1114"/>
      <c r="S58" s="1114"/>
    </row>
    <row r="59" spans="7:19">
      <c r="K59" t="s">
        <v>1191</v>
      </c>
      <c r="L59" t="str">
        <f t="shared" ca="1" si="11"/>
        <v/>
      </c>
      <c r="M59">
        <v>10</v>
      </c>
      <c r="O59" s="1114"/>
      <c r="P59" s="1114"/>
      <c r="Q59" s="1114"/>
      <c r="R59" s="1114"/>
      <c r="S59" s="1114"/>
    </row>
    <row r="60" spans="7:19">
      <c r="K60" t="s">
        <v>1187</v>
      </c>
      <c r="L60" t="str">
        <f t="shared" ca="1" si="11"/>
        <v/>
      </c>
      <c r="M60">
        <v>11</v>
      </c>
      <c r="O60" s="1114"/>
      <c r="P60" s="1114"/>
      <c r="Q60" s="1114"/>
      <c r="R60" s="1114"/>
      <c r="S60" s="1114"/>
    </row>
    <row r="61" spans="7:19">
      <c r="K61" t="s">
        <v>1188</v>
      </c>
      <c r="L61" t="str">
        <f t="shared" ca="1" si="11"/>
        <v/>
      </c>
      <c r="M61">
        <v>12</v>
      </c>
      <c r="O61" s="1114"/>
      <c r="P61" s="1114"/>
      <c r="Q61" s="1114"/>
      <c r="R61" s="1114"/>
      <c r="S61" s="1114"/>
    </row>
    <row r="62" spans="7:19">
      <c r="K62" t="s">
        <v>1189</v>
      </c>
      <c r="L62" t="str">
        <f t="shared" ca="1" si="11"/>
        <v/>
      </c>
      <c r="M62">
        <v>13</v>
      </c>
      <c r="O62" s="1114"/>
      <c r="P62" s="1114"/>
      <c r="Q62" s="1114"/>
    </row>
    <row r="63" spans="7:19">
      <c r="K63" t="s">
        <v>1190</v>
      </c>
      <c r="L63" t="str">
        <f t="shared" ca="1" si="11"/>
        <v/>
      </c>
      <c r="M63">
        <v>14</v>
      </c>
      <c r="O63" s="1114"/>
      <c r="P63" s="1114"/>
      <c r="Q63" s="1114"/>
    </row>
    <row r="64" spans="7:19">
      <c r="K64" t="s">
        <v>1191</v>
      </c>
      <c r="L64" t="str">
        <f t="shared" ca="1" si="11"/>
        <v/>
      </c>
      <c r="M64">
        <v>15</v>
      </c>
      <c r="O64" s="1114"/>
      <c r="P64" s="1114"/>
      <c r="Q64" s="1114"/>
    </row>
    <row r="65" spans="11:17">
      <c r="K65" t="s">
        <v>1192</v>
      </c>
      <c r="L65" t="str">
        <f t="shared" ca="1" si="11"/>
        <v/>
      </c>
      <c r="M65">
        <v>16</v>
      </c>
      <c r="O65" s="1114"/>
      <c r="P65" s="1114"/>
      <c r="Q65" s="1114"/>
    </row>
    <row r="66" spans="11:17">
      <c r="K66" t="s">
        <v>1193</v>
      </c>
      <c r="L66" t="str">
        <f t="shared" ca="1" si="11"/>
        <v/>
      </c>
      <c r="M66">
        <v>17</v>
      </c>
      <c r="O66" s="1114"/>
      <c r="P66" s="1114"/>
      <c r="Q66" s="1114"/>
    </row>
    <row r="67" spans="11:17">
      <c r="K67" t="s">
        <v>1194</v>
      </c>
      <c r="L67" t="str">
        <f t="shared" ca="1" si="11"/>
        <v/>
      </c>
      <c r="M67">
        <v>18</v>
      </c>
      <c r="O67" s="1114"/>
      <c r="P67" s="1114"/>
      <c r="Q67" s="1114"/>
    </row>
    <row r="68" spans="11:17">
      <c r="K68" t="s">
        <v>1195</v>
      </c>
      <c r="L68" t="str">
        <f t="shared" ca="1" si="11"/>
        <v/>
      </c>
      <c r="M68">
        <v>19</v>
      </c>
      <c r="O68" s="1114"/>
      <c r="P68" s="1114"/>
      <c r="Q68" s="1114"/>
    </row>
    <row r="69" spans="11:17">
      <c r="K69" t="s">
        <v>1196</v>
      </c>
      <c r="L69" t="str">
        <f t="shared" ca="1" si="11"/>
        <v/>
      </c>
      <c r="M69">
        <v>20</v>
      </c>
      <c r="O69" s="1114"/>
      <c r="P69" s="1114"/>
      <c r="Q69" s="1114"/>
    </row>
    <row r="70" spans="11:17">
      <c r="K70" t="s">
        <v>1197</v>
      </c>
      <c r="L70" t="str">
        <f t="shared" ca="1" si="11"/>
        <v/>
      </c>
      <c r="M70">
        <v>21</v>
      </c>
      <c r="O70" s="1114"/>
      <c r="P70" s="1114"/>
      <c r="Q70" s="1114"/>
    </row>
    <row r="71" spans="11:17">
      <c r="K71" t="s">
        <v>1198</v>
      </c>
      <c r="L71" t="str">
        <f t="shared" ca="1" si="11"/>
        <v/>
      </c>
      <c r="M71">
        <v>22</v>
      </c>
      <c r="O71" s="1114"/>
      <c r="P71" s="1114"/>
      <c r="Q71" s="1114"/>
    </row>
    <row r="72" spans="11:17">
      <c r="K72" t="s">
        <v>1199</v>
      </c>
      <c r="L72" t="str">
        <f t="shared" ca="1" si="11"/>
        <v/>
      </c>
      <c r="M72">
        <v>23</v>
      </c>
      <c r="O72" s="1114"/>
      <c r="P72" s="1114"/>
      <c r="Q72" s="1114"/>
    </row>
    <row r="73" spans="11:17">
      <c r="K73" t="s">
        <v>1200</v>
      </c>
      <c r="L73" t="str">
        <f t="shared" ca="1" si="11"/>
        <v/>
      </c>
      <c r="M73">
        <v>24</v>
      </c>
      <c r="O73" s="1114"/>
      <c r="P73" s="1114"/>
      <c r="Q73" s="1114"/>
    </row>
    <row r="74" spans="11:17">
      <c r="K74" t="s">
        <v>1201</v>
      </c>
      <c r="L74" t="str">
        <f t="shared" ca="1" si="11"/>
        <v/>
      </c>
      <c r="M74">
        <v>25</v>
      </c>
      <c r="O74" s="1114"/>
      <c r="P74" s="1114"/>
      <c r="Q74" s="1114"/>
    </row>
    <row r="75" spans="11:17">
      <c r="K75" t="s">
        <v>1202</v>
      </c>
      <c r="L75" t="str">
        <f t="shared" ca="1" si="11"/>
        <v/>
      </c>
      <c r="M75">
        <v>26</v>
      </c>
      <c r="O75" s="1114"/>
      <c r="P75" s="1114"/>
      <c r="Q75" s="1114"/>
    </row>
    <row r="76" spans="11:17">
      <c r="K76" t="s">
        <v>1203</v>
      </c>
      <c r="L76" t="str">
        <f t="shared" ca="1" si="11"/>
        <v/>
      </c>
      <c r="M76">
        <v>27</v>
      </c>
      <c r="O76" s="1114"/>
      <c r="P76" s="1114"/>
      <c r="Q76" s="1114"/>
    </row>
    <row r="77" spans="11:17">
      <c r="K77" t="s">
        <v>1204</v>
      </c>
      <c r="L77" t="str">
        <f t="shared" ca="1" si="11"/>
        <v/>
      </c>
      <c r="M77">
        <v>28</v>
      </c>
      <c r="O77" s="1114"/>
      <c r="P77" s="1114"/>
      <c r="Q77" s="1114"/>
    </row>
    <row r="78" spans="11:17">
      <c r="K78" t="s">
        <v>1205</v>
      </c>
      <c r="L78" t="str">
        <f t="shared" ca="1" si="11"/>
        <v/>
      </c>
      <c r="M78">
        <v>29</v>
      </c>
    </row>
    <row r="79" spans="11:17">
      <c r="K79" t="s">
        <v>1206</v>
      </c>
      <c r="L79" t="str">
        <f t="shared" ca="1" si="11"/>
        <v/>
      </c>
      <c r="M79">
        <v>30</v>
      </c>
    </row>
    <row r="80" spans="11:17">
      <c r="K80" t="s">
        <v>1207</v>
      </c>
      <c r="L80" t="str">
        <f t="shared" ca="1" si="11"/>
        <v/>
      </c>
      <c r="M80">
        <v>31</v>
      </c>
    </row>
    <row r="81" spans="11:13">
      <c r="K81" t="s">
        <v>1208</v>
      </c>
      <c r="L81" t="str">
        <f t="shared" ca="1" si="11"/>
        <v/>
      </c>
      <c r="M81">
        <v>32</v>
      </c>
    </row>
    <row r="82" spans="11:13">
      <c r="K82" t="s">
        <v>1209</v>
      </c>
      <c r="L82" t="str">
        <f t="shared" ref="L82:L113" ca="1" si="12">IF(INDIRECT(K82)="","",INDIRECT(K82))</f>
        <v/>
      </c>
      <c r="M82">
        <v>33</v>
      </c>
    </row>
    <row r="83" spans="11:13">
      <c r="K83" t="s">
        <v>1210</v>
      </c>
      <c r="L83" t="str">
        <f t="shared" ca="1" si="12"/>
        <v/>
      </c>
      <c r="M83">
        <v>34</v>
      </c>
    </row>
    <row r="84" spans="11:13">
      <c r="K84" t="s">
        <v>1211</v>
      </c>
      <c r="L84" t="str">
        <f t="shared" ca="1" si="12"/>
        <v/>
      </c>
      <c r="M84">
        <v>35</v>
      </c>
    </row>
    <row r="85" spans="11:13">
      <c r="K85" t="s">
        <v>1212</v>
      </c>
      <c r="L85" t="str">
        <f t="shared" ca="1" si="12"/>
        <v/>
      </c>
      <c r="M85">
        <v>36</v>
      </c>
    </row>
    <row r="86" spans="11:13">
      <c r="K86" t="s">
        <v>1213</v>
      </c>
      <c r="L86" t="str">
        <f t="shared" ca="1" si="12"/>
        <v/>
      </c>
      <c r="M86">
        <v>37</v>
      </c>
    </row>
    <row r="87" spans="11:13">
      <c r="K87" t="s">
        <v>1214</v>
      </c>
      <c r="L87" t="str">
        <f t="shared" ca="1" si="12"/>
        <v/>
      </c>
      <c r="M87">
        <v>38</v>
      </c>
    </row>
    <row r="88" spans="11:13">
      <c r="K88" t="s">
        <v>1215</v>
      </c>
      <c r="L88" t="str">
        <f t="shared" ca="1" si="12"/>
        <v/>
      </c>
      <c r="M88">
        <v>39</v>
      </c>
    </row>
    <row r="89" spans="11:13">
      <c r="K89" t="s">
        <v>1216</v>
      </c>
      <c r="L89" t="str">
        <f t="shared" ca="1" si="12"/>
        <v/>
      </c>
      <c r="M89">
        <v>40</v>
      </c>
    </row>
    <row r="90" spans="11:13">
      <c r="K90" t="s">
        <v>1217</v>
      </c>
      <c r="L90" t="str">
        <f t="shared" ca="1" si="12"/>
        <v/>
      </c>
      <c r="M90">
        <v>41</v>
      </c>
    </row>
    <row r="91" spans="11:13">
      <c r="K91" t="s">
        <v>1218</v>
      </c>
      <c r="L91" t="str">
        <f t="shared" ca="1" si="12"/>
        <v/>
      </c>
      <c r="M91">
        <v>42</v>
      </c>
    </row>
    <row r="92" spans="11:13">
      <c r="K92" t="s">
        <v>1219</v>
      </c>
      <c r="L92" t="str">
        <f t="shared" ca="1" si="12"/>
        <v/>
      </c>
      <c r="M92">
        <v>43</v>
      </c>
    </row>
    <row r="93" spans="11:13">
      <c r="K93" t="s">
        <v>1220</v>
      </c>
      <c r="L93" t="str">
        <f t="shared" ca="1" si="12"/>
        <v/>
      </c>
      <c r="M93">
        <v>44</v>
      </c>
    </row>
    <row r="94" spans="11:13">
      <c r="K94" t="s">
        <v>1221</v>
      </c>
      <c r="L94" t="str">
        <f t="shared" ca="1" si="12"/>
        <v/>
      </c>
      <c r="M94">
        <v>45</v>
      </c>
    </row>
    <row r="95" spans="11:13">
      <c r="K95" t="s">
        <v>1222</v>
      </c>
      <c r="L95" t="str">
        <f t="shared" ca="1" si="12"/>
        <v/>
      </c>
      <c r="M95">
        <v>46</v>
      </c>
    </row>
    <row r="96" spans="11:13">
      <c r="K96" t="s">
        <v>1223</v>
      </c>
      <c r="L96" t="str">
        <f t="shared" ca="1" si="12"/>
        <v/>
      </c>
      <c r="M96">
        <v>47</v>
      </c>
    </row>
    <row r="97" spans="11:13">
      <c r="K97" t="s">
        <v>1224</v>
      </c>
      <c r="L97" t="str">
        <f t="shared" ca="1" si="12"/>
        <v/>
      </c>
      <c r="M97">
        <v>48</v>
      </c>
    </row>
    <row r="98" spans="11:13">
      <c r="K98" t="s">
        <v>1225</v>
      </c>
      <c r="L98" t="str">
        <f t="shared" ca="1" si="12"/>
        <v/>
      </c>
      <c r="M98">
        <v>49</v>
      </c>
    </row>
    <row r="99" spans="11:13">
      <c r="K99" t="s">
        <v>1226</v>
      </c>
      <c r="L99" t="str">
        <f t="shared" ca="1" si="12"/>
        <v/>
      </c>
      <c r="M99">
        <v>50</v>
      </c>
    </row>
    <row r="100" spans="11:13">
      <c r="K100" t="s">
        <v>1227</v>
      </c>
      <c r="L100" t="str">
        <f t="shared" ca="1" si="12"/>
        <v/>
      </c>
      <c r="M100">
        <v>51</v>
      </c>
    </row>
    <row r="101" spans="11:13">
      <c r="K101" t="s">
        <v>1228</v>
      </c>
      <c r="L101" t="str">
        <f t="shared" ca="1" si="12"/>
        <v/>
      </c>
      <c r="M101">
        <v>52</v>
      </c>
    </row>
    <row r="102" spans="11:13">
      <c r="K102" t="s">
        <v>1229</v>
      </c>
      <c r="L102" t="str">
        <f t="shared" ca="1" si="12"/>
        <v/>
      </c>
      <c r="M102">
        <v>53</v>
      </c>
    </row>
    <row r="103" spans="11:13">
      <c r="K103" t="s">
        <v>1230</v>
      </c>
      <c r="L103" t="str">
        <f t="shared" ca="1" si="12"/>
        <v/>
      </c>
      <c r="M103">
        <v>54</v>
      </c>
    </row>
    <row r="104" spans="11:13">
      <c r="K104" t="s">
        <v>1231</v>
      </c>
      <c r="L104" t="str">
        <f t="shared" ca="1" si="12"/>
        <v/>
      </c>
      <c r="M104">
        <v>55</v>
      </c>
    </row>
    <row r="105" spans="11:13">
      <c r="K105" t="s">
        <v>1232</v>
      </c>
      <c r="L105" t="str">
        <f t="shared" ca="1" si="12"/>
        <v/>
      </c>
      <c r="M105">
        <v>56</v>
      </c>
    </row>
    <row r="106" spans="11:13">
      <c r="K106" t="s">
        <v>1233</v>
      </c>
      <c r="L106" t="str">
        <f t="shared" ca="1" si="12"/>
        <v/>
      </c>
      <c r="M106">
        <v>57</v>
      </c>
    </row>
    <row r="107" spans="11:13">
      <c r="K107" t="s">
        <v>1234</v>
      </c>
      <c r="L107" t="str">
        <f t="shared" ca="1" si="12"/>
        <v/>
      </c>
      <c r="M107">
        <v>58</v>
      </c>
    </row>
    <row r="108" spans="11:13">
      <c r="K108" t="s">
        <v>1235</v>
      </c>
      <c r="L108" t="str">
        <f t="shared" ca="1" si="12"/>
        <v/>
      </c>
      <c r="M108">
        <v>59</v>
      </c>
    </row>
    <row r="109" spans="11:13">
      <c r="K109" t="s">
        <v>1236</v>
      </c>
      <c r="L109" t="str">
        <f t="shared" ca="1" si="12"/>
        <v/>
      </c>
      <c r="M109">
        <v>60</v>
      </c>
    </row>
    <row r="110" spans="11:13">
      <c r="K110" t="s">
        <v>1237</v>
      </c>
      <c r="L110" t="str">
        <f t="shared" ca="1" si="12"/>
        <v/>
      </c>
      <c r="M110">
        <v>61</v>
      </c>
    </row>
    <row r="111" spans="11:13">
      <c r="K111" t="s">
        <v>1238</v>
      </c>
      <c r="L111" t="str">
        <f t="shared" ca="1" si="12"/>
        <v/>
      </c>
      <c r="M111">
        <v>62</v>
      </c>
    </row>
    <row r="112" spans="11:13">
      <c r="K112" t="s">
        <v>1239</v>
      </c>
      <c r="L112" t="str">
        <f t="shared" ca="1" si="12"/>
        <v/>
      </c>
      <c r="M112">
        <v>63</v>
      </c>
    </row>
    <row r="113" spans="11:13">
      <c r="K113" t="s">
        <v>1240</v>
      </c>
      <c r="L113" t="str">
        <f t="shared" ca="1" si="12"/>
        <v/>
      </c>
      <c r="M113">
        <v>64</v>
      </c>
    </row>
    <row r="114" spans="11:13">
      <c r="K114" t="s">
        <v>1241</v>
      </c>
      <c r="L114" t="str">
        <f t="shared" ref="L114:L145" ca="1" si="13">IF(INDIRECT(K114)="","",INDIRECT(K114))</f>
        <v/>
      </c>
      <c r="M114">
        <v>65</v>
      </c>
    </row>
    <row r="115" spans="11:13">
      <c r="K115" t="s">
        <v>1242</v>
      </c>
      <c r="L115" t="str">
        <f t="shared" ca="1" si="13"/>
        <v/>
      </c>
      <c r="M115">
        <v>66</v>
      </c>
    </row>
    <row r="116" spans="11:13">
      <c r="K116" t="s">
        <v>1243</v>
      </c>
      <c r="L116" t="str">
        <f t="shared" ca="1" si="13"/>
        <v/>
      </c>
      <c r="M116">
        <v>67</v>
      </c>
    </row>
    <row r="117" spans="11:13">
      <c r="K117" t="s">
        <v>1244</v>
      </c>
      <c r="L117" t="str">
        <f t="shared" ca="1" si="13"/>
        <v/>
      </c>
      <c r="M117">
        <v>68</v>
      </c>
    </row>
    <row r="118" spans="11:13">
      <c r="K118" t="s">
        <v>1245</v>
      </c>
      <c r="L118" t="str">
        <f t="shared" ca="1" si="13"/>
        <v/>
      </c>
      <c r="M118">
        <v>69</v>
      </c>
    </row>
    <row r="119" spans="11:13">
      <c r="K119" t="s">
        <v>1246</v>
      </c>
      <c r="L119" t="str">
        <f t="shared" ca="1" si="13"/>
        <v/>
      </c>
      <c r="M119">
        <v>70</v>
      </c>
    </row>
    <row r="120" spans="11:13">
      <c r="K120" t="s">
        <v>1247</v>
      </c>
      <c r="L120" t="str">
        <f t="shared" ca="1" si="13"/>
        <v/>
      </c>
      <c r="M120">
        <v>71</v>
      </c>
    </row>
    <row r="121" spans="11:13">
      <c r="K121" t="s">
        <v>1248</v>
      </c>
      <c r="L121" t="str">
        <f t="shared" ca="1" si="13"/>
        <v/>
      </c>
      <c r="M121">
        <v>72</v>
      </c>
    </row>
    <row r="122" spans="11:13">
      <c r="K122" t="s">
        <v>1249</v>
      </c>
      <c r="L122" t="str">
        <f t="shared" ca="1" si="13"/>
        <v/>
      </c>
      <c r="M122">
        <v>73</v>
      </c>
    </row>
    <row r="123" spans="11:13">
      <c r="K123" t="s">
        <v>1250</v>
      </c>
      <c r="L123" t="str">
        <f t="shared" ca="1" si="13"/>
        <v/>
      </c>
      <c r="M123">
        <v>74</v>
      </c>
    </row>
    <row r="124" spans="11:13">
      <c r="K124" t="s">
        <v>1251</v>
      </c>
      <c r="L124" t="str">
        <f t="shared" ca="1" si="13"/>
        <v/>
      </c>
      <c r="M124">
        <v>75</v>
      </c>
    </row>
    <row r="125" spans="11:13">
      <c r="K125" t="s">
        <v>1252</v>
      </c>
      <c r="L125" t="str">
        <f t="shared" ca="1" si="13"/>
        <v/>
      </c>
      <c r="M125">
        <v>76</v>
      </c>
    </row>
    <row r="126" spans="11:13">
      <c r="K126" t="s">
        <v>1253</v>
      </c>
      <c r="L126" t="str">
        <f t="shared" ca="1" si="13"/>
        <v/>
      </c>
      <c r="M126">
        <v>77</v>
      </c>
    </row>
    <row r="127" spans="11:13">
      <c r="K127" t="s">
        <v>1254</v>
      </c>
      <c r="L127" t="str">
        <f t="shared" ca="1" si="13"/>
        <v/>
      </c>
      <c r="M127">
        <v>78</v>
      </c>
    </row>
    <row r="128" spans="11:13">
      <c r="K128" t="s">
        <v>1255</v>
      </c>
      <c r="L128" t="str">
        <f t="shared" ca="1" si="13"/>
        <v/>
      </c>
      <c r="M128">
        <v>79</v>
      </c>
    </row>
    <row r="129" spans="11:13">
      <c r="K129" t="s">
        <v>1256</v>
      </c>
      <c r="L129" t="str">
        <f t="shared" ca="1" si="13"/>
        <v/>
      </c>
      <c r="M129">
        <v>80</v>
      </c>
    </row>
    <row r="130" spans="11:13">
      <c r="K130" t="s">
        <v>1257</v>
      </c>
      <c r="L130" t="str">
        <f t="shared" ca="1" si="13"/>
        <v/>
      </c>
      <c r="M130">
        <v>81</v>
      </c>
    </row>
    <row r="131" spans="11:13">
      <c r="K131" t="s">
        <v>1258</v>
      </c>
      <c r="L131" t="str">
        <f t="shared" ca="1" si="13"/>
        <v/>
      </c>
      <c r="M131">
        <v>82</v>
      </c>
    </row>
    <row r="132" spans="11:13">
      <c r="K132" t="s">
        <v>1259</v>
      </c>
      <c r="L132" t="str">
        <f t="shared" ca="1" si="13"/>
        <v/>
      </c>
      <c r="M132">
        <v>83</v>
      </c>
    </row>
    <row r="133" spans="11:13">
      <c r="K133" t="s">
        <v>1260</v>
      </c>
      <c r="L133" t="str">
        <f t="shared" ca="1" si="13"/>
        <v/>
      </c>
      <c r="M133">
        <v>84</v>
      </c>
    </row>
    <row r="134" spans="11:13">
      <c r="K134" t="s">
        <v>1261</v>
      </c>
      <c r="L134" t="str">
        <f t="shared" ca="1" si="13"/>
        <v/>
      </c>
      <c r="M134">
        <v>85</v>
      </c>
    </row>
    <row r="135" spans="11:13">
      <c r="K135" t="s">
        <v>1262</v>
      </c>
      <c r="L135" t="str">
        <f t="shared" ca="1" si="13"/>
        <v/>
      </c>
      <c r="M135">
        <v>86</v>
      </c>
    </row>
    <row r="136" spans="11:13">
      <c r="K136" t="s">
        <v>1263</v>
      </c>
      <c r="L136" t="str">
        <f t="shared" ca="1" si="13"/>
        <v/>
      </c>
      <c r="M136">
        <v>87</v>
      </c>
    </row>
    <row r="137" spans="11:13">
      <c r="K137" t="s">
        <v>1264</v>
      </c>
      <c r="L137" t="str">
        <f t="shared" ca="1" si="13"/>
        <v/>
      </c>
      <c r="M137">
        <v>88</v>
      </c>
    </row>
    <row r="138" spans="11:13">
      <c r="K138" t="s">
        <v>1265</v>
      </c>
      <c r="L138" t="str">
        <f t="shared" ca="1" si="13"/>
        <v/>
      </c>
      <c r="M138">
        <v>89</v>
      </c>
    </row>
    <row r="139" spans="11:13">
      <c r="K139" t="s">
        <v>1266</v>
      </c>
      <c r="L139" t="str">
        <f t="shared" ca="1" si="13"/>
        <v/>
      </c>
      <c r="M139">
        <v>90</v>
      </c>
    </row>
    <row r="140" spans="11:13">
      <c r="K140" t="s">
        <v>1267</v>
      </c>
      <c r="L140" t="str">
        <f t="shared" ca="1" si="13"/>
        <v/>
      </c>
      <c r="M140">
        <v>91</v>
      </c>
    </row>
    <row r="141" spans="11:13">
      <c r="K141" t="s">
        <v>1268</v>
      </c>
      <c r="L141" t="str">
        <f t="shared" ca="1" si="13"/>
        <v/>
      </c>
      <c r="M141">
        <v>92</v>
      </c>
    </row>
    <row r="142" spans="11:13">
      <c r="K142" t="s">
        <v>1269</v>
      </c>
      <c r="L142" t="str">
        <f t="shared" ca="1" si="13"/>
        <v/>
      </c>
      <c r="M142">
        <v>93</v>
      </c>
    </row>
    <row r="143" spans="11:13">
      <c r="K143" t="s">
        <v>1270</v>
      </c>
      <c r="L143" t="str">
        <f t="shared" ca="1" si="13"/>
        <v/>
      </c>
      <c r="M143">
        <v>94</v>
      </c>
    </row>
    <row r="144" spans="11:13">
      <c r="K144" t="s">
        <v>1271</v>
      </c>
      <c r="L144" t="str">
        <f t="shared" ca="1" si="13"/>
        <v/>
      </c>
      <c r="M144">
        <v>95</v>
      </c>
    </row>
    <row r="145" spans="11:13">
      <c r="K145" t="s">
        <v>1272</v>
      </c>
      <c r="L145" t="str">
        <f t="shared" ca="1" si="13"/>
        <v/>
      </c>
      <c r="M145">
        <v>96</v>
      </c>
    </row>
    <row r="146" spans="11:13">
      <c r="K146" t="s">
        <v>1273</v>
      </c>
      <c r="L146" t="str">
        <f t="shared" ref="L146:L177" ca="1" si="14">IF(INDIRECT(K146)="","",INDIRECT(K146))</f>
        <v/>
      </c>
      <c r="M146">
        <v>97</v>
      </c>
    </row>
    <row r="147" spans="11:13">
      <c r="K147" t="s">
        <v>1274</v>
      </c>
      <c r="L147" t="str">
        <f t="shared" ca="1" si="14"/>
        <v/>
      </c>
      <c r="M147">
        <v>98</v>
      </c>
    </row>
    <row r="148" spans="11:13">
      <c r="K148" t="s">
        <v>1275</v>
      </c>
      <c r="L148" t="str">
        <f t="shared" ca="1" si="14"/>
        <v/>
      </c>
      <c r="M148">
        <v>99</v>
      </c>
    </row>
    <row r="149" spans="11:13">
      <c r="K149" t="s">
        <v>1276</v>
      </c>
      <c r="L149" t="str">
        <f t="shared" ca="1" si="14"/>
        <v/>
      </c>
      <c r="M149">
        <v>100</v>
      </c>
    </row>
    <row r="150" spans="11:13">
      <c r="K150" t="s">
        <v>1277</v>
      </c>
      <c r="L150" t="str">
        <f t="shared" ca="1" si="14"/>
        <v/>
      </c>
      <c r="M150">
        <v>101</v>
      </c>
    </row>
    <row r="151" spans="11:13">
      <c r="K151" t="s">
        <v>1278</v>
      </c>
      <c r="L151" t="str">
        <f t="shared" ca="1" si="14"/>
        <v/>
      </c>
      <c r="M151">
        <v>102</v>
      </c>
    </row>
    <row r="152" spans="11:13">
      <c r="K152" t="s">
        <v>1279</v>
      </c>
      <c r="L152" t="str">
        <f t="shared" ca="1" si="14"/>
        <v/>
      </c>
      <c r="M152">
        <v>103</v>
      </c>
    </row>
    <row r="153" spans="11:13">
      <c r="K153" t="s">
        <v>1280</v>
      </c>
      <c r="L153" t="str">
        <f t="shared" ca="1" si="14"/>
        <v/>
      </c>
      <c r="M153">
        <v>104</v>
      </c>
    </row>
    <row r="154" spans="11:13">
      <c r="K154" t="s">
        <v>1281</v>
      </c>
      <c r="L154" t="str">
        <f t="shared" ca="1" si="14"/>
        <v/>
      </c>
      <c r="M154">
        <v>105</v>
      </c>
    </row>
    <row r="155" spans="11:13">
      <c r="K155" t="s">
        <v>1282</v>
      </c>
      <c r="L155" t="str">
        <f t="shared" ca="1" si="14"/>
        <v/>
      </c>
      <c r="M155">
        <v>106</v>
      </c>
    </row>
    <row r="156" spans="11:13">
      <c r="K156" t="s">
        <v>1283</v>
      </c>
      <c r="L156" t="str">
        <f t="shared" ca="1" si="14"/>
        <v/>
      </c>
      <c r="M156">
        <v>107</v>
      </c>
    </row>
    <row r="157" spans="11:13">
      <c r="K157" t="s">
        <v>1284</v>
      </c>
      <c r="L157" t="str">
        <f t="shared" ca="1" si="14"/>
        <v/>
      </c>
      <c r="M157">
        <v>108</v>
      </c>
    </row>
    <row r="158" spans="11:13">
      <c r="K158" t="s">
        <v>1285</v>
      </c>
      <c r="L158" t="str">
        <f t="shared" ca="1" si="14"/>
        <v/>
      </c>
      <c r="M158">
        <v>109</v>
      </c>
    </row>
    <row r="159" spans="11:13">
      <c r="K159" t="s">
        <v>1286</v>
      </c>
      <c r="L159" t="str">
        <f t="shared" ca="1" si="14"/>
        <v/>
      </c>
      <c r="M159">
        <v>110</v>
      </c>
    </row>
    <row r="160" spans="11:13">
      <c r="K160" t="s">
        <v>1287</v>
      </c>
      <c r="L160" t="str">
        <f t="shared" ca="1" si="14"/>
        <v/>
      </c>
      <c r="M160">
        <v>111</v>
      </c>
    </row>
    <row r="161" spans="11:13">
      <c r="K161" t="s">
        <v>1288</v>
      </c>
      <c r="L161" t="str">
        <f t="shared" ca="1" si="14"/>
        <v/>
      </c>
      <c r="M161">
        <v>112</v>
      </c>
    </row>
    <row r="162" spans="11:13">
      <c r="K162" t="s">
        <v>1289</v>
      </c>
      <c r="L162" t="str">
        <f t="shared" ca="1" si="14"/>
        <v/>
      </c>
      <c r="M162">
        <v>113</v>
      </c>
    </row>
    <row r="163" spans="11:13">
      <c r="K163" t="s">
        <v>1290</v>
      </c>
      <c r="L163" t="str">
        <f t="shared" ca="1" si="14"/>
        <v/>
      </c>
      <c r="M163">
        <v>114</v>
      </c>
    </row>
    <row r="164" spans="11:13">
      <c r="K164" t="s">
        <v>1291</v>
      </c>
      <c r="L164" t="str">
        <f t="shared" ca="1" si="14"/>
        <v/>
      </c>
      <c r="M164">
        <v>115</v>
      </c>
    </row>
    <row r="165" spans="11:13">
      <c r="K165" t="s">
        <v>1292</v>
      </c>
      <c r="L165" t="str">
        <f t="shared" ca="1" si="14"/>
        <v/>
      </c>
      <c r="M165">
        <v>116</v>
      </c>
    </row>
    <row r="166" spans="11:13">
      <c r="K166" t="s">
        <v>1293</v>
      </c>
      <c r="L166" t="str">
        <f t="shared" ca="1" si="14"/>
        <v/>
      </c>
      <c r="M166">
        <v>117</v>
      </c>
    </row>
    <row r="167" spans="11:13">
      <c r="K167" t="s">
        <v>1294</v>
      </c>
      <c r="L167" t="str">
        <f t="shared" ca="1" si="14"/>
        <v/>
      </c>
      <c r="M167">
        <v>118</v>
      </c>
    </row>
    <row r="168" spans="11:13">
      <c r="K168" t="s">
        <v>1295</v>
      </c>
      <c r="L168" t="str">
        <f t="shared" ca="1" si="14"/>
        <v/>
      </c>
      <c r="M168">
        <v>119</v>
      </c>
    </row>
    <row r="169" spans="11:13">
      <c r="K169" t="s">
        <v>1296</v>
      </c>
      <c r="L169" t="str">
        <f t="shared" ca="1" si="14"/>
        <v/>
      </c>
      <c r="M169">
        <v>120</v>
      </c>
    </row>
    <row r="170" spans="11:13">
      <c r="K170" t="s">
        <v>1297</v>
      </c>
      <c r="L170" t="str">
        <f t="shared" ca="1" si="14"/>
        <v/>
      </c>
      <c r="M170">
        <v>121</v>
      </c>
    </row>
    <row r="171" spans="11:13">
      <c r="K171" t="s">
        <v>1298</v>
      </c>
      <c r="L171" t="str">
        <f t="shared" ca="1" si="14"/>
        <v/>
      </c>
      <c r="M171">
        <v>122</v>
      </c>
    </row>
    <row r="172" spans="11:13">
      <c r="K172" t="s">
        <v>1299</v>
      </c>
      <c r="L172" t="str">
        <f t="shared" ca="1" si="14"/>
        <v/>
      </c>
      <c r="M172">
        <v>123</v>
      </c>
    </row>
    <row r="173" spans="11:13">
      <c r="K173" t="s">
        <v>1300</v>
      </c>
      <c r="L173" t="str">
        <f t="shared" ca="1" si="14"/>
        <v/>
      </c>
      <c r="M173">
        <v>124</v>
      </c>
    </row>
    <row r="174" spans="11:13">
      <c r="K174" t="s">
        <v>1301</v>
      </c>
      <c r="L174" t="str">
        <f t="shared" ca="1" si="14"/>
        <v/>
      </c>
      <c r="M174">
        <v>125</v>
      </c>
    </row>
    <row r="175" spans="11:13">
      <c r="K175" t="s">
        <v>1302</v>
      </c>
      <c r="L175" t="str">
        <f t="shared" ca="1" si="14"/>
        <v/>
      </c>
      <c r="M175">
        <v>126</v>
      </c>
    </row>
    <row r="176" spans="11:13">
      <c r="K176" t="s">
        <v>1303</v>
      </c>
      <c r="L176" t="str">
        <f t="shared" ca="1" si="14"/>
        <v/>
      </c>
      <c r="M176">
        <v>127</v>
      </c>
    </row>
    <row r="177" spans="11:13">
      <c r="K177" t="s">
        <v>1304</v>
      </c>
      <c r="L177" t="str">
        <f t="shared" ca="1" si="14"/>
        <v/>
      </c>
      <c r="M177">
        <v>128</v>
      </c>
    </row>
    <row r="178" spans="11:13">
      <c r="K178" t="s">
        <v>1305</v>
      </c>
      <c r="L178" t="str">
        <f t="shared" ref="L178:L199" ca="1" si="15">IF(INDIRECT(K178)="","",INDIRECT(K178))</f>
        <v/>
      </c>
      <c r="M178">
        <v>129</v>
      </c>
    </row>
    <row r="179" spans="11:13">
      <c r="K179" t="s">
        <v>1306</v>
      </c>
      <c r="L179" t="str">
        <f t="shared" ca="1" si="15"/>
        <v/>
      </c>
      <c r="M179">
        <v>130</v>
      </c>
    </row>
    <row r="180" spans="11:13">
      <c r="K180" t="s">
        <v>1307</v>
      </c>
      <c r="L180" t="str">
        <f t="shared" ca="1" si="15"/>
        <v/>
      </c>
      <c r="M180">
        <v>131</v>
      </c>
    </row>
    <row r="181" spans="11:13">
      <c r="K181" t="s">
        <v>1308</v>
      </c>
      <c r="L181" t="str">
        <f t="shared" ca="1" si="15"/>
        <v/>
      </c>
      <c r="M181">
        <v>132</v>
      </c>
    </row>
    <row r="182" spans="11:13">
      <c r="K182" t="s">
        <v>1309</v>
      </c>
      <c r="L182" t="str">
        <f t="shared" ca="1" si="15"/>
        <v/>
      </c>
      <c r="M182">
        <v>133</v>
      </c>
    </row>
    <row r="183" spans="11:13">
      <c r="K183" t="s">
        <v>1310</v>
      </c>
      <c r="L183" t="str">
        <f t="shared" ca="1" si="15"/>
        <v/>
      </c>
      <c r="M183">
        <v>134</v>
      </c>
    </row>
    <row r="184" spans="11:13">
      <c r="K184" t="s">
        <v>1311</v>
      </c>
      <c r="L184" t="str">
        <f t="shared" ca="1" si="15"/>
        <v/>
      </c>
      <c r="M184">
        <v>135</v>
      </c>
    </row>
    <row r="185" spans="11:13">
      <c r="K185" t="s">
        <v>1312</v>
      </c>
      <c r="L185" t="str">
        <f t="shared" ca="1" si="15"/>
        <v/>
      </c>
      <c r="M185">
        <v>136</v>
      </c>
    </row>
    <row r="186" spans="11:13">
      <c r="K186" t="s">
        <v>1313</v>
      </c>
      <c r="L186" t="str">
        <f t="shared" ca="1" si="15"/>
        <v/>
      </c>
      <c r="M186">
        <v>137</v>
      </c>
    </row>
    <row r="187" spans="11:13">
      <c r="K187" t="s">
        <v>1314</v>
      </c>
      <c r="L187" t="str">
        <f t="shared" ca="1" si="15"/>
        <v/>
      </c>
      <c r="M187">
        <v>138</v>
      </c>
    </row>
    <row r="188" spans="11:13">
      <c r="K188" t="s">
        <v>1315</v>
      </c>
      <c r="L188" t="str">
        <f t="shared" ca="1" si="15"/>
        <v/>
      </c>
      <c r="M188">
        <v>139</v>
      </c>
    </row>
    <row r="189" spans="11:13">
      <c r="K189" t="s">
        <v>1316</v>
      </c>
      <c r="L189" t="str">
        <f t="shared" ca="1" si="15"/>
        <v/>
      </c>
      <c r="M189">
        <v>140</v>
      </c>
    </row>
    <row r="190" spans="11:13">
      <c r="K190" t="s">
        <v>1317</v>
      </c>
      <c r="L190" t="str">
        <f t="shared" ca="1" si="15"/>
        <v/>
      </c>
      <c r="M190">
        <v>141</v>
      </c>
    </row>
    <row r="191" spans="11:13">
      <c r="K191" t="s">
        <v>1318</v>
      </c>
      <c r="L191" t="str">
        <f t="shared" ca="1" si="15"/>
        <v/>
      </c>
      <c r="M191">
        <v>142</v>
      </c>
    </row>
    <row r="192" spans="11:13">
      <c r="K192" t="s">
        <v>1319</v>
      </c>
      <c r="L192" t="str">
        <f t="shared" ca="1" si="15"/>
        <v/>
      </c>
      <c r="M192">
        <v>143</v>
      </c>
    </row>
    <row r="193" spans="11:13">
      <c r="K193" t="s">
        <v>1320</v>
      </c>
      <c r="L193" t="str">
        <f t="shared" ca="1" si="15"/>
        <v/>
      </c>
      <c r="M193">
        <v>144</v>
      </c>
    </row>
    <row r="194" spans="11:13">
      <c r="K194" t="s">
        <v>1321</v>
      </c>
      <c r="L194" t="str">
        <f t="shared" ca="1" si="15"/>
        <v/>
      </c>
      <c r="M194">
        <v>145</v>
      </c>
    </row>
    <row r="195" spans="11:13">
      <c r="K195" t="s">
        <v>1322</v>
      </c>
      <c r="L195" t="str">
        <f t="shared" ca="1" si="15"/>
        <v/>
      </c>
      <c r="M195">
        <v>146</v>
      </c>
    </row>
    <row r="196" spans="11:13">
      <c r="K196" t="s">
        <v>1323</v>
      </c>
      <c r="L196" t="str">
        <f t="shared" ca="1" si="15"/>
        <v/>
      </c>
      <c r="M196">
        <v>147</v>
      </c>
    </row>
    <row r="197" spans="11:13">
      <c r="K197" t="s">
        <v>1324</v>
      </c>
      <c r="L197" t="str">
        <f t="shared" ca="1" si="15"/>
        <v/>
      </c>
      <c r="M197">
        <v>148</v>
      </c>
    </row>
    <row r="198" spans="11:13">
      <c r="K198" t="s">
        <v>1325</v>
      </c>
      <c r="L198" t="str">
        <f t="shared" ca="1" si="15"/>
        <v/>
      </c>
      <c r="M198">
        <v>149</v>
      </c>
    </row>
    <row r="199" spans="11:13">
      <c r="K199" t="s">
        <v>1326</v>
      </c>
      <c r="L199" t="str">
        <f t="shared" ca="1" si="15"/>
        <v/>
      </c>
      <c r="M199">
        <v>150</v>
      </c>
    </row>
  </sheetData>
  <sheetProtection password="CC08" sheet="1" scenarios="1"/>
  <protectedRanges>
    <protectedRange sqref="D1:G6 J1:J3 B12:F41" name="Range1"/>
  </protectedRanges>
  <mergeCells count="18">
    <mergeCell ref="S2:Z2"/>
    <mergeCell ref="S1:Z1"/>
    <mergeCell ref="S3:Z3"/>
    <mergeCell ref="S4:Z4"/>
    <mergeCell ref="W42:X42"/>
    <mergeCell ref="S5:Z5"/>
    <mergeCell ref="B1:C1"/>
    <mergeCell ref="D1:G1"/>
    <mergeCell ref="B2:C2"/>
    <mergeCell ref="D2:G2"/>
    <mergeCell ref="B6:C6"/>
    <mergeCell ref="B3:C3"/>
    <mergeCell ref="D3:G3"/>
    <mergeCell ref="B4:C4"/>
    <mergeCell ref="D4:G4"/>
    <mergeCell ref="B5:C5"/>
    <mergeCell ref="D5:G5"/>
    <mergeCell ref="D6:G6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&amp;C&amp;"Arial,Bold"&amp;12Control Chart</oddHeader>
    <oddFooter>&amp;L&amp;8&amp;F&amp;R&amp;8Printed: &amp;D</oddFooter>
  </headerFooter>
  <drawing r:id="rId2"/>
  <legacyDrawing r:id="rId3"/>
  <controls>
    <control shapeId="79875" r:id="rId4" name="MainMenu"/>
  </controls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11"/>
  <dimension ref="B1:E21"/>
  <sheetViews>
    <sheetView showGridLines="0" zoomScale="160" workbookViewId="0">
      <selection activeCell="H12" sqref="H12"/>
    </sheetView>
  </sheetViews>
  <sheetFormatPr defaultRowHeight="12.75"/>
  <cols>
    <col min="1" max="1" width="2.42578125" customWidth="1"/>
    <col min="2" max="2" width="5.42578125" customWidth="1"/>
  </cols>
  <sheetData>
    <row r="1" spans="2:5">
      <c r="B1" t="s">
        <v>1339</v>
      </c>
    </row>
    <row r="3" spans="2:5">
      <c r="C3" s="290" t="s">
        <v>1338</v>
      </c>
      <c r="D3" s="278"/>
    </row>
    <row r="4" spans="2:5">
      <c r="C4" s="1127" t="s">
        <v>1337</v>
      </c>
      <c r="D4" s="278"/>
    </row>
    <row r="5" spans="2:5">
      <c r="C5" s="1128" t="s">
        <v>460</v>
      </c>
      <c r="D5" s="278"/>
      <c r="E5" t="s">
        <v>1344</v>
      </c>
    </row>
    <row r="6" spans="2:5">
      <c r="C6" s="94" t="s">
        <v>1340</v>
      </c>
      <c r="D6" t="str">
        <f>IF(D5=0.05,1.96,IF(D5=0.01,2.576,"NA"))</f>
        <v>NA</v>
      </c>
    </row>
    <row r="8" spans="2:5">
      <c r="C8" s="286" t="s">
        <v>703</v>
      </c>
      <c r="D8" s="1129" t="e">
        <f>((D6*D3)/D4)^2</f>
        <v>#VALUE!</v>
      </c>
    </row>
    <row r="12" spans="2:5">
      <c r="B12" t="s">
        <v>1339</v>
      </c>
    </row>
    <row r="14" spans="2:5">
      <c r="C14" s="290" t="s">
        <v>1338</v>
      </c>
      <c r="D14" s="278"/>
    </row>
    <row r="15" spans="2:5">
      <c r="C15" s="1127" t="s">
        <v>1337</v>
      </c>
      <c r="D15" s="278"/>
    </row>
    <row r="16" spans="2:5">
      <c r="C16" s="1128" t="s">
        <v>460</v>
      </c>
      <c r="D16" s="278"/>
      <c r="E16" t="s">
        <v>1344</v>
      </c>
    </row>
    <row r="17" spans="3:5">
      <c r="C17" s="94" t="s">
        <v>1340</v>
      </c>
      <c r="D17" t="str">
        <f>IF(D16=0.05,1.96,IF(D16=0.01,2.576,"NA"))</f>
        <v>NA</v>
      </c>
    </row>
    <row r="18" spans="3:5">
      <c r="C18" s="1127" t="s">
        <v>874</v>
      </c>
      <c r="D18" s="278"/>
      <c r="E18" t="s">
        <v>1344</v>
      </c>
    </row>
    <row r="19" spans="3:5">
      <c r="C19" s="94" t="s">
        <v>1340</v>
      </c>
      <c r="D19" t="str">
        <f>IF(D18=0.05,1.96,IF(D18=0.01,2.576,"NA"))</f>
        <v>NA</v>
      </c>
    </row>
    <row r="21" spans="3:5">
      <c r="C21" s="286" t="s">
        <v>703</v>
      </c>
      <c r="D21" s="1129" t="e">
        <f>(((D17+D19)*D14)/D15)^2</f>
        <v>#VALUE!</v>
      </c>
    </row>
  </sheetData>
  <sheetProtection password="CC08" sheet="1" objects="1" scenarios="1"/>
  <protectedRanges>
    <protectedRange sqref="D3:D5 D14:D16 D18" name="Range1"/>
  </protectedRanges>
  <phoneticPr fontId="5" type="noConversion"/>
  <pageMargins left="0.75" right="0.75" top="1" bottom="1" header="0.5" footer="0.5"/>
  <headerFooter alignWithMargins="0"/>
  <legacyDrawing r:id="rId1"/>
  <controls>
    <control shapeId="81922" r:id="rId2" name="MainMenu"/>
  </controls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3"/>
  <dimension ref="B1:E8"/>
  <sheetViews>
    <sheetView showGridLines="0" zoomScale="145" workbookViewId="0">
      <selection activeCell="F9" sqref="F9"/>
    </sheetView>
  </sheetViews>
  <sheetFormatPr defaultRowHeight="12.75"/>
  <cols>
    <col min="3" max="3" width="10" bestFit="1" customWidth="1"/>
  </cols>
  <sheetData>
    <row r="1" spans="2:5">
      <c r="B1" t="s">
        <v>1372</v>
      </c>
    </row>
    <row r="3" spans="2:5">
      <c r="C3" s="290" t="s">
        <v>449</v>
      </c>
      <c r="D3" s="278"/>
      <c r="E3" s="413" t="s">
        <v>1342</v>
      </c>
    </row>
    <row r="4" spans="2:5">
      <c r="C4" s="1127" t="s">
        <v>1337</v>
      </c>
      <c r="D4" s="278"/>
      <c r="E4" s="413" t="s">
        <v>1342</v>
      </c>
    </row>
    <row r="5" spans="2:5">
      <c r="C5" s="1128" t="s">
        <v>460</v>
      </c>
      <c r="D5" s="278"/>
      <c r="E5" s="413" t="s">
        <v>1341</v>
      </c>
    </row>
    <row r="6" spans="2:5">
      <c r="C6" s="94" t="s">
        <v>1340</v>
      </c>
      <c r="D6" t="str">
        <f>IF(D5=0.05,4,IF(D5=0.01,9,"NA"))</f>
        <v>NA</v>
      </c>
    </row>
    <row r="8" spans="2:5">
      <c r="C8" s="286" t="s">
        <v>703</v>
      </c>
      <c r="D8" s="1129" t="e">
        <f>(D6*D3*(1-D3))/D4^2</f>
        <v>#VALUE!</v>
      </c>
    </row>
  </sheetData>
  <sheetProtection password="CC08" sheet="1" objects="1" scenarios="1"/>
  <protectedRanges>
    <protectedRange sqref="D3:D5" name="Range1"/>
  </protectedRanges>
  <phoneticPr fontId="5" type="noConversion"/>
  <pageMargins left="0.75" right="0.75" top="1" bottom="1" header="0.5" footer="0.5"/>
  <pageSetup orientation="portrait" r:id="rId1"/>
  <headerFooter alignWithMargins="0"/>
  <legacyDrawing r:id="rId2"/>
  <controls>
    <control shapeId="90113" r:id="rId3" name="MainMenu"/>
  </controls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6"/>
  <dimension ref="A1:G28"/>
  <sheetViews>
    <sheetView showGridLines="0" zoomScale="160" workbookViewId="0">
      <selection activeCell="J20" sqref="J20"/>
    </sheetView>
  </sheetViews>
  <sheetFormatPr defaultRowHeight="12.75"/>
  <cols>
    <col min="1" max="1" width="11.28515625" bestFit="1" customWidth="1"/>
    <col min="4" max="4" width="10.42578125" bestFit="1" customWidth="1"/>
    <col min="5" max="5" width="11" bestFit="1" customWidth="1"/>
  </cols>
  <sheetData>
    <row r="1" spans="1:7">
      <c r="B1" t="s">
        <v>1353</v>
      </c>
    </row>
    <row r="3" spans="1:7">
      <c r="A3" s="256"/>
      <c r="B3" s="257" t="s">
        <v>460</v>
      </c>
    </row>
    <row r="4" spans="1:7">
      <c r="A4" s="289" t="s">
        <v>460</v>
      </c>
      <c r="B4" s="1136">
        <v>0.05</v>
      </c>
      <c r="D4" s="183"/>
      <c r="E4" s="183"/>
      <c r="F4" s="183"/>
    </row>
    <row r="5" spans="1:7">
      <c r="A5" s="289" t="s">
        <v>1351</v>
      </c>
      <c r="B5" s="1132">
        <f>B4/2</f>
        <v>2.5000000000000001E-2</v>
      </c>
      <c r="D5" s="94"/>
      <c r="E5" s="94" t="s">
        <v>1349</v>
      </c>
      <c r="F5" s="183" t="s">
        <v>1350</v>
      </c>
    </row>
    <row r="6" spans="1:7">
      <c r="A6" s="1135" t="s">
        <v>1352</v>
      </c>
      <c r="B6" s="1132">
        <f>1-B4/2</f>
        <v>0.97499999999999998</v>
      </c>
      <c r="D6" s="1131"/>
      <c r="E6" s="1144">
        <f>B8</f>
        <v>0</v>
      </c>
      <c r="F6" s="1145">
        <f>B8*(1-B9)</f>
        <v>0</v>
      </c>
    </row>
    <row r="7" spans="1:7">
      <c r="D7" s="183"/>
      <c r="E7" s="1145" t="e">
        <f>E6/SQRT(CHIINV((1-B6),(B11-1))/(B11-1))</f>
        <v>#NUM!</v>
      </c>
      <c r="F7" s="1145" t="e">
        <f>F6/SQRT(CHIINV((1-B6),(B11-1))/(B11-1))</f>
        <v>#NUM!</v>
      </c>
      <c r="G7" t="s">
        <v>351</v>
      </c>
    </row>
    <row r="8" spans="1:7">
      <c r="A8" s="1135" t="s">
        <v>1346</v>
      </c>
      <c r="B8" s="1133"/>
      <c r="D8" s="183"/>
      <c r="E8" s="1145" t="e">
        <f>E6/SQRT(CHIINV((1-B5),(B11-1))/(B11-1))</f>
        <v>#NUM!</v>
      </c>
      <c r="F8" s="1145" t="e">
        <f>F6/SQRT(CHIINV((1-B5),(B11-1))/(B11-1))</f>
        <v>#NUM!</v>
      </c>
      <c r="G8" t="s">
        <v>350</v>
      </c>
    </row>
    <row r="9" spans="1:7">
      <c r="A9" s="1135" t="s">
        <v>1347</v>
      </c>
      <c r="B9" s="1133"/>
      <c r="D9" s="183"/>
      <c r="E9" s="183"/>
      <c r="F9" s="183"/>
    </row>
    <row r="11" spans="1:7">
      <c r="A11" s="286" t="s">
        <v>703</v>
      </c>
      <c r="B11" s="1129"/>
    </row>
    <row r="13" spans="1:7">
      <c r="A13" s="1134" t="s">
        <v>350</v>
      </c>
      <c r="B13" s="260" t="e">
        <f>F8</f>
        <v>#NUM!</v>
      </c>
    </row>
    <row r="14" spans="1:7">
      <c r="A14" s="1134" t="s">
        <v>351</v>
      </c>
      <c r="B14" s="260" t="e">
        <f>F7</f>
        <v>#NUM!</v>
      </c>
    </row>
    <row r="19" spans="1:2">
      <c r="A19" s="109" t="s">
        <v>1348</v>
      </c>
      <c r="B19" s="109" t="s">
        <v>527</v>
      </c>
    </row>
    <row r="20" spans="1:2">
      <c r="A20" s="109">
        <v>0.1</v>
      </c>
      <c r="B20" s="109">
        <v>700</v>
      </c>
    </row>
    <row r="21" spans="1:2">
      <c r="A21" s="109">
        <v>0.2</v>
      </c>
      <c r="B21" s="109">
        <v>150</v>
      </c>
    </row>
    <row r="22" spans="1:2">
      <c r="A22" s="109">
        <v>0.3</v>
      </c>
      <c r="B22" s="109">
        <v>62</v>
      </c>
    </row>
    <row r="23" spans="1:2">
      <c r="A23" s="109">
        <v>0.4</v>
      </c>
      <c r="B23" s="109">
        <v>32</v>
      </c>
    </row>
    <row r="24" spans="1:2">
      <c r="A24" s="109">
        <v>0.5</v>
      </c>
      <c r="B24" s="109">
        <v>20</v>
      </c>
    </row>
    <row r="25" spans="1:2">
      <c r="A25" s="109">
        <v>0.6</v>
      </c>
      <c r="B25" s="109">
        <v>12</v>
      </c>
    </row>
    <row r="26" spans="1:2">
      <c r="A26" s="109">
        <v>0.7</v>
      </c>
      <c r="B26" s="109">
        <v>8</v>
      </c>
    </row>
    <row r="27" spans="1:2">
      <c r="A27" s="109">
        <v>0.8</v>
      </c>
      <c r="B27" s="109">
        <v>5</v>
      </c>
    </row>
    <row r="28" spans="1:2">
      <c r="A28" s="109">
        <v>0.9</v>
      </c>
      <c r="B28" s="109">
        <v>4</v>
      </c>
    </row>
  </sheetData>
  <sheetProtection password="CC08" sheet="1" scenarios="1"/>
  <protectedRanges>
    <protectedRange sqref="B4 B8:B9 B11" name="Range1"/>
  </protectedRanges>
  <phoneticPr fontId="5" type="noConversion"/>
  <pageMargins left="0.75" right="0.75" top="1" bottom="1" header="0.5" footer="0.5"/>
  <pageSetup orientation="portrait" r:id="rId1"/>
  <headerFooter alignWithMargins="0"/>
  <drawing r:id="rId2"/>
  <legacyDrawing r:id="rId3"/>
  <controls>
    <control shapeId="84995" r:id="rId4" name="MainMenu"/>
  </controls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5"/>
  <dimension ref="A1:L40"/>
  <sheetViews>
    <sheetView workbookViewId="0">
      <selection activeCell="G4" sqref="G4"/>
    </sheetView>
  </sheetViews>
  <sheetFormatPr defaultRowHeight="12.75"/>
  <cols>
    <col min="1" max="1" width="6.85546875" customWidth="1"/>
    <col min="2" max="2" width="20.5703125" customWidth="1"/>
    <col min="3" max="3" width="18.5703125" customWidth="1"/>
    <col min="4" max="4" width="12.28515625" bestFit="1" customWidth="1"/>
    <col min="5" max="5" width="10.28515625" customWidth="1"/>
    <col min="6" max="6" width="12.5703125" customWidth="1"/>
    <col min="7" max="7" width="12" customWidth="1"/>
    <col min="8" max="9" width="10.140625" customWidth="1"/>
    <col min="10" max="10" width="16.140625" customWidth="1"/>
    <col min="11" max="11" width="16.28515625" customWidth="1"/>
  </cols>
  <sheetData>
    <row r="1" spans="1:9">
      <c r="A1" s="256"/>
      <c r="B1" s="257" t="s">
        <v>460</v>
      </c>
    </row>
    <row r="2" spans="1:9">
      <c r="A2" s="258" t="s">
        <v>460</v>
      </c>
      <c r="B2" s="259">
        <v>0.05</v>
      </c>
    </row>
    <row r="3" spans="1:9">
      <c r="A3" s="258" t="s">
        <v>480</v>
      </c>
      <c r="B3" s="260">
        <f>B2/2</f>
        <v>2.5000000000000001E-2</v>
      </c>
      <c r="C3" s="261"/>
      <c r="F3" s="262"/>
      <c r="G3" s="262"/>
      <c r="H3" s="262"/>
      <c r="I3" s="262"/>
    </row>
    <row r="4" spans="1:9">
      <c r="A4" s="263" t="s">
        <v>481</v>
      </c>
      <c r="B4" s="260">
        <f>1-B2/2</f>
        <v>0.97499999999999998</v>
      </c>
      <c r="D4" s="264"/>
      <c r="E4" s="264"/>
      <c r="F4" s="265"/>
      <c r="G4" s="266"/>
      <c r="H4" s="183"/>
      <c r="I4" s="183"/>
    </row>
    <row r="5" spans="1:9">
      <c r="D5" s="264"/>
      <c r="E5" s="264"/>
      <c r="F5" s="267"/>
      <c r="G5" s="266"/>
    </row>
    <row r="6" spans="1:9">
      <c r="B6" s="184" t="s">
        <v>470</v>
      </c>
      <c r="D6" s="264"/>
      <c r="E6" s="264"/>
      <c r="F6" s="267"/>
      <c r="G6" s="266"/>
    </row>
    <row r="7" spans="1:9" ht="12.75" customHeight="1">
      <c r="B7" s="1501" t="s">
        <v>471</v>
      </c>
      <c r="C7" s="1501" t="s">
        <v>472</v>
      </c>
      <c r="D7" s="1678" t="s">
        <v>555</v>
      </c>
      <c r="E7" s="1503" t="s">
        <v>453</v>
      </c>
      <c r="F7" s="1499" t="s">
        <v>1345</v>
      </c>
      <c r="G7" s="1500"/>
    </row>
    <row r="8" spans="1:9" ht="12.75" customHeight="1">
      <c r="B8" s="1502"/>
      <c r="C8" s="1502"/>
      <c r="D8" s="1679"/>
      <c r="E8" s="1504"/>
      <c r="F8" s="271" t="s">
        <v>351</v>
      </c>
      <c r="G8" s="272" t="s">
        <v>350</v>
      </c>
    </row>
    <row r="9" spans="1:9">
      <c r="B9" s="273"/>
      <c r="C9" s="273"/>
      <c r="D9" s="1125"/>
      <c r="E9" s="274"/>
      <c r="F9" s="1449" t="e">
        <f>D9/SQRT(CHIINV((1-B$4),(E9-1))/(E9-1))</f>
        <v>#NUM!</v>
      </c>
      <c r="G9" s="1449" t="e">
        <f>D9/SQRT(CHIINV((1-B$3),(E9-1))/(E9-1))</f>
        <v>#NUM!</v>
      </c>
    </row>
    <row r="10" spans="1:9">
      <c r="B10" s="278"/>
      <c r="C10" s="278"/>
      <c r="D10" s="1126"/>
      <c r="E10" s="274"/>
      <c r="F10" s="1449" t="e">
        <f>D10/SQRT(CHIINV((1-B$4),(E10-1))/(E10-1))</f>
        <v>#NUM!</v>
      </c>
      <c r="G10" s="1449" t="e">
        <f>D10/SQRT(CHIINV((1-B$3),(E10-1))/(E10-1))</f>
        <v>#NUM!</v>
      </c>
    </row>
    <row r="11" spans="1:9">
      <c r="B11" s="278"/>
      <c r="C11" s="278"/>
      <c r="D11" s="1126"/>
      <c r="E11" s="274"/>
      <c r="F11" s="1449" t="e">
        <f>D11/SQRT(CHIINV((1-B$4),(E11-1))/(E11-1))</f>
        <v>#NUM!</v>
      </c>
      <c r="G11" s="1449" t="e">
        <f>D11/SQRT(CHIINV((1-B$3),(E11-1))/(E11-1))</f>
        <v>#NUM!</v>
      </c>
    </row>
    <row r="12" spans="1:9">
      <c r="B12" s="278"/>
      <c r="C12" s="278"/>
      <c r="D12" s="1126"/>
      <c r="E12" s="274"/>
      <c r="F12" s="1449" t="e">
        <f>D12/SQRT(CHIINV((1-B$4),(E12-1))/(E12-1))</f>
        <v>#NUM!</v>
      </c>
      <c r="G12" s="1449" t="e">
        <f>D12/SQRT(CHIINV((1-B$3),(E12-1))/(E12-1))</f>
        <v>#NUM!</v>
      </c>
    </row>
    <row r="13" spans="1:9">
      <c r="B13" s="278"/>
      <c r="C13" s="278"/>
      <c r="D13" s="1126"/>
      <c r="E13" s="274"/>
      <c r="F13" s="1449" t="e">
        <f t="shared" ref="F13:F19" si="0">D13/SQRT(CHIINV((1-B$4),(E13-1))/(E13-1))</f>
        <v>#NUM!</v>
      </c>
      <c r="G13" s="1449" t="e">
        <f t="shared" ref="G13:G19" si="1">D13/SQRT(CHIINV((1-B$3),(E13-1))/(E13-1))</f>
        <v>#NUM!</v>
      </c>
    </row>
    <row r="14" spans="1:9">
      <c r="B14" s="278"/>
      <c r="C14" s="278"/>
      <c r="D14" s="278"/>
      <c r="E14" s="279"/>
      <c r="F14" s="1449" t="e">
        <f t="shared" si="0"/>
        <v>#NUM!</v>
      </c>
      <c r="G14" s="1449" t="e">
        <f t="shared" si="1"/>
        <v>#NUM!</v>
      </c>
    </row>
    <row r="15" spans="1:9" s="80" customFormat="1">
      <c r="A15"/>
      <c r="B15" s="278"/>
      <c r="C15" s="278"/>
      <c r="D15" s="278"/>
      <c r="E15" s="279"/>
      <c r="F15" s="1449" t="e">
        <f t="shared" si="0"/>
        <v>#NUM!</v>
      </c>
      <c r="G15" s="1449" t="e">
        <f t="shared" si="1"/>
        <v>#NUM!</v>
      </c>
      <c r="H15"/>
      <c r="I15"/>
    </row>
    <row r="16" spans="1:9" s="80" customFormat="1">
      <c r="A16"/>
      <c r="B16" s="278"/>
      <c r="C16" s="278"/>
      <c r="D16" s="278"/>
      <c r="E16" s="279"/>
      <c r="F16" s="1449" t="e">
        <f t="shared" si="0"/>
        <v>#NUM!</v>
      </c>
      <c r="G16" s="1449" t="e">
        <f t="shared" si="1"/>
        <v>#NUM!</v>
      </c>
      <c r="H16"/>
      <c r="I16"/>
    </row>
    <row r="17" spans="1:12" s="80" customFormat="1">
      <c r="A17"/>
      <c r="B17" s="278"/>
      <c r="C17" s="278"/>
      <c r="D17" s="278"/>
      <c r="E17" s="279"/>
      <c r="F17" s="1449" t="e">
        <f t="shared" si="0"/>
        <v>#NUM!</v>
      </c>
      <c r="G17" s="1449" t="e">
        <f t="shared" si="1"/>
        <v>#NUM!</v>
      </c>
      <c r="H17"/>
      <c r="I17"/>
    </row>
    <row r="18" spans="1:12" s="80" customFormat="1">
      <c r="A18"/>
      <c r="B18" s="278"/>
      <c r="C18" s="278"/>
      <c r="D18" s="278"/>
      <c r="E18" s="279"/>
      <c r="F18" s="1449" t="e">
        <f t="shared" si="0"/>
        <v>#NUM!</v>
      </c>
      <c r="G18" s="1449" t="e">
        <f t="shared" si="1"/>
        <v>#NUM!</v>
      </c>
      <c r="H18"/>
      <c r="I18"/>
    </row>
    <row r="19" spans="1:12" s="93" customFormat="1">
      <c r="A19"/>
      <c r="B19" s="278"/>
      <c r="C19" s="278"/>
      <c r="D19" s="278"/>
      <c r="E19" s="279"/>
      <c r="F19" s="1449" t="e">
        <f t="shared" si="0"/>
        <v>#NUM!</v>
      </c>
      <c r="G19" s="1449" t="e">
        <f t="shared" si="1"/>
        <v>#NUM!</v>
      </c>
      <c r="H19"/>
      <c r="I19"/>
    </row>
    <row r="20" spans="1:12">
      <c r="A20" s="80"/>
      <c r="B20" s="1435"/>
      <c r="C20" s="1435"/>
      <c r="D20" s="1435"/>
      <c r="E20" s="279"/>
      <c r="F20" s="1449" t="e">
        <f t="shared" ref="F20:F40" si="2">D20/SQRT(CHIINV((1-B$4),(E20-1))/(E20-1))</f>
        <v>#NUM!</v>
      </c>
      <c r="G20" s="1449" t="e">
        <f t="shared" ref="G20:G40" si="3">D20/SQRT(CHIINV((1-B$3),(E20-1))/(E20-1))</f>
        <v>#NUM!</v>
      </c>
    </row>
    <row r="21" spans="1:12" ht="12.75" customHeight="1">
      <c r="A21" s="93"/>
      <c r="B21" s="1435"/>
      <c r="C21" s="1435"/>
      <c r="D21" s="1435"/>
      <c r="E21" s="279"/>
      <c r="F21" s="1449" t="e">
        <f t="shared" si="2"/>
        <v>#NUM!</v>
      </c>
      <c r="G21" s="1449" t="e">
        <f t="shared" si="3"/>
        <v>#NUM!</v>
      </c>
      <c r="K21" s="280"/>
      <c r="L21" s="280"/>
    </row>
    <row r="22" spans="1:12">
      <c r="B22" s="1435"/>
      <c r="C22" s="1435"/>
      <c r="D22" s="1435"/>
      <c r="E22" s="279"/>
      <c r="F22" s="1449" t="e">
        <f t="shared" si="2"/>
        <v>#NUM!</v>
      </c>
      <c r="G22" s="1449" t="e">
        <f t="shared" si="3"/>
        <v>#NUM!</v>
      </c>
      <c r="K22" s="280"/>
      <c r="L22" s="280"/>
    </row>
    <row r="23" spans="1:12">
      <c r="B23" s="1435"/>
      <c r="C23" s="1435"/>
      <c r="D23" s="1435"/>
      <c r="E23" s="279"/>
      <c r="F23" s="1449" t="e">
        <f t="shared" si="2"/>
        <v>#NUM!</v>
      </c>
      <c r="G23" s="1449" t="e">
        <f t="shared" si="3"/>
        <v>#NUM!</v>
      </c>
    </row>
    <row r="24" spans="1:12">
      <c r="B24" s="1435"/>
      <c r="C24" s="1435"/>
      <c r="D24" s="1435"/>
      <c r="E24" s="279"/>
      <c r="F24" s="1449" t="e">
        <f t="shared" si="2"/>
        <v>#NUM!</v>
      </c>
      <c r="G24" s="1449" t="e">
        <f t="shared" si="3"/>
        <v>#NUM!</v>
      </c>
    </row>
    <row r="25" spans="1:12" ht="12.75" customHeight="1">
      <c r="B25" s="1435"/>
      <c r="C25" s="1435"/>
      <c r="D25" s="1435"/>
      <c r="E25" s="279"/>
      <c r="F25" s="1449" t="e">
        <f t="shared" si="2"/>
        <v>#NUM!</v>
      </c>
      <c r="G25" s="1449" t="e">
        <f t="shared" si="3"/>
        <v>#NUM!</v>
      </c>
      <c r="K25" s="280"/>
      <c r="L25" s="280"/>
    </row>
    <row r="26" spans="1:12">
      <c r="B26" s="1435"/>
      <c r="C26" s="1435"/>
      <c r="D26" s="1435"/>
      <c r="E26" s="279"/>
      <c r="F26" s="1449" t="e">
        <f t="shared" si="2"/>
        <v>#NUM!</v>
      </c>
      <c r="G26" s="1449" t="e">
        <f t="shared" si="3"/>
        <v>#NUM!</v>
      </c>
      <c r="K26" s="280"/>
      <c r="L26" s="280"/>
    </row>
    <row r="27" spans="1:12">
      <c r="B27" s="1435"/>
      <c r="C27" s="1435"/>
      <c r="D27" s="1435"/>
      <c r="E27" s="279"/>
      <c r="F27" s="1449" t="e">
        <f t="shared" si="2"/>
        <v>#NUM!</v>
      </c>
      <c r="G27" s="1449" t="e">
        <f t="shared" si="3"/>
        <v>#NUM!</v>
      </c>
      <c r="K27" s="280"/>
      <c r="L27" s="280"/>
    </row>
    <row r="28" spans="1:12">
      <c r="B28" s="1435"/>
      <c r="C28" s="1435"/>
      <c r="D28" s="1435"/>
      <c r="E28" s="279"/>
      <c r="F28" s="1449" t="e">
        <f t="shared" si="2"/>
        <v>#NUM!</v>
      </c>
      <c r="G28" s="1449" t="e">
        <f t="shared" si="3"/>
        <v>#NUM!</v>
      </c>
    </row>
    <row r="29" spans="1:12">
      <c r="B29" s="1435"/>
      <c r="C29" s="1435"/>
      <c r="D29" s="1435"/>
      <c r="E29" s="279"/>
      <c r="F29" s="1449" t="e">
        <f t="shared" si="2"/>
        <v>#NUM!</v>
      </c>
      <c r="G29" s="1449" t="e">
        <f t="shared" si="3"/>
        <v>#NUM!</v>
      </c>
    </row>
    <row r="30" spans="1:12">
      <c r="B30" s="1435"/>
      <c r="C30" s="1435"/>
      <c r="D30" s="1435"/>
      <c r="E30" s="279"/>
      <c r="F30" s="1449" t="e">
        <f t="shared" si="2"/>
        <v>#NUM!</v>
      </c>
      <c r="G30" s="1449" t="e">
        <f t="shared" si="3"/>
        <v>#NUM!</v>
      </c>
    </row>
    <row r="31" spans="1:12">
      <c r="B31" s="1435"/>
      <c r="C31" s="1435"/>
      <c r="D31" s="1435"/>
      <c r="E31" s="279"/>
      <c r="F31" s="1449" t="e">
        <f t="shared" si="2"/>
        <v>#NUM!</v>
      </c>
      <c r="G31" s="1449" t="e">
        <f t="shared" si="3"/>
        <v>#NUM!</v>
      </c>
    </row>
    <row r="32" spans="1:12">
      <c r="B32" s="1435"/>
      <c r="C32" s="1435"/>
      <c r="D32" s="1435"/>
      <c r="E32" s="279"/>
      <c r="F32" s="1449" t="e">
        <f t="shared" si="2"/>
        <v>#NUM!</v>
      </c>
      <c r="G32" s="1449" t="e">
        <f t="shared" si="3"/>
        <v>#NUM!</v>
      </c>
    </row>
    <row r="33" spans="2:9">
      <c r="B33" s="1435"/>
      <c r="C33" s="1435"/>
      <c r="D33" s="1435"/>
      <c r="E33" s="279"/>
      <c r="F33" s="1449" t="e">
        <f t="shared" si="2"/>
        <v>#NUM!</v>
      </c>
      <c r="G33" s="1449" t="e">
        <f t="shared" si="3"/>
        <v>#NUM!</v>
      </c>
    </row>
    <row r="34" spans="2:9">
      <c r="B34" s="1435"/>
      <c r="C34" s="1435"/>
      <c r="D34" s="1435"/>
      <c r="E34" s="279"/>
      <c r="F34" s="1449" t="e">
        <f t="shared" si="2"/>
        <v>#NUM!</v>
      </c>
      <c r="G34" s="1449" t="e">
        <f t="shared" si="3"/>
        <v>#NUM!</v>
      </c>
      <c r="I34" s="184"/>
    </row>
    <row r="35" spans="2:9">
      <c r="B35" s="1435"/>
      <c r="C35" s="1435"/>
      <c r="D35" s="1435"/>
      <c r="E35" s="279"/>
      <c r="F35" s="1449" t="e">
        <f t="shared" si="2"/>
        <v>#NUM!</v>
      </c>
      <c r="G35" s="1449" t="e">
        <f t="shared" si="3"/>
        <v>#NUM!</v>
      </c>
      <c r="I35" s="184"/>
    </row>
    <row r="36" spans="2:9">
      <c r="B36" s="1435"/>
      <c r="C36" s="1435"/>
      <c r="D36" s="1435"/>
      <c r="E36" s="279"/>
      <c r="F36" s="1449" t="e">
        <f t="shared" si="2"/>
        <v>#NUM!</v>
      </c>
      <c r="G36" s="1449" t="e">
        <f t="shared" si="3"/>
        <v>#NUM!</v>
      </c>
    </row>
    <row r="37" spans="2:9">
      <c r="B37" s="1435"/>
      <c r="C37" s="1435"/>
      <c r="D37" s="1435"/>
      <c r="E37" s="279"/>
      <c r="F37" s="1449" t="e">
        <f t="shared" si="2"/>
        <v>#NUM!</v>
      </c>
      <c r="G37" s="1449" t="e">
        <f t="shared" si="3"/>
        <v>#NUM!</v>
      </c>
    </row>
    <row r="38" spans="2:9">
      <c r="B38" s="1435"/>
      <c r="C38" s="1435"/>
      <c r="D38" s="1435"/>
      <c r="E38" s="279"/>
      <c r="F38" s="1449" t="e">
        <f t="shared" si="2"/>
        <v>#NUM!</v>
      </c>
      <c r="G38" s="1449" t="e">
        <f t="shared" si="3"/>
        <v>#NUM!</v>
      </c>
    </row>
    <row r="39" spans="2:9">
      <c r="B39" s="1435"/>
      <c r="C39" s="1435"/>
      <c r="D39" s="1435"/>
      <c r="E39" s="279"/>
      <c r="F39" s="1449" t="e">
        <f t="shared" si="2"/>
        <v>#NUM!</v>
      </c>
      <c r="G39" s="1449" t="e">
        <f t="shared" si="3"/>
        <v>#NUM!</v>
      </c>
    </row>
    <row r="40" spans="2:9">
      <c r="B40" s="1435"/>
      <c r="C40" s="1435"/>
      <c r="D40" s="1435"/>
      <c r="E40" s="279"/>
      <c r="F40" s="1449" t="e">
        <f t="shared" si="2"/>
        <v>#NUM!</v>
      </c>
      <c r="G40" s="1449" t="e">
        <f t="shared" si="3"/>
        <v>#NUM!</v>
      </c>
    </row>
  </sheetData>
  <sheetProtection password="CC08" sheet="1" objects="1" scenarios="1"/>
  <protectedRanges>
    <protectedRange sqref="B2 B9:E40" name="Range1"/>
  </protectedRanges>
  <mergeCells count="5">
    <mergeCell ref="F7:G7"/>
    <mergeCell ref="B7:B8"/>
    <mergeCell ref="C7:C8"/>
    <mergeCell ref="E7:E8"/>
    <mergeCell ref="D7:D8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control shapeId="83970" r:id="rId4" name="MainMenu"/>
  </controls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57"/>
  <dimension ref="A2:J20"/>
  <sheetViews>
    <sheetView showGridLines="0" workbookViewId="0">
      <selection activeCell="I4" sqref="I4"/>
    </sheetView>
  </sheetViews>
  <sheetFormatPr defaultRowHeight="12.75"/>
  <cols>
    <col min="1" max="1" width="10.85546875" customWidth="1"/>
    <col min="2" max="2" width="7.7109375" customWidth="1"/>
    <col min="3" max="3" width="6.5703125" customWidth="1"/>
    <col min="4" max="4" width="6.85546875" customWidth="1"/>
    <col min="5" max="5" width="7.5703125" customWidth="1"/>
  </cols>
  <sheetData>
    <row r="2" spans="1:10">
      <c r="C2" s="184" t="s">
        <v>1356</v>
      </c>
    </row>
    <row r="3" spans="1:10">
      <c r="C3" t="s">
        <v>88</v>
      </c>
      <c r="D3" t="s">
        <v>89</v>
      </c>
      <c r="E3" t="s">
        <v>434</v>
      </c>
    </row>
    <row r="4" spans="1:10">
      <c r="A4" s="184" t="s">
        <v>1145</v>
      </c>
      <c r="B4" t="s">
        <v>88</v>
      </c>
      <c r="C4" s="1079"/>
      <c r="D4" s="1079"/>
      <c r="E4" s="80">
        <f>C4+D4</f>
        <v>0</v>
      </c>
    </row>
    <row r="5" spans="1:10">
      <c r="A5" s="184" t="s">
        <v>1178</v>
      </c>
      <c r="B5" t="s">
        <v>89</v>
      </c>
      <c r="C5" s="1079"/>
      <c r="D5" s="1079"/>
      <c r="E5" s="80">
        <f>C5+D5</f>
        <v>0</v>
      </c>
    </row>
    <row r="6" spans="1:10">
      <c r="B6" t="s">
        <v>434</v>
      </c>
      <c r="C6" s="80">
        <f>C4+C5</f>
        <v>0</v>
      </c>
      <c r="D6" s="80">
        <f>D4+D5</f>
        <v>0</v>
      </c>
      <c r="E6" s="80">
        <f>E4+E5</f>
        <v>0</v>
      </c>
    </row>
    <row r="8" spans="1:10">
      <c r="E8" s="184" t="s">
        <v>1357</v>
      </c>
    </row>
    <row r="9" spans="1:10">
      <c r="E9" t="s">
        <v>1358</v>
      </c>
      <c r="F9" t="s">
        <v>1359</v>
      </c>
    </row>
    <row r="10" spans="1:10">
      <c r="A10" s="184" t="s">
        <v>102</v>
      </c>
      <c r="B10" s="1141" t="e">
        <f>100*C4/C6</f>
        <v>#DIV/0!</v>
      </c>
      <c r="C10" t="s">
        <v>1360</v>
      </c>
      <c r="E10" s="1142">
        <f>100*((C4+2)/(C6+4)-(1.96*SQRT(((C4+2)/(C6+4))*(1-(C4+2)/(C6+4))/(C6+4))))</f>
        <v>1.0000000000000009</v>
      </c>
      <c r="F10" s="1142">
        <f>100*((C4+2)/(C6+4)+(1.96*SQRT(((C4+2)/(C6+4))*(1-(C4+2)/(C6+4))/(C6+4))))</f>
        <v>99</v>
      </c>
    </row>
    <row r="11" spans="1:10">
      <c r="A11" s="184" t="s">
        <v>103</v>
      </c>
      <c r="B11" s="1141" t="e">
        <f>100*D5/D6</f>
        <v>#DIV/0!</v>
      </c>
      <c r="C11" t="s">
        <v>1360</v>
      </c>
      <c r="E11" s="1142">
        <f>100*((D5+2)/(D6+4)-(1.96*SQRT(((D5+2)/(D6+4))*(1-(D5+2)/(D6+4))/(D6+4))))</f>
        <v>1.0000000000000009</v>
      </c>
      <c r="F11" s="1142">
        <f>100*((D5+2)/(D6+4)+(1.96*SQRT(((D5+2)/(D6+4))*(1-(D5+2)/(D6+4))/(D6+4))))</f>
        <v>99</v>
      </c>
    </row>
    <row r="14" spans="1:10">
      <c r="A14" s="184" t="s">
        <v>1361</v>
      </c>
      <c r="I14" t="s">
        <v>1362</v>
      </c>
      <c r="J14" t="s">
        <v>1363</v>
      </c>
    </row>
    <row r="15" spans="1:10">
      <c r="A15" s="184" t="s">
        <v>1364</v>
      </c>
      <c r="B15" s="1143" t="e">
        <f>(((C4+D5)/E6)-(((C4+C5)*(C4+D4)+(D4+D5)*(C5+D5))/(E6*E6)))/(1-(((C4+C5)*(C4+D4)+(D4+D5)*(C5+D5))/(E6*E6)))</f>
        <v>#DIV/0!</v>
      </c>
      <c r="G15" s="184" t="s">
        <v>1365</v>
      </c>
      <c r="I15" s="294" t="e">
        <f>(C4/C6)/(D4/D6)</f>
        <v>#DIV/0!</v>
      </c>
      <c r="J15" s="294" t="e">
        <f>100*(C5/C6)/(D5/D6)</f>
        <v>#DIV/0!</v>
      </c>
    </row>
    <row r="17" spans="1:10">
      <c r="A17" s="184" t="s">
        <v>1366</v>
      </c>
      <c r="C17" s="113" t="e">
        <f>100*D4/D6</f>
        <v>#DIV/0!</v>
      </c>
      <c r="D17" t="s">
        <v>1360</v>
      </c>
      <c r="G17" s="184" t="s">
        <v>1367</v>
      </c>
      <c r="I17" s="113" t="e">
        <f>100*C4/E4</f>
        <v>#DIV/0!</v>
      </c>
      <c r="J17" t="s">
        <v>1360</v>
      </c>
    </row>
    <row r="18" spans="1:10">
      <c r="A18" s="184" t="s">
        <v>1368</v>
      </c>
      <c r="C18" s="113" t="e">
        <f>100*C5/C6</f>
        <v>#DIV/0!</v>
      </c>
      <c r="D18" t="s">
        <v>1360</v>
      </c>
      <c r="G18" s="325" t="s">
        <v>1369</v>
      </c>
    </row>
    <row r="19" spans="1:10">
      <c r="A19" s="184" t="s">
        <v>104</v>
      </c>
      <c r="C19" s="113" t="e">
        <f>100*C6/E6</f>
        <v>#DIV/0!</v>
      </c>
      <c r="D19" t="s">
        <v>1360</v>
      </c>
      <c r="G19" s="184" t="s">
        <v>1370</v>
      </c>
      <c r="I19" s="113" t="e">
        <f>100*D5/E5</f>
        <v>#DIV/0!</v>
      </c>
      <c r="J19" t="s">
        <v>1360</v>
      </c>
    </row>
    <row r="20" spans="1:10">
      <c r="A20" s="184" t="s">
        <v>1371</v>
      </c>
      <c r="C20" s="113" t="e">
        <f>100*(C4+D5)/E6</f>
        <v>#DIV/0!</v>
      </c>
      <c r="D20" t="s">
        <v>1360</v>
      </c>
      <c r="G20" s="325" t="s">
        <v>1369</v>
      </c>
    </row>
  </sheetData>
  <sheetProtection password="CC08" sheet="1" scenarios="1"/>
  <protectedRanges>
    <protectedRange sqref="C4:D5" name="Range1"/>
  </protectedRanges>
  <phoneticPr fontId="0" type="noConversion"/>
  <pageMargins left="0.75" right="0.75" top="1" bottom="1" header="0.5" footer="0.5"/>
  <pageSetup orientation="portrait" r:id="rId1"/>
  <headerFooter alignWithMargins="0"/>
  <legacyDrawing r:id="rId2"/>
  <controls>
    <control shapeId="91137" r:id="rId3" name="MainMenu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46</vt:i4>
      </vt:variant>
    </vt:vector>
  </HeadingPairs>
  <TitlesOfParts>
    <vt:vector size="105" baseType="lpstr">
      <vt:lpstr>Menu</vt:lpstr>
      <vt:lpstr>Hypothesis Testing</vt:lpstr>
      <vt:lpstr>SPC Decisions</vt:lpstr>
      <vt:lpstr>Kappa</vt:lpstr>
      <vt:lpstr>Group Kappa</vt:lpstr>
      <vt:lpstr>Discrimination Plot</vt:lpstr>
      <vt:lpstr>GR&amp;R Reproducibility</vt:lpstr>
      <vt:lpstr>GR&amp;R Equipment Bias</vt:lpstr>
      <vt:lpstr>Method Comparison</vt:lpstr>
      <vt:lpstr>Chi Square</vt:lpstr>
      <vt:lpstr>2 Sample Small dpu</vt:lpstr>
      <vt:lpstr>EXACT Binomial Limits</vt:lpstr>
      <vt:lpstr>Binomial Normal Approximation</vt:lpstr>
      <vt:lpstr>Poisson Exact</vt:lpstr>
      <vt:lpstr>Zsigma to PPM</vt:lpstr>
      <vt:lpstr>ppm-Ppk</vt:lpstr>
      <vt:lpstr>Sample Plan Generator</vt:lpstr>
      <vt:lpstr>p Sample Size</vt:lpstr>
      <vt:lpstr>dpu n FTY</vt:lpstr>
      <vt:lpstr>YIELD INDICES</vt:lpstr>
      <vt:lpstr>np=0</vt:lpstr>
      <vt:lpstr>Attributes n</vt:lpstr>
      <vt:lpstr>Truncated</vt:lpstr>
      <vt:lpstr>Attributes</vt:lpstr>
      <vt:lpstr>dpo &amp; Rolled Yield</vt:lpstr>
      <vt:lpstr>formulas</vt:lpstr>
      <vt:lpstr>Conf Int Proportions</vt:lpstr>
      <vt:lpstr>Multiple Parts</vt:lpstr>
      <vt:lpstr>2 Parts</vt:lpstr>
      <vt:lpstr>Factor Tables</vt:lpstr>
      <vt:lpstr>Pass-Fail, Count</vt:lpstr>
      <vt:lpstr>End Count Calculator</vt:lpstr>
      <vt:lpstr>2^3 DOE</vt:lpstr>
      <vt:lpstr>2^4 DOE</vt:lpstr>
      <vt:lpstr>Stability and Capability</vt:lpstr>
      <vt:lpstr>ANOM</vt:lpstr>
      <vt:lpstr>ANOM % Defective</vt:lpstr>
      <vt:lpstr>Regression</vt:lpstr>
      <vt:lpstr>Simple Hi vs Lo</vt:lpstr>
      <vt:lpstr>Large Hi vs Lo</vt:lpstr>
      <vt:lpstr>Bounded Test</vt:lpstr>
      <vt:lpstr>Random V2.0</vt:lpstr>
      <vt:lpstr>Realistic Tolerancing</vt:lpstr>
      <vt:lpstr>Tool Wear Targets</vt:lpstr>
      <vt:lpstr>True Position</vt:lpstr>
      <vt:lpstr>Sens and Spec</vt:lpstr>
      <vt:lpstr>McNemars Test</vt:lpstr>
      <vt:lpstr>2^2 DOE</vt:lpstr>
      <vt:lpstr>Component of Variation MSA</vt:lpstr>
      <vt:lpstr>p chart</vt:lpstr>
      <vt:lpstr>n=1</vt:lpstr>
      <vt:lpstr>n=2</vt:lpstr>
      <vt:lpstr>n=3</vt:lpstr>
      <vt:lpstr>n=5</vt:lpstr>
      <vt:lpstr>Sample Size-continuous</vt:lpstr>
      <vt:lpstr>Sample Size-categorical</vt:lpstr>
      <vt:lpstr>SD Sample Size</vt:lpstr>
      <vt:lpstr>Standard Deviations</vt:lpstr>
      <vt:lpstr>SeSp CI</vt:lpstr>
      <vt:lpstr>'Stability and Capability'!avg</vt:lpstr>
      <vt:lpstr>'Stability and Capability'!cellwidth</vt:lpstr>
      <vt:lpstr>'Stability and Capability'!cellwidth1</vt:lpstr>
      <vt:lpstr>'Stability and Capability'!cellwidthadjust</vt:lpstr>
      <vt:lpstr>'Stability and Capability'!cellwidthadjust2</vt:lpstr>
      <vt:lpstr>'Stability and Capability'!datamax</vt:lpstr>
      <vt:lpstr>'Stability and Capability'!datamin</vt:lpstr>
      <vt:lpstr>'Stability and Capability'!graphmax</vt:lpstr>
      <vt:lpstr>'Stability and Capability'!graphmin</vt:lpstr>
      <vt:lpstr>'Stability and Capability'!LSL</vt:lpstr>
      <vt:lpstr>'Bounded Test'!N</vt:lpstr>
      <vt:lpstr>'Large Hi vs Lo'!N</vt:lpstr>
      <vt:lpstr>'Stability and Capability'!n</vt:lpstr>
      <vt:lpstr>'2 Parts'!Print_Area</vt:lpstr>
      <vt:lpstr>'2^2 DOE'!Print_Area</vt:lpstr>
      <vt:lpstr>'2^3 DOE'!Print_Area</vt:lpstr>
      <vt:lpstr>'2^4 DOE'!Print_Area</vt:lpstr>
      <vt:lpstr>ANOM!Print_Area</vt:lpstr>
      <vt:lpstr>'ANOM % Defective'!Print_Area</vt:lpstr>
      <vt:lpstr>'Bounded Test'!Print_Area</vt:lpstr>
      <vt:lpstr>'Discrimination Plot'!Print_Area</vt:lpstr>
      <vt:lpstr>'GR&amp;R Equipment Bias'!Print_Area</vt:lpstr>
      <vt:lpstr>'GR&amp;R Reproducibility'!Print_Area</vt:lpstr>
      <vt:lpstr>'Hypothesis Testing'!Print_Area</vt:lpstr>
      <vt:lpstr>Kappa!Print_Area</vt:lpstr>
      <vt:lpstr>'Large Hi vs Lo'!Print_Area</vt:lpstr>
      <vt:lpstr>Menu!Print_Area</vt:lpstr>
      <vt:lpstr>'Method Comparison'!Print_Area</vt:lpstr>
      <vt:lpstr>'Multiple Parts'!Print_Area</vt:lpstr>
      <vt:lpstr>'n=1'!Print_Area</vt:lpstr>
      <vt:lpstr>'n=2'!Print_Area</vt:lpstr>
      <vt:lpstr>'n=3'!Print_Area</vt:lpstr>
      <vt:lpstr>'n=5'!Print_Area</vt:lpstr>
      <vt:lpstr>'p chart'!Print_Area</vt:lpstr>
      <vt:lpstr>'Pass-Fail, Count'!Print_Area</vt:lpstr>
      <vt:lpstr>Regression!Print_Area</vt:lpstr>
      <vt:lpstr>'Sample Plan Generator'!Print_Area</vt:lpstr>
      <vt:lpstr>'Sens and Spec'!Print_Area</vt:lpstr>
      <vt:lpstr>'Simple Hi vs Lo'!Print_Area</vt:lpstr>
      <vt:lpstr>'SPC Decisions'!Print_Area</vt:lpstr>
      <vt:lpstr>'Tool Wear Targets'!Print_Area</vt:lpstr>
      <vt:lpstr>'True Position'!Print_Area</vt:lpstr>
      <vt:lpstr>'Stability and Capability'!rawcell</vt:lpstr>
      <vt:lpstr>'Stability and Capability'!rawcellwidth</vt:lpstr>
      <vt:lpstr>'Stability and Capability'!s</vt:lpstr>
      <vt:lpstr>'Stability and Capability'!USL</vt:lpstr>
    </vt:vector>
  </TitlesOfParts>
  <Company>IDEXX Laboratories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Six Sigma Tools</dc:title>
  <dc:creator>Bev Daniels, TJ Cowie, Jason Aguiar</dc:creator>
  <dc:description>This spreadsheet contains tools used in the analysis of data using Six Sigma methodologies.</dc:description>
  <cp:lastModifiedBy>Joe Rotford</cp:lastModifiedBy>
  <cp:lastPrinted>2009-05-28T13:09:48Z</cp:lastPrinted>
  <dcterms:created xsi:type="dcterms:W3CDTF">1997-10-15T14:10:21Z</dcterms:created>
  <dcterms:modified xsi:type="dcterms:W3CDTF">2011-02-25T18:15:26Z</dcterms:modified>
</cp:coreProperties>
</file>