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ericanredcross-my.sharepoint.com/personal/nadav_rindler_redcross_org/Documents/Training/GTxOMSA/Practicum/"/>
    </mc:Choice>
  </mc:AlternateContent>
  <xr:revisionPtr revIDLastSave="122" documentId="8_{D47D953C-B33B-4B5C-83E1-641A0EC86A99}" xr6:coauthVersionLast="47" xr6:coauthVersionMax="47" xr10:uidLastSave="{AC5D516A-FDE1-478F-9BB6-6985EE75DE8C}"/>
  <bookViews>
    <workbookView xWindow="20370" yWindow="-120" windowWidth="29040" windowHeight="15840" xr2:uid="{BE1A5606-3FFC-4AED-8BAC-18569CFBB1E3}"/>
  </bookViews>
  <sheets>
    <sheet name="Summary" sheetId="1" r:id="rId1"/>
    <sheet name="Summary_TruncData" sheetId="6" r:id="rId2"/>
    <sheet name="results" sheetId="5" r:id="rId3"/>
    <sheet name="Confusion Matri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6" l="1"/>
  <c r="L19" i="6"/>
  <c r="Q19" i="6"/>
  <c r="L18" i="6"/>
  <c r="Q18" i="6"/>
  <c r="L17" i="6"/>
  <c r="Q17" i="6"/>
  <c r="L16" i="6"/>
  <c r="Q16" i="6"/>
  <c r="G11" i="6"/>
  <c r="G10" i="6"/>
  <c r="G9" i="6"/>
  <c r="K8" i="6"/>
  <c r="G8" i="6"/>
  <c r="C6" i="6"/>
  <c r="G6" i="6" s="1"/>
  <c r="C5" i="6"/>
  <c r="G5" i="6" s="1"/>
  <c r="C4" i="6"/>
  <c r="C3" i="6"/>
  <c r="AD21" i="5"/>
  <c r="AC21" i="5"/>
  <c r="AD20" i="5"/>
  <c r="AC20" i="5"/>
  <c r="AC16" i="5"/>
  <c r="AD16" i="5"/>
  <c r="AC17" i="5"/>
  <c r="AD17" i="5"/>
  <c r="AC18" i="5"/>
  <c r="AD18" i="5"/>
  <c r="AD15" i="5"/>
  <c r="AC15" i="5"/>
  <c r="L17" i="1"/>
  <c r="L18" i="1"/>
  <c r="L19" i="1"/>
  <c r="L21" i="1" s="1"/>
  <c r="L16" i="1"/>
  <c r="L20" i="1" s="1"/>
  <c r="R17" i="1"/>
  <c r="R18" i="1"/>
  <c r="R19" i="1"/>
  <c r="R21" i="1" s="1"/>
  <c r="R16" i="1"/>
  <c r="R20" i="1" s="1"/>
  <c r="M12" i="1"/>
  <c r="K14" i="1"/>
  <c r="K13" i="1"/>
  <c r="K12" i="1"/>
  <c r="K10" i="1"/>
  <c r="K9" i="1"/>
  <c r="M9" i="1" s="1"/>
  <c r="K8" i="1"/>
  <c r="G14" i="1"/>
  <c r="M14" i="1" s="1"/>
  <c r="G13" i="1"/>
  <c r="M13" i="1" s="1"/>
  <c r="G12" i="1"/>
  <c r="G11" i="1"/>
  <c r="M11" i="1" s="1"/>
  <c r="G10" i="1"/>
  <c r="M10" i="1" s="1"/>
  <c r="G9" i="1"/>
  <c r="G8" i="1"/>
  <c r="M8" i="1" s="1"/>
  <c r="G7" i="1"/>
  <c r="M7" i="1" s="1"/>
  <c r="Q14" i="1"/>
  <c r="Q10" i="1"/>
  <c r="Q8" i="1"/>
  <c r="Q21" i="6" l="1"/>
  <c r="L21" i="6"/>
  <c r="Q20" i="6"/>
  <c r="L20" i="6"/>
  <c r="K6" i="6"/>
  <c r="P6" i="6"/>
  <c r="C4" i="1"/>
  <c r="C5" i="1"/>
  <c r="K5" i="1" s="1"/>
  <c r="C6" i="1"/>
  <c r="C3" i="1"/>
  <c r="G6" i="1" l="1"/>
  <c r="K6" i="1"/>
  <c r="G4" i="1"/>
  <c r="M4" i="1" s="1"/>
  <c r="K4" i="1"/>
  <c r="G3" i="1"/>
  <c r="M3" i="1" s="1"/>
  <c r="G5" i="1"/>
  <c r="M5" i="1" s="1"/>
  <c r="Q6" i="1"/>
  <c r="Q4" i="1"/>
  <c r="M6" i="1" l="1"/>
</calcChain>
</file>

<file path=xl/sharedStrings.xml><?xml version="1.0" encoding="utf-8"?>
<sst xmlns="http://schemas.openxmlformats.org/spreadsheetml/2006/main" count="573" uniqueCount="177">
  <si>
    <t>Test</t>
  </si>
  <si>
    <t>Bearing</t>
  </si>
  <si>
    <t>Failed?</t>
  </si>
  <si>
    <t># Obs.</t>
  </si>
  <si>
    <t>N</t>
  </si>
  <si>
    <t>Y</t>
  </si>
  <si>
    <t>Confusion Matrix</t>
  </si>
  <si>
    <t>ACTUAL</t>
  </si>
  <si>
    <t>PREDICTED</t>
  </si>
  <si>
    <t>[1973]</t>
  </si>
  <si>
    <t>[1961]</t>
  </si>
  <si>
    <t>[1667, 1905]</t>
  </si>
  <si>
    <t>[1307, 1594]</t>
  </si>
  <si>
    <t>[975]</t>
  </si>
  <si>
    <t>[875, 966]</t>
  </si>
  <si>
    <t>[860, 981]</t>
  </si>
  <si>
    <t>[861, 982]</t>
  </si>
  <si>
    <t>[6174, 6323]</t>
  </si>
  <si>
    <t>[350, 5967, 6323]</t>
  </si>
  <si>
    <t>x</t>
  </si>
  <si>
    <t>[]</t>
  </si>
  <si>
    <t>[1875]</t>
  </si>
  <si>
    <t>[1198, 1683]</t>
  </si>
  <si>
    <t>[880, 984]</t>
  </si>
  <si>
    <t>[896]</t>
  </si>
  <si>
    <t>[5655]</t>
  </si>
  <si>
    <t>N/A</t>
  </si>
  <si>
    <t>FN</t>
  </si>
  <si>
    <t>TP</t>
  </si>
  <si>
    <t>TN</t>
  </si>
  <si>
    <t>Classification Outcome**</t>
  </si>
  <si>
    <t># Segments</t>
  </si>
  <si>
    <t>CPs</t>
  </si>
  <si>
    <t>Manual Labels</t>
  </si>
  <si>
    <t>[1911]</t>
  </si>
  <si>
    <t>[1591]</t>
  </si>
  <si>
    <t>[1307]</t>
  </si>
  <si>
    <t>[939]</t>
  </si>
  <si>
    <t>[984]</t>
  </si>
  <si>
    <t>[769, 910]</t>
  </si>
  <si>
    <t>[3931, 5608]</t>
  </si>
  <si>
    <t>[6084]</t>
  </si>
  <si>
    <t>[6125]</t>
  </si>
  <si>
    <t>FP</t>
  </si>
  <si>
    <t>First Change Detection as % of Total Time*</t>
  </si>
  <si>
    <t>% in Advance of Manual CP</t>
  </si>
  <si>
    <t>Sensitivity</t>
  </si>
  <si>
    <t>Specificity</t>
  </si>
  <si>
    <t>*When was state change first detected, as a percentage of the experiment's total duration?</t>
  </si>
  <si>
    <t>**Classification outcome for the Time Series segmentation models were evaluated against the manual labels.</t>
  </si>
  <si>
    <t>[(6280, [6078]), (6340, [6055])]</t>
  </si>
  <si>
    <t>[(6340, [5656, 6003])]</t>
  </si>
  <si>
    <t>suss</t>
  </si>
  <si>
    <t>[6039]</t>
  </si>
  <si>
    <t>Data/IMS/TS/ts_T3_b4x_ds10.csv</t>
  </si>
  <si>
    <t>Test 3 - Bearing 4x - Smoothed Max. Acceleration</t>
  </si>
  <si>
    <t>Test 3 - Bearing 4x - EMA Kurtosis</t>
  </si>
  <si>
    <t>ts3_b4x</t>
  </si>
  <si>
    <t>b4x</t>
  </si>
  <si>
    <t>Test 3</t>
  </si>
  <si>
    <t>[(6280, [5892]), (6340, [5760])]</t>
  </si>
  <si>
    <t>[(1900, [1539]), (1960, [1539]), (2980, [1540]), (3040, [1539]), (3100, [1540]), (3160, [1539]), (3220, [1539])]</t>
  </si>
  <si>
    <t>[6106]</t>
  </si>
  <si>
    <t>[6193]</t>
  </si>
  <si>
    <t>[5729]</t>
  </si>
  <si>
    <t>Data/IMS/TS/ts_T3_b3x_ds10.csv</t>
  </si>
  <si>
    <t>Test 3 - Bearing 3x - Smoothed Max. Acceleration</t>
  </si>
  <si>
    <t>Test 3 - Bearing 3x - EMA Kurtosis</t>
  </si>
  <si>
    <t>ts3_b3x</t>
  </si>
  <si>
    <t>b3x</t>
  </si>
  <si>
    <t>[(1780, [1559]), (2080, [1408]), (2140, [1291]), (2260, [1291]), (2320, [1291]), (2380, [1297]), (2440, [1297]), (2500, [1334]), (2560, [1334]), (2620, [1334]), (2680, [1338]), (5440, [3256]), (5500, [3256]), (5680, [3256]), (5800, [3255]), (5860, [3877]), (5920, [3877]), (6280, [5599]), (6340, [3931, 5608])]</t>
  </si>
  <si>
    <t>Data/IMS/TS/ts_T3_b2x_ds10.csv</t>
  </si>
  <si>
    <t>Test 3 - Bearing 2x - Smoothed Max. Acceleration</t>
  </si>
  <si>
    <t>Test 3 - Bearing 2x - EMA Kurtosis</t>
  </si>
  <si>
    <t>ts3_b2x</t>
  </si>
  <si>
    <t>b2x</t>
  </si>
  <si>
    <t>[350, 5967]</t>
  </si>
  <si>
    <t>[(940, [432]), (1000, [432]), (1060, [431]), (1120, [399])]</t>
  </si>
  <si>
    <t>[(820, [475]), (1060, [426]), (1120, [466]), (1180, [421]), (1420, [414]), (1600, [466]), (1660, [466]), (1840, [466]), (1960, [466]), (5260, [4796]), (5320, [4785]), (5680, [4756])]</t>
  </si>
  <si>
    <t>Data/IMS/TS/ts_T3_b1x_ds10.csv</t>
  </si>
  <si>
    <t>Test 3 - Bearing 1x - Smoothed Max. Acceleration</t>
  </si>
  <si>
    <t>Test 3 - Bearing 1x - EMA Kurtosis</t>
  </si>
  <si>
    <t>ts3_b1x</t>
  </si>
  <si>
    <t>b1x</t>
  </si>
  <si>
    <t>[861]</t>
  </si>
  <si>
    <t>[876]</t>
  </si>
  <si>
    <t>[653]</t>
  </si>
  <si>
    <t>Data/IMS/TS/ts_T2_b4x_ds10.csv</t>
  </si>
  <si>
    <t>Test 2 - Bearing 4x - Smoothed Max. Acceleration</t>
  </si>
  <si>
    <t>Test 2 - Bearing 4x - EMA Kurtosis</t>
  </si>
  <si>
    <t>ts2_b4x</t>
  </si>
  <si>
    <t>Test 2</t>
  </si>
  <si>
    <t>[867]</t>
  </si>
  <si>
    <t>[860]</t>
  </si>
  <si>
    <t>[(940, [864]), (950, [867]), (960, [867]), (970, [867]), (980, [867])]</t>
  </si>
  <si>
    <t>[739]</t>
  </si>
  <si>
    <t>[840]</t>
  </si>
  <si>
    <t>[678]</t>
  </si>
  <si>
    <t>Data/IMS/TS/ts_T2_b3x_ds10.csv</t>
  </si>
  <si>
    <t>Test 2 - Bearing 3x - Smoothed Max. Acceleration</t>
  </si>
  <si>
    <t>Test 2 - Bearing 3x - EMA Kurtosis</t>
  </si>
  <si>
    <t>ts2_b3x</t>
  </si>
  <si>
    <t>[880]</t>
  </si>
  <si>
    <t>[875]</t>
  </si>
  <si>
    <t>[(920, [868]), (930, [880]), (940, [880]), (950, [893]), (960, [880]), (970, [880]), (980, [880]), (990, [880])]</t>
  </si>
  <si>
    <t>[732]</t>
  </si>
  <si>
    <t>[850]</t>
  </si>
  <si>
    <t>[649]</t>
  </si>
  <si>
    <t>Data/IMS/TS/ts_T2_b2x_ds10.csv</t>
  </si>
  <si>
    <t>Test 2 - Bearing 2x - Smoothed Max. Acceleration</t>
  </si>
  <si>
    <t>Test 2 - Bearing 2x - EMA Kurtosis</t>
  </si>
  <si>
    <t>ts2_b2x</t>
  </si>
  <si>
    <t>[(940, [870]), (950, [876]), (960, [876]), (970, [876]), (980, [876]), (990, [876])]</t>
  </si>
  <si>
    <t>[599]</t>
  </si>
  <si>
    <t>Data/IMS/TS/ts_T2_b1x_ds10.csv</t>
  </si>
  <si>
    <t>Test 2 - Bearing 1x - Smoothed Max. Acceleration</t>
  </si>
  <si>
    <t>Test 2 - Bearing 1x - EMA Kurtosis</t>
  </si>
  <si>
    <t>ts2_b1x</t>
  </si>
  <si>
    <t>[1308]</t>
  </si>
  <si>
    <t>[1199]</t>
  </si>
  <si>
    <t>[(1620, [1241]), (1640, [1246]), (1660, [1248]), (1680, [1248]), (1700, [1252]), (1720, [1305]), (1740, [1341]), (1760, [1341]), (1780, [1308]), (1800, [1308]), (1820, [1308]), (1840, [1308]), (1860, [1308]), (1880, [1308]), (1900, [1308]), (1920, [1308]), (1940, [1308]), (1960, [1308]), (1980, [1308]), (2000, [1308])]</t>
  </si>
  <si>
    <t>[(1580, [1197]), (1600, [1199]), (1620, [1197]), (1640, [1197]), (1660, [1199]), (1680, [1199]), (1700, [1199]), (1720, [1199]), (1740, [1199]), (1760, [1199]), (1780, [1199]), (1800, [1199]), (1820, [1199]), (1840, [1199]), (1860, [1199]), (1880, [1199]), (1900, [1199]), (1920, [1199]), (1940, [1199]), (1960, [1201]), (1980, [1201]), (2000, [1201])]</t>
  </si>
  <si>
    <t>[1201]</t>
  </si>
  <si>
    <t>Data/IMS/TS/ts_b4x_ds10.csv</t>
  </si>
  <si>
    <t>Test 1 - Bearing 4x - Smoothed Max. Acceleration</t>
  </si>
  <si>
    <t>Test 1 - Bearing 4x - EMA Kurtosis</t>
  </si>
  <si>
    <t>ts1_b4x</t>
  </si>
  <si>
    <t>Test 1</t>
  </si>
  <si>
    <t>[1667]</t>
  </si>
  <si>
    <t>[(2000, [1589])]</t>
  </si>
  <si>
    <t>[1896]</t>
  </si>
  <si>
    <t>[1589]</t>
  </si>
  <si>
    <t>Data/IMS/TS/ts_b3x_ds10.csv</t>
  </si>
  <si>
    <t>Test 1 - Bearing 3x - Smoothed Max. Acceleration</t>
  </si>
  <si>
    <t>Test 1 - Bearing 3x - EMA Kurtosis</t>
  </si>
  <si>
    <t>ts1_b3x</t>
  </si>
  <si>
    <t>[(640, [299])]</t>
  </si>
  <si>
    <t>Data/IMS/TS/ts_b2x_ds10.csv</t>
  </si>
  <si>
    <t>Test 1 - Bearing 2x - Smoothed Max. Acceleration</t>
  </si>
  <si>
    <t>Test 1 - Bearing 2x - EMA Kurtosis</t>
  </si>
  <si>
    <t>ts1_b2x</t>
  </si>
  <si>
    <t>Data/IMS/TS/ts_b1x_ds10.csv</t>
  </si>
  <si>
    <t>Test 1 - Bearing 1x - Smoothed Max. Acceleration</t>
  </si>
  <si>
    <t>Test 1 - Bearing 1x - EMA Kurtosis</t>
  </si>
  <si>
    <t>ts1_b1x</t>
  </si>
  <si>
    <t>SMA_trunc</t>
  </si>
  <si>
    <t>EKT_trunc</t>
  </si>
  <si>
    <t>pred_cps_SMA_final</t>
  </si>
  <si>
    <t>pred_cps_EKT_final</t>
  </si>
  <si>
    <t>cps_trunc</t>
  </si>
  <si>
    <t>pred_cps_SMA_rt</t>
  </si>
  <si>
    <t>pred_cps_SMA_rt_fst</t>
  </si>
  <si>
    <t>pred_cps_EKT_rt</t>
  </si>
  <si>
    <t>pred_cps_EKT_rt_fst</t>
  </si>
  <si>
    <t>jump</t>
  </si>
  <si>
    <t>pred_cps_SMA_new_ext</t>
  </si>
  <si>
    <t>pred_cps_EKT_new_ext</t>
  </si>
  <si>
    <t>ws_new</t>
  </si>
  <si>
    <t>pred_cps_SMA_def_ext</t>
  </si>
  <si>
    <t>pred_cps_EKT_def_ext</t>
  </si>
  <si>
    <t>pred_cps_SMA_w20</t>
  </si>
  <si>
    <t>pred_cps_EKT_w20</t>
  </si>
  <si>
    <t>pred_cps_SMA_default</t>
  </si>
  <si>
    <t>pred_cps_EKT_default</t>
  </si>
  <si>
    <t>fp</t>
  </si>
  <si>
    <t>title_sma</t>
  </si>
  <si>
    <t>title_ktosis</t>
  </si>
  <si>
    <t>var</t>
  </si>
  <si>
    <t>cps</t>
  </si>
  <si>
    <t>window_size</t>
  </si>
  <si>
    <t>b</t>
  </si>
  <si>
    <t>t</t>
  </si>
  <si>
    <t>bearing</t>
  </si>
  <si>
    <t>test</t>
  </si>
  <si>
    <t>Manual Change Points</t>
  </si>
  <si>
    <t>TS Segmentation: Exponential Moving Avg. of Kurtosis</t>
  </si>
  <si>
    <t>TS Segmentation: Smoothed Max (5)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</si>
</sst>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right" indent="1"/>
    </xf>
    <xf numFmtId="3" fontId="0" fillId="2" borderId="1" xfId="0" applyNumberFormat="1" applyFill="1" applyBorder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164" fontId="0" fillId="0" borderId="0" xfId="1" applyNumberFormat="1" applyFo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0" xfId="0" applyFill="1" applyAlignment="1">
      <alignment horizontal="centerContinuous"/>
    </xf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/>
    <xf numFmtId="0" fontId="2" fillId="4" borderId="2" xfId="0" applyFont="1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2" fillId="5" borderId="2" xfId="0" applyFont="1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0" fillId="5" borderId="4" xfId="0" applyFill="1" applyBorder="1" applyAlignment="1">
      <alignment horizontal="centerContinuous"/>
    </xf>
    <xf numFmtId="0" fontId="0" fillId="0" borderId="1" xfId="0" applyBorder="1" applyAlignment="1">
      <alignment horizontal="right" indent="4"/>
    </xf>
    <xf numFmtId="0" fontId="0" fillId="2" borderId="1" xfId="0" applyFill="1" applyBorder="1" applyAlignment="1">
      <alignment horizontal="right" indent="4"/>
    </xf>
    <xf numFmtId="9" fontId="0" fillId="0" borderId="1" xfId="1" applyFont="1" applyBorder="1" applyAlignment="1">
      <alignment horizontal="right" indent="4"/>
    </xf>
    <xf numFmtId="9" fontId="0" fillId="2" borderId="1" xfId="1" applyFont="1" applyFill="1" applyBorder="1" applyAlignment="1">
      <alignment horizontal="right" indent="4"/>
    </xf>
    <xf numFmtId="0" fontId="2" fillId="7" borderId="2" xfId="0" applyFont="1" applyFill="1" applyBorder="1" applyAlignment="1">
      <alignment horizontal="centerContinuous"/>
    </xf>
    <xf numFmtId="0" fontId="0" fillId="7" borderId="3" xfId="0" applyFill="1" applyBorder="1" applyAlignment="1">
      <alignment horizontal="centerContinuous"/>
    </xf>
    <xf numFmtId="9" fontId="0" fillId="0" borderId="1" xfId="1" applyNumberFormat="1" applyFont="1" applyBorder="1" applyAlignment="1">
      <alignment horizontal="right" indent="4"/>
    </xf>
    <xf numFmtId="9" fontId="0" fillId="2" borderId="1" xfId="1" applyNumberFormat="1" applyFont="1" applyFill="1" applyBorder="1" applyAlignment="1">
      <alignment horizontal="right" indent="4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9" fontId="0" fillId="0" borderId="1" xfId="1" applyFont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5" borderId="4" xfId="0" applyFill="1" applyBorder="1" applyAlignment="1">
      <alignment horizontal="centerContinuous" wrapText="1"/>
    </xf>
    <xf numFmtId="0" fontId="0" fillId="0" borderId="0" xfId="0" applyAlignment="1">
      <alignment horizontal="right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right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right"/>
    </xf>
    <xf numFmtId="9" fontId="2" fillId="9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ACB7-26DB-4583-96FC-C0B1F3B7F23D}">
  <dimension ref="A1:S22"/>
  <sheetViews>
    <sheetView tabSelected="1" workbookViewId="0"/>
  </sheetViews>
  <sheetFormatPr defaultRowHeight="15" x14ac:dyDescent="0.25"/>
  <cols>
    <col min="5" max="5" width="11.140625" bestFit="1" customWidth="1"/>
    <col min="6" max="6" width="15.5703125" bestFit="1" customWidth="1"/>
    <col min="7" max="7" width="20.7109375" customWidth="1"/>
    <col min="8" max="8" width="0.85546875" customWidth="1"/>
    <col min="9" max="9" width="11.140625" bestFit="1" customWidth="1"/>
    <col min="10" max="10" width="11.42578125" bestFit="1" customWidth="1"/>
    <col min="11" max="11" width="20.7109375" customWidth="1"/>
    <col min="12" max="12" width="12.7109375" bestFit="1" customWidth="1"/>
    <col min="13" max="13" width="15.140625" style="42" bestFit="1" customWidth="1"/>
    <col min="14" max="14" width="0.85546875" customWidth="1"/>
    <col min="15" max="15" width="11.140625" customWidth="1"/>
    <col min="16" max="16" width="11.42578125" bestFit="1" customWidth="1"/>
    <col min="17" max="17" width="20.7109375" customWidth="1"/>
    <col min="18" max="18" width="12.7109375" bestFit="1" customWidth="1"/>
  </cols>
  <sheetData>
    <row r="1" spans="1:19" x14ac:dyDescent="0.25">
      <c r="A1" s="49"/>
      <c r="B1" s="50"/>
      <c r="C1" s="50"/>
      <c r="D1" s="50"/>
      <c r="E1" s="32" t="s">
        <v>33</v>
      </c>
      <c r="F1" s="33"/>
      <c r="G1" s="33"/>
      <c r="H1" s="19" t="s">
        <v>19</v>
      </c>
      <c r="I1" s="25" t="s">
        <v>176</v>
      </c>
      <c r="J1" s="26"/>
      <c r="K1" s="26"/>
      <c r="L1" s="27"/>
      <c r="M1" s="45"/>
      <c r="N1" s="19" t="s">
        <v>19</v>
      </c>
      <c r="O1" s="22" t="s">
        <v>175</v>
      </c>
      <c r="P1" s="23"/>
      <c r="Q1" s="23"/>
      <c r="R1" s="24"/>
    </row>
    <row r="2" spans="1:19" s="1" customFormat="1" ht="45" x14ac:dyDescent="0.25">
      <c r="A2" s="10" t="s">
        <v>0</v>
      </c>
      <c r="B2" s="10" t="s">
        <v>1</v>
      </c>
      <c r="C2" s="10" t="s">
        <v>3</v>
      </c>
      <c r="D2" s="10" t="s">
        <v>2</v>
      </c>
      <c r="E2" s="11" t="s">
        <v>31</v>
      </c>
      <c r="F2" s="11" t="s">
        <v>174</v>
      </c>
      <c r="G2" s="11" t="s">
        <v>44</v>
      </c>
      <c r="H2" s="20"/>
      <c r="I2" s="11" t="s">
        <v>31</v>
      </c>
      <c r="J2" s="10" t="s">
        <v>32</v>
      </c>
      <c r="K2" s="11" t="s">
        <v>44</v>
      </c>
      <c r="L2" s="11" t="s">
        <v>30</v>
      </c>
      <c r="M2" s="11" t="s">
        <v>45</v>
      </c>
      <c r="N2" s="20"/>
      <c r="O2" s="11" t="s">
        <v>31</v>
      </c>
      <c r="P2" s="10" t="s">
        <v>32</v>
      </c>
      <c r="Q2" s="11" t="s">
        <v>44</v>
      </c>
      <c r="R2" s="11" t="s">
        <v>30</v>
      </c>
    </row>
    <row r="3" spans="1:19" x14ac:dyDescent="0.25">
      <c r="A3" s="5">
        <v>1</v>
      </c>
      <c r="B3" s="5">
        <v>1</v>
      </c>
      <c r="C3" s="8">
        <f>2156-160</f>
        <v>1996</v>
      </c>
      <c r="D3" s="5" t="s">
        <v>4</v>
      </c>
      <c r="E3" s="5">
        <v>2</v>
      </c>
      <c r="F3" s="17" t="s">
        <v>9</v>
      </c>
      <c r="G3" s="34">
        <f>1973/$C3</f>
        <v>0.98847695390781565</v>
      </c>
      <c r="H3" s="21"/>
      <c r="I3" s="5">
        <v>1</v>
      </c>
      <c r="J3" s="4" t="s">
        <v>20</v>
      </c>
      <c r="K3" s="28" t="s">
        <v>26</v>
      </c>
      <c r="L3" s="5" t="s">
        <v>27</v>
      </c>
      <c r="M3" s="43" t="str">
        <f>IFERROR(G3-K3,"N/A")</f>
        <v>N/A</v>
      </c>
      <c r="N3" s="21"/>
      <c r="O3" s="5">
        <v>1</v>
      </c>
      <c r="P3" s="4" t="s">
        <v>20</v>
      </c>
      <c r="Q3" s="28" t="s">
        <v>26</v>
      </c>
      <c r="R3" s="39" t="s">
        <v>27</v>
      </c>
      <c r="S3" s="16"/>
    </row>
    <row r="4" spans="1:19" x14ac:dyDescent="0.25">
      <c r="A4" s="5">
        <v>1</v>
      </c>
      <c r="B4" s="5">
        <v>2</v>
      </c>
      <c r="C4" s="8">
        <f>2156-160</f>
        <v>1996</v>
      </c>
      <c r="D4" s="5" t="s">
        <v>4</v>
      </c>
      <c r="E4" s="5">
        <v>2</v>
      </c>
      <c r="F4" s="17" t="s">
        <v>10</v>
      </c>
      <c r="G4" s="34">
        <f>1961/$C4</f>
        <v>0.98246492985971945</v>
      </c>
      <c r="H4" s="21"/>
      <c r="I4" s="5">
        <v>2</v>
      </c>
      <c r="J4" s="4" t="s">
        <v>34</v>
      </c>
      <c r="K4" s="30">
        <f>1911/$C4</f>
        <v>0.95741482965931868</v>
      </c>
      <c r="L4" s="5" t="s">
        <v>28</v>
      </c>
      <c r="M4" s="43">
        <f>IFERROR(G4-K4,"N/A")</f>
        <v>2.5050100200400771E-2</v>
      </c>
      <c r="N4" s="21"/>
      <c r="O4" s="5">
        <v>2</v>
      </c>
      <c r="P4" s="4" t="s">
        <v>21</v>
      </c>
      <c r="Q4" s="30">
        <f>1875/$C4</f>
        <v>0.93937875751503008</v>
      </c>
      <c r="R4" s="39" t="s">
        <v>28</v>
      </c>
      <c r="S4" s="16"/>
    </row>
    <row r="5" spans="1:19" x14ac:dyDescent="0.25">
      <c r="A5" s="7">
        <v>1</v>
      </c>
      <c r="B5" s="7">
        <v>3</v>
      </c>
      <c r="C5" s="9">
        <f>2156-160</f>
        <v>1996</v>
      </c>
      <c r="D5" s="7" t="s">
        <v>5</v>
      </c>
      <c r="E5" s="7">
        <v>3</v>
      </c>
      <c r="F5" s="18" t="s">
        <v>11</v>
      </c>
      <c r="G5" s="35">
        <f>1667/$C5</f>
        <v>0.83517034068136276</v>
      </c>
      <c r="H5" s="21"/>
      <c r="I5" s="7">
        <v>2</v>
      </c>
      <c r="J5" s="6" t="s">
        <v>35</v>
      </c>
      <c r="K5" s="31">
        <f>1591/$C5</f>
        <v>0.7970941883767535</v>
      </c>
      <c r="L5" s="7" t="s">
        <v>28</v>
      </c>
      <c r="M5" s="44">
        <f>IFERROR(G5-K5,"N/A")</f>
        <v>3.8076152304609256E-2</v>
      </c>
      <c r="N5" s="21"/>
      <c r="O5" s="7">
        <v>1</v>
      </c>
      <c r="P5" s="6" t="s">
        <v>20</v>
      </c>
      <c r="Q5" s="29" t="s">
        <v>26</v>
      </c>
      <c r="R5" s="40" t="s">
        <v>27</v>
      </c>
      <c r="S5" s="16"/>
    </row>
    <row r="6" spans="1:19" x14ac:dyDescent="0.25">
      <c r="A6" s="7">
        <v>1</v>
      </c>
      <c r="B6" s="7">
        <v>4</v>
      </c>
      <c r="C6" s="9">
        <f>2156-160</f>
        <v>1996</v>
      </c>
      <c r="D6" s="7" t="s">
        <v>5</v>
      </c>
      <c r="E6" s="7">
        <v>3</v>
      </c>
      <c r="F6" s="18" t="s">
        <v>12</v>
      </c>
      <c r="G6" s="35">
        <f>1307/$C6</f>
        <v>0.65480961923847691</v>
      </c>
      <c r="H6" s="21"/>
      <c r="I6" s="7">
        <v>2</v>
      </c>
      <c r="J6" s="6" t="s">
        <v>36</v>
      </c>
      <c r="K6" s="31">
        <f>1307/$C6</f>
        <v>0.65480961923847691</v>
      </c>
      <c r="L6" s="7" t="s">
        <v>28</v>
      </c>
      <c r="M6" s="44">
        <f>IFERROR(G6-K6,"N/A")</f>
        <v>0</v>
      </c>
      <c r="N6" s="21"/>
      <c r="O6" s="7">
        <v>3</v>
      </c>
      <c r="P6" s="6" t="s">
        <v>22</v>
      </c>
      <c r="Q6" s="31">
        <f>1198/$C6</f>
        <v>0.6002004008016032</v>
      </c>
      <c r="R6" s="40" t="s">
        <v>28</v>
      </c>
      <c r="S6" s="16"/>
    </row>
    <row r="7" spans="1:19" x14ac:dyDescent="0.25">
      <c r="A7" s="7">
        <v>2</v>
      </c>
      <c r="B7" s="7">
        <v>1</v>
      </c>
      <c r="C7" s="9">
        <v>984</v>
      </c>
      <c r="D7" s="7" t="s">
        <v>5</v>
      </c>
      <c r="E7" s="7">
        <v>2</v>
      </c>
      <c r="F7" s="18" t="s">
        <v>13</v>
      </c>
      <c r="G7" s="35">
        <f>975/$C7</f>
        <v>0.99085365853658536</v>
      </c>
      <c r="H7" s="21"/>
      <c r="I7" s="7">
        <v>1</v>
      </c>
      <c r="J7" s="6" t="s">
        <v>20</v>
      </c>
      <c r="K7" s="29" t="s">
        <v>26</v>
      </c>
      <c r="L7" s="7" t="s">
        <v>27</v>
      </c>
      <c r="M7" s="44" t="str">
        <f>IFERROR(G7-K7,"N/A")</f>
        <v>N/A</v>
      </c>
      <c r="N7" s="21"/>
      <c r="O7" s="7">
        <v>1</v>
      </c>
      <c r="P7" s="6" t="s">
        <v>20</v>
      </c>
      <c r="Q7" s="29" t="s">
        <v>26</v>
      </c>
      <c r="R7" s="40" t="s">
        <v>27</v>
      </c>
      <c r="S7" s="16"/>
    </row>
    <row r="8" spans="1:19" x14ac:dyDescent="0.25">
      <c r="A8" s="5">
        <v>2</v>
      </c>
      <c r="B8" s="5">
        <v>2</v>
      </c>
      <c r="C8" s="8">
        <v>984</v>
      </c>
      <c r="D8" s="5" t="s">
        <v>4</v>
      </c>
      <c r="E8" s="5">
        <v>3</v>
      </c>
      <c r="F8" s="17" t="s">
        <v>14</v>
      </c>
      <c r="G8" s="34">
        <f>875/$C8</f>
        <v>0.88922764227642281</v>
      </c>
      <c r="H8" s="21"/>
      <c r="I8" s="5">
        <v>2</v>
      </c>
      <c r="J8" s="4" t="s">
        <v>37</v>
      </c>
      <c r="K8" s="30">
        <f>939/$C8</f>
        <v>0.95426829268292679</v>
      </c>
      <c r="L8" s="5" t="s">
        <v>28</v>
      </c>
      <c r="M8" s="43">
        <f>IFERROR(G8-K8,"N/A")</f>
        <v>-6.5040650406503975E-2</v>
      </c>
      <c r="N8" s="21"/>
      <c r="O8" s="5">
        <v>3</v>
      </c>
      <c r="P8" s="4" t="s">
        <v>23</v>
      </c>
      <c r="Q8" s="30">
        <f>880/$C8</f>
        <v>0.89430894308943087</v>
      </c>
      <c r="R8" s="39" t="s">
        <v>28</v>
      </c>
      <c r="S8" s="16"/>
    </row>
    <row r="9" spans="1:19" x14ac:dyDescent="0.25">
      <c r="A9" s="5">
        <v>2</v>
      </c>
      <c r="B9" s="5">
        <v>3</v>
      </c>
      <c r="C9" s="8">
        <v>984</v>
      </c>
      <c r="D9" s="5" t="s">
        <v>4</v>
      </c>
      <c r="E9" s="5">
        <v>3</v>
      </c>
      <c r="F9" s="17" t="s">
        <v>15</v>
      </c>
      <c r="G9" s="34">
        <f>860/$C9</f>
        <v>0.87398373983739841</v>
      </c>
      <c r="H9" s="21"/>
      <c r="I9" s="5">
        <v>2</v>
      </c>
      <c r="J9" s="4" t="s">
        <v>38</v>
      </c>
      <c r="K9" s="30">
        <f>984/$C9</f>
        <v>1</v>
      </c>
      <c r="L9" s="5" t="s">
        <v>28</v>
      </c>
      <c r="M9" s="43">
        <f>IFERROR(G9-K9,"N/A")</f>
        <v>-0.12601626016260159</v>
      </c>
      <c r="N9" s="21"/>
      <c r="O9" s="5">
        <v>1</v>
      </c>
      <c r="P9" s="4" t="s">
        <v>20</v>
      </c>
      <c r="Q9" s="28" t="s">
        <v>26</v>
      </c>
      <c r="R9" s="39" t="s">
        <v>28</v>
      </c>
      <c r="S9" s="16"/>
    </row>
    <row r="10" spans="1:19" x14ac:dyDescent="0.25">
      <c r="A10" s="5">
        <v>2</v>
      </c>
      <c r="B10" s="5">
        <v>4</v>
      </c>
      <c r="C10" s="8">
        <v>984</v>
      </c>
      <c r="D10" s="5" t="s">
        <v>4</v>
      </c>
      <c r="E10" s="5">
        <v>3</v>
      </c>
      <c r="F10" s="17" t="s">
        <v>16</v>
      </c>
      <c r="G10" s="34">
        <f>861/$C10</f>
        <v>0.875</v>
      </c>
      <c r="H10" s="21"/>
      <c r="I10" s="5">
        <v>3</v>
      </c>
      <c r="J10" s="4" t="s">
        <v>39</v>
      </c>
      <c r="K10" s="30">
        <f>769/$C10</f>
        <v>0.7815040650406504</v>
      </c>
      <c r="L10" s="5" t="s">
        <v>28</v>
      </c>
      <c r="M10" s="43">
        <f>IFERROR(G10-K10,"N/A")</f>
        <v>9.3495934959349603E-2</v>
      </c>
      <c r="N10" s="21"/>
      <c r="O10" s="5">
        <v>2</v>
      </c>
      <c r="P10" s="4" t="s">
        <v>24</v>
      </c>
      <c r="Q10" s="30">
        <f>896/$C10</f>
        <v>0.91056910569105687</v>
      </c>
      <c r="R10" s="39" t="s">
        <v>28</v>
      </c>
      <c r="S10" s="16"/>
    </row>
    <row r="11" spans="1:19" x14ac:dyDescent="0.25">
      <c r="A11" s="5">
        <v>3</v>
      </c>
      <c r="B11" s="5">
        <v>1</v>
      </c>
      <c r="C11" s="8">
        <v>6324</v>
      </c>
      <c r="D11" s="5" t="s">
        <v>4</v>
      </c>
      <c r="E11" s="5">
        <v>4</v>
      </c>
      <c r="F11" s="17" t="s">
        <v>18</v>
      </c>
      <c r="G11" s="34">
        <f>350/$C11</f>
        <v>5.5344718532574319E-2</v>
      </c>
      <c r="H11" s="21"/>
      <c r="I11" s="5">
        <v>1</v>
      </c>
      <c r="J11" s="4" t="s">
        <v>20</v>
      </c>
      <c r="K11" s="28" t="s">
        <v>26</v>
      </c>
      <c r="L11" s="5" t="s">
        <v>27</v>
      </c>
      <c r="M11" s="43" t="str">
        <f>IFERROR(G11-K11,"N/A")</f>
        <v>N/A</v>
      </c>
      <c r="N11" s="21"/>
      <c r="O11" s="5">
        <v>1</v>
      </c>
      <c r="P11" s="4" t="s">
        <v>20</v>
      </c>
      <c r="Q11" s="28" t="s">
        <v>26</v>
      </c>
      <c r="R11" s="39" t="s">
        <v>27</v>
      </c>
      <c r="S11" s="16"/>
    </row>
    <row r="12" spans="1:19" x14ac:dyDescent="0.25">
      <c r="A12" s="5">
        <v>3</v>
      </c>
      <c r="B12" s="5">
        <v>2</v>
      </c>
      <c r="C12" s="8">
        <v>6324</v>
      </c>
      <c r="D12" s="5" t="s">
        <v>4</v>
      </c>
      <c r="E12" s="5">
        <v>3</v>
      </c>
      <c r="F12" s="17" t="s">
        <v>17</v>
      </c>
      <c r="G12" s="34">
        <f>6174/$C12</f>
        <v>0.97628083491461104</v>
      </c>
      <c r="H12" s="21"/>
      <c r="I12" s="5">
        <v>3</v>
      </c>
      <c r="J12" s="4" t="s">
        <v>40</v>
      </c>
      <c r="K12" s="30">
        <f>3931/$C12</f>
        <v>0.62160025300442756</v>
      </c>
      <c r="L12" s="5" t="s">
        <v>28</v>
      </c>
      <c r="M12" s="43">
        <f>IFERROR(G12-K12,"N/A")</f>
        <v>0.35468058191018348</v>
      </c>
      <c r="N12" s="21"/>
      <c r="O12" s="5">
        <v>1</v>
      </c>
      <c r="P12" s="4" t="s">
        <v>20</v>
      </c>
      <c r="Q12" s="28" t="s">
        <v>26</v>
      </c>
      <c r="R12" s="39" t="s">
        <v>27</v>
      </c>
      <c r="S12" s="16"/>
    </row>
    <row r="13" spans="1:19" x14ac:dyDescent="0.25">
      <c r="A13" s="7">
        <v>3</v>
      </c>
      <c r="B13" s="7">
        <v>3</v>
      </c>
      <c r="C13" s="9">
        <v>6324</v>
      </c>
      <c r="D13" s="7" t="s">
        <v>5</v>
      </c>
      <c r="E13" s="7">
        <v>3</v>
      </c>
      <c r="F13" s="18" t="s">
        <v>17</v>
      </c>
      <c r="G13" s="35">
        <f>6174/$C13</f>
        <v>0.97628083491461104</v>
      </c>
      <c r="H13" s="21"/>
      <c r="I13" s="7">
        <v>2</v>
      </c>
      <c r="J13" s="6" t="s">
        <v>41</v>
      </c>
      <c r="K13" s="31">
        <f>6084/$C13</f>
        <v>0.9620493358633776</v>
      </c>
      <c r="L13" s="7" t="s">
        <v>28</v>
      </c>
      <c r="M13" s="44">
        <f>IFERROR(G13-K13,"N/A")</f>
        <v>1.4231499051233443E-2</v>
      </c>
      <c r="N13" s="21"/>
      <c r="O13" s="7">
        <v>1</v>
      </c>
      <c r="P13" s="6" t="s">
        <v>20</v>
      </c>
      <c r="Q13" s="29" t="s">
        <v>26</v>
      </c>
      <c r="R13" s="41" t="s">
        <v>27</v>
      </c>
      <c r="S13" s="16"/>
    </row>
    <row r="14" spans="1:19" x14ac:dyDescent="0.25">
      <c r="A14" s="5">
        <v>3</v>
      </c>
      <c r="B14" s="5">
        <v>4</v>
      </c>
      <c r="C14" s="8">
        <v>6324</v>
      </c>
      <c r="D14" s="5" t="s">
        <v>4</v>
      </c>
      <c r="E14" s="5">
        <v>3</v>
      </c>
      <c r="F14" s="17" t="s">
        <v>17</v>
      </c>
      <c r="G14" s="34">
        <f>6174/$C14</f>
        <v>0.97628083491461104</v>
      </c>
      <c r="H14" s="21"/>
      <c r="I14" s="5">
        <v>2</v>
      </c>
      <c r="J14" s="4" t="s">
        <v>42</v>
      </c>
      <c r="K14" s="30">
        <f>6125/$C14</f>
        <v>0.96853257432005058</v>
      </c>
      <c r="L14" s="5" t="s">
        <v>28</v>
      </c>
      <c r="M14" s="43">
        <f>IFERROR(G14-K14,"N/A")</f>
        <v>7.7482605945604632E-3</v>
      </c>
      <c r="N14" s="21"/>
      <c r="O14" s="5">
        <v>2</v>
      </c>
      <c r="P14" s="4" t="s">
        <v>25</v>
      </c>
      <c r="Q14" s="30">
        <f>5655/$C14</f>
        <v>0.89421252371916504</v>
      </c>
      <c r="R14" s="39" t="s">
        <v>28</v>
      </c>
      <c r="S14" s="16"/>
    </row>
    <row r="15" spans="1:19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1"/>
      <c r="N15" s="50"/>
      <c r="O15" s="50"/>
      <c r="P15" s="50"/>
      <c r="Q15" s="50"/>
      <c r="R15" s="50"/>
    </row>
    <row r="16" spans="1:19" x14ac:dyDescent="0.25">
      <c r="A16" s="50" t="s">
        <v>48</v>
      </c>
      <c r="B16" s="50"/>
      <c r="C16" s="50"/>
      <c r="D16" s="50"/>
      <c r="E16" s="50"/>
      <c r="F16" s="50"/>
      <c r="G16" s="50"/>
      <c r="H16" s="50"/>
      <c r="I16" s="50"/>
      <c r="J16" s="50"/>
      <c r="K16" s="52" t="s">
        <v>28</v>
      </c>
      <c r="L16" s="53">
        <f>COUNTIF($L$3:$L$14,$K16)</f>
        <v>9</v>
      </c>
      <c r="M16" s="51"/>
      <c r="N16" s="50"/>
      <c r="O16" s="50"/>
      <c r="P16" s="50"/>
      <c r="Q16" s="52" t="s">
        <v>28</v>
      </c>
      <c r="R16" s="53">
        <f>COUNTIF($R$3:$R$14,$Q16)</f>
        <v>6</v>
      </c>
    </row>
    <row r="17" spans="1:18" x14ac:dyDescent="0.25">
      <c r="A17" s="50" t="s">
        <v>49</v>
      </c>
      <c r="B17" s="50"/>
      <c r="C17" s="50"/>
      <c r="D17" s="50"/>
      <c r="E17" s="50"/>
      <c r="F17" s="50"/>
      <c r="G17" s="50"/>
      <c r="H17" s="50"/>
      <c r="I17" s="50"/>
      <c r="J17" s="50"/>
      <c r="K17" s="52" t="s">
        <v>27</v>
      </c>
      <c r="L17" s="53">
        <f>COUNTIF($L$3:$L$14,$K17)</f>
        <v>3</v>
      </c>
      <c r="M17" s="51"/>
      <c r="N17" s="50"/>
      <c r="O17" s="50"/>
      <c r="P17" s="50"/>
      <c r="Q17" s="52" t="s">
        <v>27</v>
      </c>
      <c r="R17" s="53">
        <f t="shared" ref="R17:R19" si="0">COUNTIF($R$3:$R$14,$Q17)</f>
        <v>6</v>
      </c>
    </row>
    <row r="18" spans="1:18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2" t="s">
        <v>43</v>
      </c>
      <c r="L18" s="53">
        <f>COUNTIF($L$3:$L$14,$K18)</f>
        <v>0</v>
      </c>
      <c r="M18" s="51"/>
      <c r="N18" s="50"/>
      <c r="O18" s="50"/>
      <c r="P18" s="50"/>
      <c r="Q18" s="52" t="s">
        <v>43</v>
      </c>
      <c r="R18" s="53">
        <f t="shared" si="0"/>
        <v>0</v>
      </c>
    </row>
    <row r="19" spans="1:18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2" t="s">
        <v>29</v>
      </c>
      <c r="L19" s="53">
        <f>COUNTIF($L$3:$L$14,$K19)</f>
        <v>0</v>
      </c>
      <c r="M19" s="51"/>
      <c r="N19" s="50"/>
      <c r="O19" s="50"/>
      <c r="P19" s="50"/>
      <c r="Q19" s="52" t="s">
        <v>29</v>
      </c>
      <c r="R19" s="53">
        <f t="shared" si="0"/>
        <v>0</v>
      </c>
    </row>
    <row r="20" spans="1:18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4" t="s">
        <v>46</v>
      </c>
      <c r="L20" s="55">
        <f>L16/(L16+L17)</f>
        <v>0.75</v>
      </c>
      <c r="M20" s="51"/>
      <c r="N20" s="50"/>
      <c r="O20" s="50"/>
      <c r="P20" s="50"/>
      <c r="Q20" s="54" t="s">
        <v>46</v>
      </c>
      <c r="R20" s="55">
        <f>R16/(R16+R17)</f>
        <v>0.5</v>
      </c>
    </row>
    <row r="21" spans="1:18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4" t="s">
        <v>47</v>
      </c>
      <c r="L21" s="53" t="str">
        <f>IFERROR(L19/(L19+L18),"N/A")</f>
        <v>N/A</v>
      </c>
      <c r="M21" s="51"/>
      <c r="N21" s="50"/>
      <c r="O21" s="50"/>
      <c r="P21" s="50"/>
      <c r="Q21" s="54" t="s">
        <v>47</v>
      </c>
      <c r="R21" s="53" t="str">
        <f>IFERROR(R19/(R19+R18),"N/A")</f>
        <v>N/A</v>
      </c>
    </row>
    <row r="22" spans="1:18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M22" s="51"/>
      <c r="N22" s="50"/>
      <c r="O22" s="50"/>
      <c r="P22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9008-9A50-4AF1-B3B4-603164446C92}">
  <dimension ref="A1:R22"/>
  <sheetViews>
    <sheetView workbookViewId="0"/>
  </sheetViews>
  <sheetFormatPr defaultRowHeight="15" x14ac:dyDescent="0.25"/>
  <cols>
    <col min="5" max="5" width="11.140625" bestFit="1" customWidth="1"/>
    <col min="6" max="6" width="15.5703125" bestFit="1" customWidth="1"/>
    <col min="7" max="7" width="20.7109375" customWidth="1"/>
    <col min="8" max="8" width="0.85546875" customWidth="1"/>
    <col min="9" max="9" width="11.140625" customWidth="1"/>
    <col min="10" max="10" width="11.42578125" bestFit="1" customWidth="1"/>
    <col min="11" max="11" width="20.7109375" customWidth="1"/>
    <col min="12" max="12" width="12.7109375" bestFit="1" customWidth="1"/>
    <col min="13" max="13" width="0.85546875" customWidth="1"/>
    <col min="14" max="14" width="11.140625" bestFit="1" customWidth="1"/>
    <col min="15" max="15" width="11.42578125" bestFit="1" customWidth="1"/>
    <col min="16" max="16" width="20.7109375" customWidth="1"/>
    <col min="17" max="17" width="12.7109375" bestFit="1" customWidth="1"/>
  </cols>
  <sheetData>
    <row r="1" spans="1:18" x14ac:dyDescent="0.25">
      <c r="A1" s="49"/>
      <c r="B1" s="50"/>
      <c r="C1" s="50"/>
      <c r="D1" s="50"/>
      <c r="E1" s="32" t="s">
        <v>33</v>
      </c>
      <c r="F1" s="33"/>
      <c r="G1" s="33"/>
      <c r="H1" s="19" t="s">
        <v>19</v>
      </c>
      <c r="I1" s="22" t="s">
        <v>175</v>
      </c>
      <c r="J1" s="23"/>
      <c r="K1" s="23"/>
      <c r="L1" s="24"/>
      <c r="M1" s="19" t="s">
        <v>19</v>
      </c>
      <c r="N1" s="25" t="s">
        <v>176</v>
      </c>
      <c r="O1" s="26"/>
      <c r="P1" s="26"/>
      <c r="Q1" s="27"/>
    </row>
    <row r="2" spans="1:18" s="1" customFormat="1" ht="45" x14ac:dyDescent="0.25">
      <c r="A2" s="10" t="s">
        <v>0</v>
      </c>
      <c r="B2" s="10" t="s">
        <v>1</v>
      </c>
      <c r="C2" s="10" t="s">
        <v>3</v>
      </c>
      <c r="D2" s="10" t="s">
        <v>2</v>
      </c>
      <c r="E2" s="11" t="s">
        <v>31</v>
      </c>
      <c r="F2" s="11" t="s">
        <v>174</v>
      </c>
      <c r="G2" s="11" t="s">
        <v>44</v>
      </c>
      <c r="H2" s="20"/>
      <c r="I2" s="11" t="s">
        <v>31</v>
      </c>
      <c r="J2" s="10" t="s">
        <v>32</v>
      </c>
      <c r="K2" s="11" t="s">
        <v>44</v>
      </c>
      <c r="L2" s="11" t="s">
        <v>30</v>
      </c>
      <c r="M2" s="20"/>
      <c r="N2" s="11" t="s">
        <v>31</v>
      </c>
      <c r="O2" s="10" t="s">
        <v>32</v>
      </c>
      <c r="P2" s="11" t="s">
        <v>44</v>
      </c>
      <c r="Q2" s="11" t="s">
        <v>30</v>
      </c>
    </row>
    <row r="3" spans="1:18" x14ac:dyDescent="0.25">
      <c r="A3" s="5">
        <v>1</v>
      </c>
      <c r="B3" s="5">
        <v>1</v>
      </c>
      <c r="C3" s="8">
        <f>2156-160</f>
        <v>1996</v>
      </c>
      <c r="D3" s="5" t="s">
        <v>4</v>
      </c>
      <c r="E3" s="5">
        <v>1</v>
      </c>
      <c r="F3" s="17" t="s">
        <v>20</v>
      </c>
      <c r="G3" s="34" t="s">
        <v>26</v>
      </c>
      <c r="H3" s="21"/>
      <c r="I3" s="5">
        <v>1</v>
      </c>
      <c r="J3" s="4" t="s">
        <v>20</v>
      </c>
      <c r="K3" s="28" t="s">
        <v>26</v>
      </c>
      <c r="L3" s="39" t="s">
        <v>29</v>
      </c>
      <c r="M3" s="21"/>
      <c r="N3" s="5">
        <v>1</v>
      </c>
      <c r="O3" s="4" t="s">
        <v>20</v>
      </c>
      <c r="P3" s="28" t="s">
        <v>26</v>
      </c>
      <c r="Q3" s="5" t="s">
        <v>29</v>
      </c>
      <c r="R3" s="16"/>
    </row>
    <row r="4" spans="1:18" x14ac:dyDescent="0.25">
      <c r="A4" s="5">
        <v>1</v>
      </c>
      <c r="B4" s="5">
        <v>2</v>
      </c>
      <c r="C4" s="8">
        <f>2156-160</f>
        <v>1996</v>
      </c>
      <c r="D4" s="5" t="s">
        <v>4</v>
      </c>
      <c r="E4" s="5">
        <v>1</v>
      </c>
      <c r="F4" s="17" t="s">
        <v>20</v>
      </c>
      <c r="G4" s="34" t="s">
        <v>26</v>
      </c>
      <c r="H4" s="21"/>
      <c r="I4" s="5">
        <v>1</v>
      </c>
      <c r="J4" s="4" t="s">
        <v>20</v>
      </c>
      <c r="K4" s="28" t="s">
        <v>26</v>
      </c>
      <c r="L4" s="39" t="s">
        <v>29</v>
      </c>
      <c r="M4" s="21"/>
      <c r="N4" s="5">
        <v>1</v>
      </c>
      <c r="O4" s="4" t="s">
        <v>20</v>
      </c>
      <c r="P4" s="28" t="s">
        <v>26</v>
      </c>
      <c r="Q4" s="5" t="s">
        <v>29</v>
      </c>
      <c r="R4" s="16"/>
    </row>
    <row r="5" spans="1:18" x14ac:dyDescent="0.25">
      <c r="A5" s="7">
        <v>1</v>
      </c>
      <c r="B5" s="7">
        <v>3</v>
      </c>
      <c r="C5" s="9">
        <f>2156-160</f>
        <v>1996</v>
      </c>
      <c r="D5" s="7" t="s">
        <v>5</v>
      </c>
      <c r="E5" s="7">
        <v>2</v>
      </c>
      <c r="F5" s="18" t="s">
        <v>128</v>
      </c>
      <c r="G5" s="35">
        <f>1667/$C5</f>
        <v>0.83517034068136276</v>
      </c>
      <c r="H5" s="21"/>
      <c r="I5" s="7">
        <v>1</v>
      </c>
      <c r="J5" s="6" t="s">
        <v>20</v>
      </c>
      <c r="K5" s="29" t="s">
        <v>26</v>
      </c>
      <c r="L5" s="40" t="s">
        <v>27</v>
      </c>
      <c r="M5" s="21"/>
      <c r="N5" s="7">
        <v>1</v>
      </c>
      <c r="O5" s="6" t="s">
        <v>20</v>
      </c>
      <c r="P5" s="29" t="s">
        <v>26</v>
      </c>
      <c r="Q5" s="7" t="s">
        <v>27</v>
      </c>
      <c r="R5" s="16"/>
    </row>
    <row r="6" spans="1:18" x14ac:dyDescent="0.25">
      <c r="A6" s="7">
        <v>1</v>
      </c>
      <c r="B6" s="7">
        <v>4</v>
      </c>
      <c r="C6" s="9">
        <f>2156-160</f>
        <v>1996</v>
      </c>
      <c r="D6" s="7" t="s">
        <v>5</v>
      </c>
      <c r="E6" s="7">
        <v>3</v>
      </c>
      <c r="F6" s="18" t="s">
        <v>12</v>
      </c>
      <c r="G6" s="35">
        <f>1307/$C6</f>
        <v>0.65480961923847691</v>
      </c>
      <c r="H6" s="21"/>
      <c r="I6" s="7">
        <v>2</v>
      </c>
      <c r="J6" s="6" t="s">
        <v>119</v>
      </c>
      <c r="K6" s="31">
        <f>1199/$C6</f>
        <v>0.60070140280561124</v>
      </c>
      <c r="L6" s="40" t="s">
        <v>28</v>
      </c>
      <c r="M6" s="21"/>
      <c r="N6" s="7">
        <v>2</v>
      </c>
      <c r="O6" s="6" t="s">
        <v>118</v>
      </c>
      <c r="P6" s="31">
        <f>1307/$C6</f>
        <v>0.65480961923847691</v>
      </c>
      <c r="Q6" s="7" t="s">
        <v>28</v>
      </c>
      <c r="R6" s="16"/>
    </row>
    <row r="7" spans="1:18" x14ac:dyDescent="0.25">
      <c r="A7" s="7">
        <v>2</v>
      </c>
      <c r="B7" s="7">
        <v>1</v>
      </c>
      <c r="C7" s="9">
        <v>984</v>
      </c>
      <c r="D7" s="7" t="s">
        <v>5</v>
      </c>
      <c r="E7" s="7">
        <v>1</v>
      </c>
      <c r="F7" s="18" t="s">
        <v>20</v>
      </c>
      <c r="G7" s="35" t="s">
        <v>26</v>
      </c>
      <c r="H7" s="21"/>
      <c r="I7" s="7">
        <v>2</v>
      </c>
      <c r="J7" s="6" t="s">
        <v>85</v>
      </c>
      <c r="K7" s="29" t="s">
        <v>26</v>
      </c>
      <c r="L7" s="40" t="s">
        <v>43</v>
      </c>
      <c r="M7" s="21"/>
      <c r="N7" s="7">
        <v>1</v>
      </c>
      <c r="O7" s="6" t="s">
        <v>20</v>
      </c>
      <c r="P7" s="29" t="s">
        <v>26</v>
      </c>
      <c r="Q7" s="7" t="s">
        <v>29</v>
      </c>
      <c r="R7" s="16"/>
    </row>
    <row r="8" spans="1:18" x14ac:dyDescent="0.25">
      <c r="A8" s="5">
        <v>2</v>
      </c>
      <c r="B8" s="5">
        <v>2</v>
      </c>
      <c r="C8" s="8">
        <v>984</v>
      </c>
      <c r="D8" s="5" t="s">
        <v>4</v>
      </c>
      <c r="E8" s="5">
        <v>2</v>
      </c>
      <c r="F8" s="17" t="s">
        <v>103</v>
      </c>
      <c r="G8" s="34">
        <f>875/$C8</f>
        <v>0.88922764227642281</v>
      </c>
      <c r="H8" s="21"/>
      <c r="I8" s="5">
        <v>2</v>
      </c>
      <c r="J8" s="4" t="s">
        <v>102</v>
      </c>
      <c r="K8" s="30">
        <f>880/$C8</f>
        <v>0.89430894308943087</v>
      </c>
      <c r="L8" s="39" t="s">
        <v>28</v>
      </c>
      <c r="M8" s="21"/>
      <c r="N8" s="5">
        <v>1</v>
      </c>
      <c r="O8" s="4" t="s">
        <v>20</v>
      </c>
      <c r="P8" s="28" t="s">
        <v>26</v>
      </c>
      <c r="Q8" s="5" t="s">
        <v>27</v>
      </c>
      <c r="R8" s="16"/>
    </row>
    <row r="9" spans="1:18" x14ac:dyDescent="0.25">
      <c r="A9" s="5">
        <v>2</v>
      </c>
      <c r="B9" s="5">
        <v>3</v>
      </c>
      <c r="C9" s="8">
        <v>984</v>
      </c>
      <c r="D9" s="5" t="s">
        <v>4</v>
      </c>
      <c r="E9" s="5">
        <v>2</v>
      </c>
      <c r="F9" s="17" t="s">
        <v>93</v>
      </c>
      <c r="G9" s="34">
        <f>860/$C9</f>
        <v>0.87398373983739841</v>
      </c>
      <c r="H9" s="21"/>
      <c r="I9" s="5">
        <v>2</v>
      </c>
      <c r="J9" s="4" t="s">
        <v>92</v>
      </c>
      <c r="K9" s="30">
        <f>867/$C9</f>
        <v>0.88109756097560976</v>
      </c>
      <c r="L9" s="39" t="s">
        <v>28</v>
      </c>
      <c r="M9" s="21"/>
      <c r="N9" s="5">
        <v>1</v>
      </c>
      <c r="O9" s="4" t="s">
        <v>20</v>
      </c>
      <c r="P9" s="28" t="s">
        <v>26</v>
      </c>
      <c r="Q9" s="5" t="s">
        <v>27</v>
      </c>
      <c r="R9" s="16"/>
    </row>
    <row r="10" spans="1:18" x14ac:dyDescent="0.25">
      <c r="A10" s="5">
        <v>2</v>
      </c>
      <c r="B10" s="5">
        <v>4</v>
      </c>
      <c r="C10" s="8">
        <v>984</v>
      </c>
      <c r="D10" s="5" t="s">
        <v>4</v>
      </c>
      <c r="E10" s="5">
        <v>2</v>
      </c>
      <c r="F10" s="17" t="s">
        <v>84</v>
      </c>
      <c r="G10" s="34">
        <f>861/$C10</f>
        <v>0.875</v>
      </c>
      <c r="H10" s="21"/>
      <c r="I10" s="5">
        <v>1</v>
      </c>
      <c r="J10" s="4" t="s">
        <v>20</v>
      </c>
      <c r="K10" s="28" t="s">
        <v>26</v>
      </c>
      <c r="L10" s="39" t="s">
        <v>27</v>
      </c>
      <c r="M10" s="21"/>
      <c r="N10" s="5">
        <v>1</v>
      </c>
      <c r="O10" s="4" t="s">
        <v>20</v>
      </c>
      <c r="P10" s="28" t="s">
        <v>26</v>
      </c>
      <c r="Q10" s="5" t="s">
        <v>27</v>
      </c>
      <c r="R10" s="16"/>
    </row>
    <row r="11" spans="1:18" x14ac:dyDescent="0.25">
      <c r="A11" s="5">
        <v>3</v>
      </c>
      <c r="B11" s="5">
        <v>1</v>
      </c>
      <c r="C11" s="8">
        <v>6324</v>
      </c>
      <c r="D11" s="5" t="s">
        <v>4</v>
      </c>
      <c r="E11" s="5">
        <v>3</v>
      </c>
      <c r="F11" s="17" t="s">
        <v>76</v>
      </c>
      <c r="G11" s="34">
        <f>350/$C11</f>
        <v>5.5344718532574319E-2</v>
      </c>
      <c r="H11" s="21"/>
      <c r="I11" s="5">
        <v>1</v>
      </c>
      <c r="J11" s="4" t="s">
        <v>20</v>
      </c>
      <c r="K11" s="28" t="s">
        <v>26</v>
      </c>
      <c r="L11" s="39" t="s">
        <v>27</v>
      </c>
      <c r="M11" s="21"/>
      <c r="N11" s="5">
        <v>1</v>
      </c>
      <c r="O11" s="4" t="s">
        <v>20</v>
      </c>
      <c r="P11" s="28" t="s">
        <v>26</v>
      </c>
      <c r="Q11" s="5" t="s">
        <v>27</v>
      </c>
      <c r="R11" s="16"/>
    </row>
    <row r="12" spans="1:18" x14ac:dyDescent="0.25">
      <c r="A12" s="5">
        <v>3</v>
      </c>
      <c r="B12" s="5">
        <v>2</v>
      </c>
      <c r="C12" s="8">
        <v>6324</v>
      </c>
      <c r="D12" s="5" t="s">
        <v>4</v>
      </c>
      <c r="E12" s="5">
        <v>1</v>
      </c>
      <c r="F12" s="17" t="s">
        <v>20</v>
      </c>
      <c r="G12" s="34" t="s">
        <v>26</v>
      </c>
      <c r="H12" s="21"/>
      <c r="I12" s="5">
        <v>1</v>
      </c>
      <c r="J12" s="4" t="s">
        <v>20</v>
      </c>
      <c r="K12" s="28" t="s">
        <v>26</v>
      </c>
      <c r="L12" s="39" t="s">
        <v>29</v>
      </c>
      <c r="M12" s="21"/>
      <c r="N12" s="5">
        <v>1</v>
      </c>
      <c r="O12" s="4" t="s">
        <v>20</v>
      </c>
      <c r="P12" s="28" t="s">
        <v>26</v>
      </c>
      <c r="Q12" s="5" t="s">
        <v>29</v>
      </c>
      <c r="R12" s="16"/>
    </row>
    <row r="13" spans="1:18" x14ac:dyDescent="0.25">
      <c r="A13" s="7">
        <v>3</v>
      </c>
      <c r="B13" s="7">
        <v>3</v>
      </c>
      <c r="C13" s="9">
        <v>6324</v>
      </c>
      <c r="D13" s="7" t="s">
        <v>5</v>
      </c>
      <c r="E13" s="7">
        <v>1</v>
      </c>
      <c r="F13" s="18" t="s">
        <v>20</v>
      </c>
      <c r="G13" s="35" t="s">
        <v>26</v>
      </c>
      <c r="H13" s="21"/>
      <c r="I13" s="7">
        <v>1</v>
      </c>
      <c r="J13" s="6" t="s">
        <v>20</v>
      </c>
      <c r="K13" s="29" t="s">
        <v>26</v>
      </c>
      <c r="L13" s="41" t="s">
        <v>29</v>
      </c>
      <c r="M13" s="21"/>
      <c r="N13" s="7">
        <v>1</v>
      </c>
      <c r="O13" s="6" t="s">
        <v>20</v>
      </c>
      <c r="P13" s="29" t="s">
        <v>26</v>
      </c>
      <c r="Q13" s="7" t="s">
        <v>29</v>
      </c>
      <c r="R13" s="16"/>
    </row>
    <row r="14" spans="1:18" x14ac:dyDescent="0.25">
      <c r="A14" s="5">
        <v>3</v>
      </c>
      <c r="B14" s="5">
        <v>4</v>
      </c>
      <c r="C14" s="8">
        <v>6324</v>
      </c>
      <c r="D14" s="5" t="s">
        <v>4</v>
      </c>
      <c r="E14" s="5">
        <v>1</v>
      </c>
      <c r="F14" s="17" t="s">
        <v>20</v>
      </c>
      <c r="G14" s="34" t="s">
        <v>26</v>
      </c>
      <c r="H14" s="21"/>
      <c r="I14" s="5">
        <v>1</v>
      </c>
      <c r="J14" s="4" t="s">
        <v>20</v>
      </c>
      <c r="K14" s="28" t="s">
        <v>26</v>
      </c>
      <c r="L14" s="39" t="s">
        <v>29</v>
      </c>
      <c r="M14" s="21"/>
      <c r="N14" s="5">
        <v>1</v>
      </c>
      <c r="O14" s="4" t="s">
        <v>20</v>
      </c>
      <c r="P14" s="28" t="s">
        <v>26</v>
      </c>
      <c r="Q14" s="5" t="s">
        <v>29</v>
      </c>
      <c r="R14" s="16"/>
    </row>
    <row r="15" spans="1:18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8" x14ac:dyDescent="0.25">
      <c r="A16" s="50" t="s">
        <v>48</v>
      </c>
      <c r="B16" s="50"/>
      <c r="C16" s="50"/>
      <c r="D16" s="50"/>
      <c r="E16" s="50"/>
      <c r="F16" s="50"/>
      <c r="G16" s="50"/>
      <c r="H16" s="50"/>
      <c r="I16" s="50"/>
      <c r="J16" s="50"/>
      <c r="K16" s="52" t="s">
        <v>28</v>
      </c>
      <c r="L16" s="53">
        <f>COUNTIF($L$3:$L$14,$K16)</f>
        <v>3</v>
      </c>
      <c r="M16" s="50"/>
      <c r="N16" s="50"/>
      <c r="O16" s="50"/>
      <c r="P16" s="52" t="s">
        <v>28</v>
      </c>
      <c r="Q16" s="53">
        <f>COUNTIF($Q$3:$Q$14,$P16)</f>
        <v>1</v>
      </c>
    </row>
    <row r="17" spans="1:17" x14ac:dyDescent="0.25">
      <c r="A17" s="50" t="s">
        <v>49</v>
      </c>
      <c r="B17" s="50"/>
      <c r="C17" s="50"/>
      <c r="D17" s="50"/>
      <c r="E17" s="50"/>
      <c r="F17" s="50"/>
      <c r="G17" s="50"/>
      <c r="H17" s="50"/>
      <c r="I17" s="50"/>
      <c r="J17" s="50"/>
      <c r="K17" s="52" t="s">
        <v>27</v>
      </c>
      <c r="L17" s="53">
        <f>COUNTIF($L$3:$L$14,$K17)</f>
        <v>3</v>
      </c>
      <c r="M17" s="50"/>
      <c r="N17" s="50"/>
      <c r="O17" s="50"/>
      <c r="P17" s="52" t="s">
        <v>27</v>
      </c>
      <c r="Q17" s="53">
        <f>COUNTIF($Q$3:$Q$14,$P17)</f>
        <v>5</v>
      </c>
    </row>
    <row r="18" spans="1:17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2" t="s">
        <v>43</v>
      </c>
      <c r="L18" s="53">
        <f>COUNTIF($L$3:$L$14,$K18)</f>
        <v>1</v>
      </c>
      <c r="M18" s="50"/>
      <c r="N18" s="50"/>
      <c r="O18" s="50"/>
      <c r="P18" s="52" t="s">
        <v>43</v>
      </c>
      <c r="Q18" s="53">
        <f>COUNTIF($Q$3:$Q$14,$P18)</f>
        <v>0</v>
      </c>
    </row>
    <row r="19" spans="1:17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2" t="s">
        <v>29</v>
      </c>
      <c r="L19" s="53">
        <f>COUNTIF($L$3:$L$14,$K19)</f>
        <v>5</v>
      </c>
      <c r="M19" s="50"/>
      <c r="N19" s="50"/>
      <c r="O19" s="50"/>
      <c r="P19" s="52" t="s">
        <v>29</v>
      </c>
      <c r="Q19" s="53">
        <f>COUNTIF($Q$3:$Q$14,$P19)</f>
        <v>6</v>
      </c>
    </row>
    <row r="20" spans="1:17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4" t="s">
        <v>46</v>
      </c>
      <c r="L20" s="55">
        <f>L16/(L16+L17)</f>
        <v>0.5</v>
      </c>
      <c r="M20" s="50"/>
      <c r="N20" s="50"/>
      <c r="O20" s="50"/>
      <c r="P20" s="54" t="s">
        <v>46</v>
      </c>
      <c r="Q20" s="55">
        <f>Q16/(Q16+Q17)</f>
        <v>0.16666666666666666</v>
      </c>
    </row>
    <row r="21" spans="1:17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4" t="s">
        <v>47</v>
      </c>
      <c r="L21" s="55">
        <f>IFERROR(L19/(L19+L18),"N/A")</f>
        <v>0.83333333333333337</v>
      </c>
      <c r="M21" s="50"/>
      <c r="N21" s="50"/>
      <c r="O21" s="50"/>
      <c r="P21" s="54" t="s">
        <v>47</v>
      </c>
      <c r="Q21" s="55">
        <f>IFERROR(Q19/(Q19+Q18),"N/A")</f>
        <v>1</v>
      </c>
    </row>
    <row r="22" spans="1:17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M22" s="50"/>
      <c r="N22" s="50"/>
      <c r="O22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66CB-85C3-4C5B-97A6-9B40CED9658F}">
  <dimension ref="A1:AD21"/>
  <sheetViews>
    <sheetView workbookViewId="0"/>
  </sheetViews>
  <sheetFormatPr defaultRowHeight="15" outlineLevelCol="1" x14ac:dyDescent="0.25"/>
  <cols>
    <col min="1" max="1" width="3" bestFit="1" customWidth="1"/>
    <col min="2" max="2" width="6.140625" hidden="1" customWidth="1" outlineLevel="1"/>
    <col min="3" max="3" width="7.7109375" hidden="1" customWidth="1" outlineLevel="1"/>
    <col min="4" max="4" width="2" hidden="1" customWidth="1" outlineLevel="1"/>
    <col min="5" max="5" width="2.140625" hidden="1" customWidth="1" outlineLevel="1"/>
    <col min="6" max="6" width="12.5703125" hidden="1" customWidth="1" outlineLevel="1"/>
    <col min="7" max="7" width="15.5703125" bestFit="1" customWidth="1" collapsed="1"/>
    <col min="8" max="8" width="7.7109375" bestFit="1" customWidth="1"/>
    <col min="9" max="9" width="30.7109375" hidden="1" customWidth="1" outlineLevel="1"/>
    <col min="10" max="10" width="45" hidden="1" customWidth="1" outlineLevel="1"/>
    <col min="11" max="11" width="30.5703125" hidden="1" customWidth="1" outlineLevel="1"/>
    <col min="12" max="12" width="20.85546875" hidden="1" customWidth="1" outlineLevel="1"/>
    <col min="13" max="13" width="21.85546875" hidden="1" customWidth="1" outlineLevel="1"/>
    <col min="14" max="14" width="18" hidden="1" customWidth="1" outlineLevel="1"/>
    <col min="15" max="15" width="18.85546875" hidden="1" customWidth="1" outlineLevel="1"/>
    <col min="16" max="16" width="21.42578125" hidden="1" customWidth="1" outlineLevel="1" collapsed="1"/>
    <col min="17" max="17" width="22.28515625" hidden="1" customWidth="1" outlineLevel="1"/>
    <col min="18" max="18" width="8.28515625" hidden="1" customWidth="1" outlineLevel="1"/>
    <col min="19" max="19" width="22.28515625" bestFit="1" customWidth="1" collapsed="1"/>
    <col min="20" max="20" width="23.140625" bestFit="1" customWidth="1"/>
    <col min="21" max="21" width="5.5703125" hidden="1" customWidth="1" outlineLevel="1"/>
    <col min="22" max="22" width="19.140625" bestFit="1" customWidth="1" collapsed="1"/>
    <col min="23" max="23" width="40.7109375" customWidth="1"/>
    <col min="24" max="24" width="20" bestFit="1" customWidth="1"/>
    <col min="25" max="25" width="40.7109375" customWidth="1"/>
    <col min="26" max="26" width="11.42578125" bestFit="1" customWidth="1"/>
    <col min="27" max="27" width="18.42578125" bestFit="1" customWidth="1"/>
    <col min="28" max="28" width="19.28515625" bestFit="1" customWidth="1"/>
  </cols>
  <sheetData>
    <row r="1" spans="1:30" s="1" customFormat="1" x14ac:dyDescent="0.25">
      <c r="B1" s="1" t="s">
        <v>173</v>
      </c>
      <c r="C1" s="1" t="s">
        <v>172</v>
      </c>
      <c r="D1" s="1" t="s">
        <v>171</v>
      </c>
      <c r="E1" s="1" t="s">
        <v>170</v>
      </c>
      <c r="F1" s="1" t="s">
        <v>169</v>
      </c>
      <c r="G1" s="1" t="s">
        <v>168</v>
      </c>
      <c r="H1" s="1" t="s">
        <v>167</v>
      </c>
      <c r="I1" s="1" t="s">
        <v>166</v>
      </c>
      <c r="J1" s="1" t="s">
        <v>165</v>
      </c>
      <c r="K1" s="1" t="s">
        <v>164</v>
      </c>
      <c r="L1" s="1" t="s">
        <v>163</v>
      </c>
      <c r="M1" s="1" t="s">
        <v>162</v>
      </c>
      <c r="N1" s="1" t="s">
        <v>161</v>
      </c>
      <c r="O1" s="1" t="s">
        <v>160</v>
      </c>
      <c r="P1" s="1" t="s">
        <v>159</v>
      </c>
      <c r="Q1" s="1" t="s">
        <v>158</v>
      </c>
      <c r="R1" s="1" t="s">
        <v>157</v>
      </c>
      <c r="S1" s="1" t="s">
        <v>156</v>
      </c>
      <c r="T1" s="1" t="s">
        <v>155</v>
      </c>
      <c r="U1" s="1" t="s">
        <v>154</v>
      </c>
      <c r="V1" s="1" t="s">
        <v>153</v>
      </c>
      <c r="W1" s="1" t="s">
        <v>152</v>
      </c>
      <c r="X1" s="1" t="s">
        <v>151</v>
      </c>
      <c r="Y1" s="1" t="s">
        <v>150</v>
      </c>
      <c r="Z1" s="1" t="s">
        <v>149</v>
      </c>
      <c r="AA1" s="1" t="s">
        <v>148</v>
      </c>
      <c r="AB1" s="1" t="s">
        <v>147</v>
      </c>
      <c r="AC1" s="1" t="s">
        <v>146</v>
      </c>
      <c r="AD1" s="1" t="s">
        <v>145</v>
      </c>
    </row>
    <row r="2" spans="1:30" x14ac:dyDescent="0.25">
      <c r="A2">
        <v>0</v>
      </c>
      <c r="B2" t="s">
        <v>127</v>
      </c>
      <c r="C2" t="s">
        <v>83</v>
      </c>
      <c r="D2">
        <v>1</v>
      </c>
      <c r="E2">
        <v>1</v>
      </c>
      <c r="F2">
        <v>20</v>
      </c>
      <c r="G2" t="s">
        <v>9</v>
      </c>
      <c r="H2" t="s">
        <v>144</v>
      </c>
      <c r="I2" t="s">
        <v>143</v>
      </c>
      <c r="J2" t="s">
        <v>142</v>
      </c>
      <c r="K2" t="s">
        <v>141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52</v>
      </c>
      <c r="S2" t="s">
        <v>20</v>
      </c>
      <c r="T2" t="s">
        <v>20</v>
      </c>
      <c r="U2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29</v>
      </c>
      <c r="AD2" t="s">
        <v>29</v>
      </c>
    </row>
    <row r="3" spans="1:30" x14ac:dyDescent="0.25">
      <c r="A3">
        <v>1</v>
      </c>
      <c r="B3" t="s">
        <v>127</v>
      </c>
      <c r="C3" t="s">
        <v>75</v>
      </c>
      <c r="D3">
        <v>1</v>
      </c>
      <c r="E3">
        <v>2</v>
      </c>
      <c r="F3">
        <v>20</v>
      </c>
      <c r="G3" t="s">
        <v>10</v>
      </c>
      <c r="H3" t="s">
        <v>140</v>
      </c>
      <c r="I3" t="s">
        <v>139</v>
      </c>
      <c r="J3" t="s">
        <v>138</v>
      </c>
      <c r="K3" t="s">
        <v>137</v>
      </c>
      <c r="L3" t="s">
        <v>20</v>
      </c>
      <c r="M3" t="s">
        <v>20</v>
      </c>
      <c r="N3" t="s">
        <v>20</v>
      </c>
      <c r="O3" t="s">
        <v>20</v>
      </c>
      <c r="P3" t="s">
        <v>21</v>
      </c>
      <c r="Q3" t="s">
        <v>34</v>
      </c>
      <c r="R3" t="s">
        <v>52</v>
      </c>
      <c r="S3" t="s">
        <v>21</v>
      </c>
      <c r="T3" t="s">
        <v>34</v>
      </c>
      <c r="U3">
        <v>20</v>
      </c>
      <c r="V3">
        <v>299</v>
      </c>
      <c r="W3" t="s">
        <v>136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29</v>
      </c>
      <c r="AD3" t="s">
        <v>29</v>
      </c>
    </row>
    <row r="4" spans="1:30" x14ac:dyDescent="0.25">
      <c r="A4" s="3">
        <v>2</v>
      </c>
      <c r="B4" s="3" t="s">
        <v>127</v>
      </c>
      <c r="C4" s="3" t="s">
        <v>69</v>
      </c>
      <c r="D4" s="3">
        <v>1</v>
      </c>
      <c r="E4" s="3">
        <v>3</v>
      </c>
      <c r="F4" s="3">
        <v>20</v>
      </c>
      <c r="G4" s="3" t="s">
        <v>11</v>
      </c>
      <c r="H4" s="3" t="s">
        <v>135</v>
      </c>
      <c r="I4" s="3" t="s">
        <v>134</v>
      </c>
      <c r="J4" s="3" t="s">
        <v>133</v>
      </c>
      <c r="K4" s="3" t="s">
        <v>132</v>
      </c>
      <c r="L4" s="3" t="s">
        <v>20</v>
      </c>
      <c r="M4" s="3" t="s">
        <v>131</v>
      </c>
      <c r="N4" s="3" t="s">
        <v>130</v>
      </c>
      <c r="O4" s="3" t="s">
        <v>20</v>
      </c>
      <c r="P4" s="3" t="s">
        <v>20</v>
      </c>
      <c r="Q4" s="3" t="s">
        <v>35</v>
      </c>
      <c r="R4" s="3" t="s">
        <v>52</v>
      </c>
      <c r="S4" s="3" t="s">
        <v>20</v>
      </c>
      <c r="T4" s="3" t="s">
        <v>35</v>
      </c>
      <c r="U4" s="3">
        <v>20</v>
      </c>
      <c r="V4" s="3" t="s">
        <v>20</v>
      </c>
      <c r="W4" s="3" t="s">
        <v>20</v>
      </c>
      <c r="X4" s="3">
        <v>1589</v>
      </c>
      <c r="Y4" s="3" t="s">
        <v>129</v>
      </c>
      <c r="Z4" s="3" t="s">
        <v>128</v>
      </c>
      <c r="AA4" s="3" t="s">
        <v>20</v>
      </c>
      <c r="AB4" s="3" t="s">
        <v>20</v>
      </c>
      <c r="AC4" s="3" t="s">
        <v>27</v>
      </c>
      <c r="AD4" s="3" t="s">
        <v>27</v>
      </c>
    </row>
    <row r="5" spans="1:30" x14ac:dyDescent="0.25">
      <c r="A5" s="3">
        <v>3</v>
      </c>
      <c r="B5" s="3" t="s">
        <v>127</v>
      </c>
      <c r="C5" s="3" t="s">
        <v>58</v>
      </c>
      <c r="D5" s="3">
        <v>1</v>
      </c>
      <c r="E5" s="3">
        <v>4</v>
      </c>
      <c r="F5" s="3">
        <v>20</v>
      </c>
      <c r="G5" s="3" t="s">
        <v>12</v>
      </c>
      <c r="H5" s="3" t="s">
        <v>126</v>
      </c>
      <c r="I5" s="3" t="s">
        <v>125</v>
      </c>
      <c r="J5" s="3" t="s">
        <v>124</v>
      </c>
      <c r="K5" s="3" t="s">
        <v>123</v>
      </c>
      <c r="L5" s="3" t="s">
        <v>122</v>
      </c>
      <c r="M5" s="3" t="s">
        <v>118</v>
      </c>
      <c r="N5" s="3" t="s">
        <v>20</v>
      </c>
      <c r="O5" s="3" t="s">
        <v>20</v>
      </c>
      <c r="P5" s="3" t="s">
        <v>22</v>
      </c>
      <c r="Q5" s="3" t="s">
        <v>36</v>
      </c>
      <c r="R5" s="3" t="s">
        <v>52</v>
      </c>
      <c r="S5" s="3" t="s">
        <v>22</v>
      </c>
      <c r="T5" s="3" t="s">
        <v>36</v>
      </c>
      <c r="U5" s="3">
        <v>20</v>
      </c>
      <c r="V5" s="3">
        <v>1197</v>
      </c>
      <c r="W5" s="3" t="s">
        <v>121</v>
      </c>
      <c r="X5" s="3">
        <v>1241</v>
      </c>
      <c r="Y5" s="3" t="s">
        <v>120</v>
      </c>
      <c r="Z5" s="3" t="s">
        <v>12</v>
      </c>
      <c r="AA5" s="3" t="s">
        <v>119</v>
      </c>
      <c r="AB5" s="3" t="s">
        <v>118</v>
      </c>
      <c r="AC5" s="3" t="s">
        <v>28</v>
      </c>
      <c r="AD5" s="3" t="s">
        <v>28</v>
      </c>
    </row>
    <row r="6" spans="1:30" x14ac:dyDescent="0.25">
      <c r="A6" s="3">
        <v>4</v>
      </c>
      <c r="B6" s="3" t="s">
        <v>91</v>
      </c>
      <c r="C6" s="3" t="s">
        <v>83</v>
      </c>
      <c r="D6" s="3">
        <v>2</v>
      </c>
      <c r="E6" s="3">
        <v>1</v>
      </c>
      <c r="F6" s="3">
        <v>20</v>
      </c>
      <c r="G6" s="3" t="s">
        <v>13</v>
      </c>
      <c r="H6" s="3" t="s">
        <v>117</v>
      </c>
      <c r="I6" s="3" t="s">
        <v>116</v>
      </c>
      <c r="J6" s="3" t="s">
        <v>115</v>
      </c>
      <c r="K6" s="3" t="s">
        <v>114</v>
      </c>
      <c r="L6" s="3" t="s">
        <v>20</v>
      </c>
      <c r="M6" s="3" t="s">
        <v>113</v>
      </c>
      <c r="N6" s="3" t="s">
        <v>102</v>
      </c>
      <c r="O6" s="3" t="s">
        <v>84</v>
      </c>
      <c r="P6" s="3" t="s">
        <v>20</v>
      </c>
      <c r="Q6" s="3" t="s">
        <v>20</v>
      </c>
      <c r="R6" s="3">
        <v>10</v>
      </c>
      <c r="S6" s="3" t="s">
        <v>20</v>
      </c>
      <c r="T6" s="3" t="s">
        <v>20</v>
      </c>
      <c r="U6" s="3">
        <v>10</v>
      </c>
      <c r="V6" s="3">
        <v>870</v>
      </c>
      <c r="W6" s="3" t="s">
        <v>112</v>
      </c>
      <c r="X6" s="3" t="s">
        <v>20</v>
      </c>
      <c r="Y6" s="3" t="s">
        <v>20</v>
      </c>
      <c r="Z6" s="3" t="s">
        <v>20</v>
      </c>
      <c r="AA6" s="3" t="s">
        <v>85</v>
      </c>
      <c r="AB6" s="3" t="s">
        <v>20</v>
      </c>
      <c r="AC6" s="3" t="s">
        <v>43</v>
      </c>
      <c r="AD6" s="3" t="s">
        <v>29</v>
      </c>
    </row>
    <row r="7" spans="1:30" x14ac:dyDescent="0.25">
      <c r="A7">
        <v>5</v>
      </c>
      <c r="B7" t="s">
        <v>91</v>
      </c>
      <c r="C7" t="s">
        <v>75</v>
      </c>
      <c r="D7">
        <v>2</v>
      </c>
      <c r="E7">
        <v>2</v>
      </c>
      <c r="F7">
        <v>20</v>
      </c>
      <c r="G7" t="s">
        <v>14</v>
      </c>
      <c r="H7" t="s">
        <v>111</v>
      </c>
      <c r="I7" t="s">
        <v>110</v>
      </c>
      <c r="J7" t="s">
        <v>109</v>
      </c>
      <c r="K7" t="s">
        <v>108</v>
      </c>
      <c r="L7" t="s">
        <v>20</v>
      </c>
      <c r="M7" t="s">
        <v>107</v>
      </c>
      <c r="N7" t="s">
        <v>106</v>
      </c>
      <c r="O7" t="s">
        <v>84</v>
      </c>
      <c r="P7" t="s">
        <v>105</v>
      </c>
      <c r="Q7" t="s">
        <v>86</v>
      </c>
      <c r="R7">
        <v>10</v>
      </c>
      <c r="S7" t="s">
        <v>23</v>
      </c>
      <c r="T7" t="s">
        <v>37</v>
      </c>
      <c r="U7">
        <v>10</v>
      </c>
      <c r="V7">
        <v>868</v>
      </c>
      <c r="W7" t="s">
        <v>104</v>
      </c>
      <c r="X7" t="s">
        <v>20</v>
      </c>
      <c r="Y7" t="s">
        <v>20</v>
      </c>
      <c r="Z7" t="s">
        <v>103</v>
      </c>
      <c r="AA7" t="s">
        <v>102</v>
      </c>
      <c r="AB7" t="s">
        <v>20</v>
      </c>
      <c r="AC7" t="s">
        <v>28</v>
      </c>
      <c r="AD7" t="s">
        <v>27</v>
      </c>
    </row>
    <row r="8" spans="1:30" x14ac:dyDescent="0.25">
      <c r="A8">
        <v>6</v>
      </c>
      <c r="B8" t="s">
        <v>91</v>
      </c>
      <c r="C8" t="s">
        <v>69</v>
      </c>
      <c r="D8">
        <v>2</v>
      </c>
      <c r="E8">
        <v>3</v>
      </c>
      <c r="F8">
        <v>20</v>
      </c>
      <c r="G8" t="s">
        <v>15</v>
      </c>
      <c r="H8" t="s">
        <v>101</v>
      </c>
      <c r="I8" t="s">
        <v>100</v>
      </c>
      <c r="J8" t="s">
        <v>99</v>
      </c>
      <c r="K8" t="s">
        <v>98</v>
      </c>
      <c r="L8" t="s">
        <v>20</v>
      </c>
      <c r="M8" t="s">
        <v>97</v>
      </c>
      <c r="N8" t="s">
        <v>96</v>
      </c>
      <c r="O8" t="s">
        <v>84</v>
      </c>
      <c r="P8" t="s">
        <v>20</v>
      </c>
      <c r="Q8" t="s">
        <v>95</v>
      </c>
      <c r="R8">
        <v>10</v>
      </c>
      <c r="S8" t="s">
        <v>20</v>
      </c>
      <c r="T8" t="s">
        <v>38</v>
      </c>
      <c r="U8">
        <v>10</v>
      </c>
      <c r="V8">
        <v>864</v>
      </c>
      <c r="W8" t="s">
        <v>94</v>
      </c>
      <c r="X8" t="s">
        <v>20</v>
      </c>
      <c r="Y8" t="s">
        <v>20</v>
      </c>
      <c r="Z8" t="s">
        <v>93</v>
      </c>
      <c r="AA8" t="s">
        <v>92</v>
      </c>
      <c r="AB8" t="s">
        <v>20</v>
      </c>
      <c r="AC8" t="s">
        <v>28</v>
      </c>
      <c r="AD8" t="s">
        <v>27</v>
      </c>
    </row>
    <row r="9" spans="1:30" x14ac:dyDescent="0.25">
      <c r="A9">
        <v>7</v>
      </c>
      <c r="B9" t="s">
        <v>91</v>
      </c>
      <c r="C9" t="s">
        <v>58</v>
      </c>
      <c r="D9">
        <v>2</v>
      </c>
      <c r="E9">
        <v>4</v>
      </c>
      <c r="F9">
        <v>20</v>
      </c>
      <c r="G9" t="s">
        <v>16</v>
      </c>
      <c r="H9" t="s">
        <v>90</v>
      </c>
      <c r="I9" t="s">
        <v>89</v>
      </c>
      <c r="J9" t="s">
        <v>88</v>
      </c>
      <c r="K9" t="s">
        <v>87</v>
      </c>
      <c r="L9" t="s">
        <v>20</v>
      </c>
      <c r="M9" t="s">
        <v>86</v>
      </c>
      <c r="N9" t="s">
        <v>20</v>
      </c>
      <c r="O9" t="s">
        <v>85</v>
      </c>
      <c r="P9" t="s">
        <v>20</v>
      </c>
      <c r="Q9" t="s">
        <v>20</v>
      </c>
      <c r="R9">
        <v>10</v>
      </c>
      <c r="S9" t="s">
        <v>24</v>
      </c>
      <c r="T9" t="s">
        <v>39</v>
      </c>
      <c r="U9">
        <v>10</v>
      </c>
      <c r="V9" t="s">
        <v>20</v>
      </c>
      <c r="W9" t="s">
        <v>20</v>
      </c>
      <c r="X9" t="s">
        <v>20</v>
      </c>
      <c r="Y9" t="s">
        <v>20</v>
      </c>
      <c r="Z9" t="s">
        <v>84</v>
      </c>
      <c r="AA9" t="s">
        <v>20</v>
      </c>
      <c r="AB9" t="s">
        <v>20</v>
      </c>
      <c r="AC9" t="s">
        <v>27</v>
      </c>
      <c r="AD9" t="s">
        <v>27</v>
      </c>
    </row>
    <row r="10" spans="1:30" x14ac:dyDescent="0.25">
      <c r="A10">
        <v>8</v>
      </c>
      <c r="B10" t="s">
        <v>59</v>
      </c>
      <c r="C10" t="s">
        <v>83</v>
      </c>
      <c r="D10">
        <v>3</v>
      </c>
      <c r="E10">
        <v>1</v>
      </c>
      <c r="F10">
        <v>20</v>
      </c>
      <c r="G10" t="s">
        <v>18</v>
      </c>
      <c r="H10" t="s">
        <v>82</v>
      </c>
      <c r="I10" t="s">
        <v>81</v>
      </c>
      <c r="J10" t="s">
        <v>80</v>
      </c>
      <c r="K10" t="s">
        <v>79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52</v>
      </c>
      <c r="S10" t="s">
        <v>20</v>
      </c>
      <c r="T10" t="s">
        <v>20</v>
      </c>
      <c r="U10">
        <v>60</v>
      </c>
      <c r="V10">
        <v>414</v>
      </c>
      <c r="W10" t="s">
        <v>78</v>
      </c>
      <c r="X10">
        <v>399</v>
      </c>
      <c r="Y10" t="s">
        <v>77</v>
      </c>
      <c r="Z10" t="s">
        <v>76</v>
      </c>
      <c r="AA10" t="s">
        <v>20</v>
      </c>
      <c r="AB10" t="s">
        <v>20</v>
      </c>
      <c r="AC10" t="s">
        <v>27</v>
      </c>
      <c r="AD10" t="s">
        <v>27</v>
      </c>
    </row>
    <row r="11" spans="1:30" x14ac:dyDescent="0.25">
      <c r="A11">
        <v>9</v>
      </c>
      <c r="B11" t="s">
        <v>59</v>
      </c>
      <c r="C11" t="s">
        <v>75</v>
      </c>
      <c r="D11">
        <v>3</v>
      </c>
      <c r="E11">
        <v>2</v>
      </c>
      <c r="F11">
        <v>20</v>
      </c>
      <c r="G11" t="s">
        <v>17</v>
      </c>
      <c r="H11" t="s">
        <v>74</v>
      </c>
      <c r="I11" t="s">
        <v>73</v>
      </c>
      <c r="J11" t="s">
        <v>72</v>
      </c>
      <c r="K11" t="s">
        <v>71</v>
      </c>
      <c r="L11" t="s">
        <v>20</v>
      </c>
      <c r="M11" t="s">
        <v>40</v>
      </c>
      <c r="N11" t="s">
        <v>20</v>
      </c>
      <c r="O11" t="s">
        <v>20</v>
      </c>
      <c r="P11" t="s">
        <v>20</v>
      </c>
      <c r="Q11" t="s">
        <v>40</v>
      </c>
      <c r="R11" t="s">
        <v>52</v>
      </c>
      <c r="S11" t="s">
        <v>20</v>
      </c>
      <c r="T11" t="s">
        <v>40</v>
      </c>
      <c r="U11">
        <v>60</v>
      </c>
      <c r="V11" t="s">
        <v>20</v>
      </c>
      <c r="W11" t="s">
        <v>20</v>
      </c>
      <c r="X11">
        <v>1291</v>
      </c>
      <c r="Y11" t="s">
        <v>70</v>
      </c>
      <c r="Z11" t="s">
        <v>20</v>
      </c>
      <c r="AA11" t="s">
        <v>20</v>
      </c>
      <c r="AB11" t="s">
        <v>20</v>
      </c>
      <c r="AC11" t="s">
        <v>29</v>
      </c>
      <c r="AD11" t="s">
        <v>29</v>
      </c>
    </row>
    <row r="12" spans="1:30" x14ac:dyDescent="0.25">
      <c r="A12" s="3">
        <v>10</v>
      </c>
      <c r="B12" s="3" t="s">
        <v>59</v>
      </c>
      <c r="C12" s="3" t="s">
        <v>69</v>
      </c>
      <c r="D12" s="3">
        <v>3</v>
      </c>
      <c r="E12" s="3">
        <v>3</v>
      </c>
      <c r="F12" s="3">
        <v>20</v>
      </c>
      <c r="G12" s="3" t="s">
        <v>17</v>
      </c>
      <c r="H12" s="3" t="s">
        <v>68</v>
      </c>
      <c r="I12" s="3" t="s">
        <v>67</v>
      </c>
      <c r="J12" s="3" t="s">
        <v>66</v>
      </c>
      <c r="K12" s="3" t="s">
        <v>65</v>
      </c>
      <c r="L12" s="3" t="s">
        <v>20</v>
      </c>
      <c r="M12" s="3" t="s">
        <v>64</v>
      </c>
      <c r="N12" s="3" t="s">
        <v>63</v>
      </c>
      <c r="O12" s="3" t="s">
        <v>62</v>
      </c>
      <c r="P12" s="3" t="s">
        <v>20</v>
      </c>
      <c r="Q12" s="3" t="s">
        <v>41</v>
      </c>
      <c r="R12" s="3" t="s">
        <v>52</v>
      </c>
      <c r="S12" s="3" t="s">
        <v>20</v>
      </c>
      <c r="T12" s="3" t="s">
        <v>41</v>
      </c>
      <c r="U12" s="3">
        <v>60</v>
      </c>
      <c r="V12" s="3">
        <v>1539</v>
      </c>
      <c r="W12" s="3" t="s">
        <v>61</v>
      </c>
      <c r="X12" s="3">
        <v>5760</v>
      </c>
      <c r="Y12" s="3" t="s">
        <v>60</v>
      </c>
      <c r="Z12" s="3" t="s">
        <v>20</v>
      </c>
      <c r="AA12" s="3" t="s">
        <v>20</v>
      </c>
      <c r="AB12" s="3" t="s">
        <v>20</v>
      </c>
      <c r="AC12" s="3" t="s">
        <v>29</v>
      </c>
      <c r="AD12" s="3" t="s">
        <v>29</v>
      </c>
    </row>
    <row r="13" spans="1:30" x14ac:dyDescent="0.25">
      <c r="A13">
        <v>11</v>
      </c>
      <c r="B13" t="s">
        <v>59</v>
      </c>
      <c r="C13" t="s">
        <v>58</v>
      </c>
      <c r="D13">
        <v>3</v>
      </c>
      <c r="E13">
        <v>4</v>
      </c>
      <c r="F13">
        <v>20</v>
      </c>
      <c r="G13" t="s">
        <v>17</v>
      </c>
      <c r="H13" t="s">
        <v>57</v>
      </c>
      <c r="I13" t="s">
        <v>56</v>
      </c>
      <c r="J13" t="s">
        <v>55</v>
      </c>
      <c r="K13" t="s">
        <v>54</v>
      </c>
      <c r="L13" t="s">
        <v>25</v>
      </c>
      <c r="M13" t="s">
        <v>53</v>
      </c>
      <c r="N13" t="s">
        <v>20</v>
      </c>
      <c r="O13" t="s">
        <v>20</v>
      </c>
      <c r="P13" t="s">
        <v>25</v>
      </c>
      <c r="Q13" t="s">
        <v>42</v>
      </c>
      <c r="R13" t="s">
        <v>52</v>
      </c>
      <c r="S13" t="s">
        <v>25</v>
      </c>
      <c r="T13" t="s">
        <v>42</v>
      </c>
      <c r="U13">
        <v>60</v>
      </c>
      <c r="V13">
        <v>5656</v>
      </c>
      <c r="W13" t="s">
        <v>51</v>
      </c>
      <c r="X13">
        <v>6055</v>
      </c>
      <c r="Y13" t="s">
        <v>50</v>
      </c>
      <c r="Z13" t="s">
        <v>20</v>
      </c>
      <c r="AA13" t="s">
        <v>20</v>
      </c>
      <c r="AB13" t="s">
        <v>20</v>
      </c>
      <c r="AC13" t="s">
        <v>29</v>
      </c>
      <c r="AD13" t="s">
        <v>29</v>
      </c>
    </row>
    <row r="15" spans="1:30" x14ac:dyDescent="0.25">
      <c r="AB15" s="46" t="s">
        <v>28</v>
      </c>
      <c r="AC15" s="2">
        <f>COUNTIF(AC$2:AC$13,$AB15)</f>
        <v>3</v>
      </c>
      <c r="AD15" s="2">
        <f>COUNTIF(AD$2:AD$13,$AB15)</f>
        <v>1</v>
      </c>
    </row>
    <row r="16" spans="1:30" x14ac:dyDescent="0.25">
      <c r="AB16" s="46" t="s">
        <v>27</v>
      </c>
      <c r="AC16" s="2">
        <f t="shared" ref="AC16:AD18" si="0">COUNTIF(AC$2:AC$13,$AB16)</f>
        <v>3</v>
      </c>
      <c r="AD16" s="2">
        <f t="shared" si="0"/>
        <v>5</v>
      </c>
    </row>
    <row r="17" spans="28:30" x14ac:dyDescent="0.25">
      <c r="AB17" s="46" t="s">
        <v>43</v>
      </c>
      <c r="AC17" s="2">
        <f t="shared" si="0"/>
        <v>1</v>
      </c>
      <c r="AD17" s="2">
        <f t="shared" si="0"/>
        <v>0</v>
      </c>
    </row>
    <row r="18" spans="28:30" x14ac:dyDescent="0.25">
      <c r="AB18" s="46" t="s">
        <v>29</v>
      </c>
      <c r="AC18" s="2">
        <f t="shared" si="0"/>
        <v>5</v>
      </c>
      <c r="AD18" s="2">
        <f t="shared" si="0"/>
        <v>6</v>
      </c>
    </row>
    <row r="20" spans="28:30" x14ac:dyDescent="0.25">
      <c r="AB20" s="48" t="s">
        <v>46</v>
      </c>
      <c r="AC20" s="47">
        <f>AC15/(AC15+AC16)</f>
        <v>0.5</v>
      </c>
      <c r="AD20" s="47">
        <f>AD15/(AD15+AD16)</f>
        <v>0.16666666666666666</v>
      </c>
    </row>
    <row r="21" spans="28:30" x14ac:dyDescent="0.25">
      <c r="AB21" s="48" t="s">
        <v>47</v>
      </c>
      <c r="AC21" s="47">
        <f>AC18/(AC18+AC17)</f>
        <v>0.83333333333333337</v>
      </c>
      <c r="AD21" s="47">
        <f>AD18/(AD18+AD17)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4133-ABE0-407F-B0EA-93752E1EA5BA}">
  <dimension ref="A1:D4"/>
  <sheetViews>
    <sheetView workbookViewId="0">
      <selection sqref="A1:B2"/>
    </sheetView>
  </sheetViews>
  <sheetFormatPr defaultRowHeight="15" x14ac:dyDescent="0.25"/>
  <cols>
    <col min="1" max="2" width="5.7109375" customWidth="1"/>
  </cols>
  <sheetData>
    <row r="1" spans="1:4" x14ac:dyDescent="0.25">
      <c r="A1" s="38" t="s">
        <v>6</v>
      </c>
      <c r="B1" s="38"/>
      <c r="C1" s="12" t="s">
        <v>7</v>
      </c>
      <c r="D1" s="12"/>
    </row>
    <row r="2" spans="1:4" x14ac:dyDescent="0.25">
      <c r="A2" s="38"/>
      <c r="B2" s="38"/>
      <c r="C2" s="13" t="b">
        <v>1</v>
      </c>
      <c r="D2" s="13" t="b">
        <v>0</v>
      </c>
    </row>
    <row r="3" spans="1:4" ht="29.25" x14ac:dyDescent="0.25">
      <c r="A3" s="14" t="s">
        <v>8</v>
      </c>
      <c r="B3" s="15" t="b">
        <v>1</v>
      </c>
      <c r="C3" s="36" t="s">
        <v>28</v>
      </c>
      <c r="D3" s="36" t="s">
        <v>43</v>
      </c>
    </row>
    <row r="4" spans="1:4" ht="32.25" x14ac:dyDescent="0.25">
      <c r="A4" s="14"/>
      <c r="B4" s="15" t="b">
        <v>0</v>
      </c>
      <c r="C4" s="37" t="s">
        <v>27</v>
      </c>
      <c r="D4" s="37" t="s">
        <v>29</v>
      </c>
    </row>
  </sheetData>
  <mergeCells count="3">
    <mergeCell ref="C1:D1"/>
    <mergeCell ref="A3:A4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Summary_TruncData</vt:lpstr>
      <vt:lpstr>results</vt:lpstr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Rindler, Nadav (Contractor)</dc:creator>
  <cp:lastModifiedBy>Rindler, Nadav (Contractor)</cp:lastModifiedBy>
  <dcterms:created xsi:type="dcterms:W3CDTF">2024-04-09T17:22:07Z</dcterms:created>
  <dcterms:modified xsi:type="dcterms:W3CDTF">2024-04-10T17:28:39Z</dcterms:modified>
</cp:coreProperties>
</file>