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romano/Desktop/TheDataKnights/TMP3_Chemical_Manufacturing_Analysis/"/>
    </mc:Choice>
  </mc:AlternateContent>
  <xr:revisionPtr revIDLastSave="0" documentId="13_ncr:1_{C748912A-B33E-7647-90B2-22C702B2798D}" xr6:coauthVersionLast="47" xr6:coauthVersionMax="47" xr10:uidLastSave="{00000000-0000-0000-0000-000000000000}"/>
  <bookViews>
    <workbookView xWindow="0" yWindow="500" windowWidth="28800" windowHeight="16340" xr2:uid="{B8CA6AD4-46E5-6742-BA86-502C679B31DB}"/>
  </bookViews>
  <sheets>
    <sheet name="Model Worksheet" sheetId="1" r:id="rId1"/>
    <sheet name="Sensitivity Analysis" sheetId="9" r:id="rId2"/>
  </sheets>
  <definedNames>
    <definedName name="Decision_Variables">'Model Worksheet'!$F$3:$F$6</definedName>
    <definedName name="Direct_Labor_Costs_Primary_Product">'Model Worksheet'!$C$10</definedName>
    <definedName name="Direct_Labor_Costs_Secondary_Product_K">'Model Worksheet'!$C$11</definedName>
    <definedName name="Direct_Labor_Costs_Secondary_Product_M">'Model Worksheet'!$C$12</definedName>
    <definedName name="Direct_Labor_Costs_Special_Treament_of_Liquid_Waste">'Model Worksheet'!$C$13</definedName>
    <definedName name="Liquid_Waste_Devoted_to_Secondary_Product_K">'Model Worksheet'!$F$21</definedName>
    <definedName name="Liquid_Waste_Devoted_to_Secondary_Product_M">'Model Worksheet'!$F$19</definedName>
    <definedName name="Liquid_Waste_Produced__Primary_Product_Byproduct">'Model Worksheet'!$F$13</definedName>
    <definedName name="Monthly_Administrative_Costs">'Model Worksheet'!$C$5</definedName>
    <definedName name="Monthly_Refinery_Overhead_Costs">'Model Worksheet'!$C$6</definedName>
    <definedName name="Primary_Product_Production_Costs">'Model Worksheet'!$C$25</definedName>
    <definedName name="Primary_Product_Selling_Price">'Model Worksheet'!$C$15</definedName>
    <definedName name="Primary_Product_Unit_Profit">'Model Worksheet'!$C$30</definedName>
    <definedName name="Production_Costs">'Model Worksheet'!$C$25:$C$28</definedName>
    <definedName name="Production_Level__Primary_Product">'Model Worksheet'!$F$12</definedName>
    <definedName name="Production_Level__Secondary_Product_K">'Model Worksheet'!$F$17</definedName>
    <definedName name="Production_Level__Secondary_Product_M">'Model Worksheet'!$F$20</definedName>
    <definedName name="Production_Level__Specially_Treated_Liquid_Waste">'Model Worksheet'!$F$22</definedName>
    <definedName name="Production_Level_of_Primary_Product">'Model Worksheet'!$F$3</definedName>
    <definedName name="Production_Level_of_Secondary_Product_K">'Model Worksheet'!$F$4</definedName>
    <definedName name="Production_Level_of_Secondary_Product_M">'Model Worksheet'!$F$5</definedName>
    <definedName name="Production_Level_of_Specially_Treated_Liquid_Waste">'Model Worksheet'!$F$6</definedName>
    <definedName name="Raw_Material_X">'Model Worksheet'!$C$20</definedName>
    <definedName name="Raw_Material_X_Costs">'Model Worksheet'!$C$8</definedName>
    <definedName name="Raw_Material_X_Devoted_to_Primary_Product">'Model Worksheet'!$F$10</definedName>
    <definedName name="Raw_Material_X_Devoted_to_Secondary_Product_K">'Model Worksheet'!$F$15</definedName>
    <definedName name="Raw_Material_Y">'Model Worksheet'!$C$21</definedName>
    <definedName name="Raw_Material_Y_Costs">'Model Worksheet'!$C$9</definedName>
    <definedName name="Raw_Material_Y_Devoted_to_Primary_Product">'Model Worksheet'!$F$11</definedName>
    <definedName name="Raw_Material_Y_Devoted_to_Secondary_Product_M">'Model Worksheet'!$F$18</definedName>
    <definedName name="Remaining_Liquid_Waste">'Model Worksheet'!$I$6</definedName>
    <definedName name="Secondary_Product_K_Production_Costs">'Model Worksheet'!$C$26</definedName>
    <definedName name="Secondary_Product_K_Selling_Price">'Model Worksheet'!$C$16</definedName>
    <definedName name="Secondary_Product_K_Unit_Profit">'Model Worksheet'!$C$31</definedName>
    <definedName name="Secondary_Product_M_Production_Costs">'Model Worksheet'!$C$27</definedName>
    <definedName name="Secondary_Product_M_Selling_Price">'Model Worksheet'!$C$17</definedName>
    <definedName name="Secondary_Product_M_Unit_Profit">'Model Worksheet'!$C$32</definedName>
    <definedName name="Selling_Prices">'Model Worksheet'!$C$15:$C$18</definedName>
    <definedName name="Solid_Waste_Produced__Primary_Product_Byproduct">'Model Worksheet'!$F$14</definedName>
    <definedName name="solver_adj" localSheetId="0" hidden="1">'Model Worksheet'!$F$3:$F$6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'Model Worksheet'!$I$6</definedName>
    <definedName name="solver_lhs2" localSheetId="0" hidden="1">'Model Worksheet'!$I$4</definedName>
    <definedName name="solver_lhs3" localSheetId="0" hidden="1">'Model Worksheet'!$I$5</definedName>
    <definedName name="solver_lhs4" localSheetId="0" hidden="1">'Model Worksheet'!$I$5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'Model Worksheet'!$I$23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'Model Worksheet'!$K$6</definedName>
    <definedName name="solver_rhs2" localSheetId="0" hidden="1">'Model Worksheet'!$K$4</definedName>
    <definedName name="solver_rhs3" localSheetId="0" hidden="1">'Model Worksheet'!$K$5</definedName>
    <definedName name="solver_rhs4" localSheetId="0" hidden="1">'Model Worksheet'!$K$5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Special_Liquid_Waste_Treatment_Production_Costs">'Model Worksheet'!$C$28</definedName>
    <definedName name="Special_Treatment_Liquid_Waste_Selling_Price">'Model Worksheet'!$C$18</definedName>
    <definedName name="Special_Treatment_Liquid_Waste_Unit_Profit">'Model Worksheet'!$C$33</definedName>
    <definedName name="Toral_Costs">'Model Worksheet'!$I$22</definedName>
    <definedName name="Total_Fixed_Costs">'Model Worksheet'!$I$16</definedName>
    <definedName name="Total_Monthly_Administraive_Costs">'Model Worksheet'!$I$14</definedName>
    <definedName name="Total_Monthly_Refinery_Costs">'Model Worksheet'!$I$15</definedName>
    <definedName name="Total_Primary_Product_Production_Costs">'Model Worksheet'!$I$17</definedName>
    <definedName name="Total_Primary_Product_Rvenue">'Model Worksheet'!$I$9</definedName>
    <definedName name="Total_Production_Costs">'Model Worksheet'!$I$21</definedName>
    <definedName name="Total_Profit">'Model Worksheet'!$I$23</definedName>
    <definedName name="Total_Raw_Material_X_Used">'Model Worksheet'!$I$4</definedName>
    <definedName name="Total_Raw_Material_Y_Used">'Model Worksheet'!$I$5</definedName>
    <definedName name="Total_Revenue">'Model Worksheet'!$I$13</definedName>
    <definedName name="Total_Secondary_Product_K_Production_Costs">'Model Worksheet'!$I$18</definedName>
    <definedName name="Total_Secondary_Product_K_Revenue">'Model Worksheet'!$I$10</definedName>
    <definedName name="Total_Secondary_Product_M_Production_Costs">'Model Worksheet'!$I$19</definedName>
    <definedName name="Total_Secondary_Product_M_Revenue">'Model Worksheet'!$I$11</definedName>
    <definedName name="Total_Special_Treatment_of_Liquid_Waste_Production_Costs">'Model Worksheet'!$I$20</definedName>
    <definedName name="Total_Special_Treatment_of_Liquid_Waste_Revenue">'Model Worksheet'!$I$12</definedName>
    <definedName name="Unit_Profits">'Model Worksheet'!$C$30:$C$33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I20" i="1"/>
  <c r="I19" i="1"/>
  <c r="I18" i="1"/>
  <c r="I16" i="1"/>
  <c r="I15" i="1"/>
  <c r="I14" i="1"/>
  <c r="I13" i="1"/>
  <c r="I12" i="1"/>
  <c r="I11" i="1"/>
  <c r="I10" i="1"/>
  <c r="I9" i="1"/>
  <c r="I6" i="1"/>
  <c r="I5" i="1"/>
  <c r="I4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C33" i="1"/>
  <c r="C32" i="1"/>
  <c r="C31" i="1"/>
  <c r="C28" i="1"/>
  <c r="C27" i="1"/>
  <c r="C26" i="1"/>
  <c r="C25" i="1"/>
  <c r="C30" i="1" s="1"/>
  <c r="I23" i="1" s="1"/>
  <c r="K5" i="1"/>
  <c r="K4" i="1"/>
  <c r="C8" i="1"/>
  <c r="C9" i="1"/>
  <c r="I17" i="1" l="1"/>
  <c r="I21" i="1"/>
  <c r="I22" i="1" s="1"/>
</calcChain>
</file>

<file path=xl/sharedStrings.xml><?xml version="1.0" encoding="utf-8"?>
<sst xmlns="http://schemas.openxmlformats.org/spreadsheetml/2006/main" count="121" uniqueCount="108">
  <si>
    <t>Known Variables</t>
  </si>
  <si>
    <t>Costs</t>
  </si>
  <si>
    <t>Monthly Administrative Costs</t>
  </si>
  <si>
    <t>Raw Material X Costs</t>
  </si>
  <si>
    <t>Selling Prices</t>
  </si>
  <si>
    <t>Primary Product Selling Price</t>
  </si>
  <si>
    <t>Secondary Product K Selling Price</t>
  </si>
  <si>
    <t>Primary Product Production Costs</t>
  </si>
  <si>
    <t>Special Liquid Waste Treatment Production Costs</t>
  </si>
  <si>
    <t>Unit Profit</t>
  </si>
  <si>
    <t>Primary Product Unit Profit</t>
  </si>
  <si>
    <t>Secondary Product K Unit Profit</t>
  </si>
  <si>
    <t>Available Mothly Resources</t>
  </si>
  <si>
    <t>Raw Material X</t>
  </si>
  <si>
    <t>Raw Material Y</t>
  </si>
  <si>
    <t>Raw Material Y Costs</t>
  </si>
  <si>
    <t>Calculated Variables</t>
  </si>
  <si>
    <t>Fixed Costs</t>
  </si>
  <si>
    <t>Variable Costs</t>
  </si>
  <si>
    <t>Monthly Refinery Overhead Costs</t>
  </si>
  <si>
    <t>Production Costs</t>
  </si>
  <si>
    <t>Direct Labor Costs Primary Product</t>
  </si>
  <si>
    <t>Direct Labor Costs Secondary Product K</t>
  </si>
  <si>
    <t>Direct Labor Costs Secondary Product M</t>
  </si>
  <si>
    <t>Direct Labor Costs Special Treament of Liquid Waste</t>
  </si>
  <si>
    <t>Special Treatment Liquid Waste Selling Price</t>
  </si>
  <si>
    <t>Secondary Product M Selling Price</t>
  </si>
  <si>
    <t>Secondary Product K Production Costs</t>
  </si>
  <si>
    <t>Secondary Product M Production Costs</t>
  </si>
  <si>
    <t>Secondary Product M Unit Profit</t>
  </si>
  <si>
    <t>Special Treatment Liquid Waste Unit Profit</t>
  </si>
  <si>
    <t>Decision Variables</t>
  </si>
  <si>
    <t>Production Level of Primary Product</t>
  </si>
  <si>
    <t>Production Level of Secondary Product K</t>
  </si>
  <si>
    <t>Production Level of Specially Treated Liquid Waste</t>
  </si>
  <si>
    <t>Production Level Overview</t>
  </si>
  <si>
    <t>Resource/Product/Treatment</t>
  </si>
  <si>
    <t>Resource Used/Production Level</t>
  </si>
  <si>
    <t>Raw Material X Devoted to Primary Product</t>
  </si>
  <si>
    <t>Raw Material Y Devoted to Primary Product</t>
  </si>
  <si>
    <t>Production Level (Primary Product)</t>
  </si>
  <si>
    <t>Liquid Waste Produced (Primary Product Byproduct)</t>
  </si>
  <si>
    <t>Solid Waste Produced (Primary Product Byproduct)</t>
  </si>
  <si>
    <t>Raw Material X Devoted to Secondary Product K</t>
  </si>
  <si>
    <t>Liquid Waste Devoted to Secondary Product K</t>
  </si>
  <si>
    <t>Production Level (Secondary Product K)</t>
  </si>
  <si>
    <t>Production Level (Specially Treated Liquid Waste)</t>
  </si>
  <si>
    <t>Constraint</t>
  </si>
  <si>
    <t>Constraints</t>
  </si>
  <si>
    <t>Current Value</t>
  </si>
  <si>
    <t>Bounded/Allowed Value</t>
  </si>
  <si>
    <t>Total Raw Material X Used</t>
  </si>
  <si>
    <t>Total Raw Material Y Used</t>
  </si>
  <si>
    <t>Remaining Liquid Waste</t>
  </si>
  <si>
    <t>&lt;=</t>
  </si>
  <si>
    <t>=</t>
  </si>
  <si>
    <t>Total Revenue</t>
  </si>
  <si>
    <t>Production Level of Secondary Product M</t>
  </si>
  <si>
    <t>Total Monthly Administraive Costs</t>
  </si>
  <si>
    <t>Total Monthly Refinery Costs</t>
  </si>
  <si>
    <t>Total Fixed Costs</t>
  </si>
  <si>
    <t>Total Production Costs</t>
  </si>
  <si>
    <t>Toral Costs</t>
  </si>
  <si>
    <t>Total Profit</t>
  </si>
  <si>
    <t>Microsoft Excel 16.80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</si>
  <si>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</si>
  <si>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</si>
  <si>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</si>
  <si>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</si>
  <si>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</si>
  <si>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</si>
  <si>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</si>
  <si>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</si>
  <si>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</si>
  <si>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</si>
  <si>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</si>
  <si>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</si>
  <si>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</si>
  <si>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</si>
  <si>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R.H. Side</t>
  </si>
  <si>
    <t>$F$3</t>
  </si>
  <si>
    <t>$F$4</t>
  </si>
  <si>
    <t>$F$5</t>
  </si>
  <si>
    <t>$F$6</t>
  </si>
  <si>
    <t>$I$4</t>
  </si>
  <si>
    <t>$I$5</t>
  </si>
  <si>
    <t>$I$6</t>
  </si>
  <si>
    <t>Raw Material Y Devoted to Secondary Product M</t>
  </si>
  <si>
    <t>Liquid Waste Devoted to Secondary Product M</t>
  </si>
  <si>
    <t>Production Level (Secondary Product M)</t>
  </si>
  <si>
    <t>Total Primary Product Production Costs</t>
  </si>
  <si>
    <t>Total Secondary Product K Production Costs</t>
  </si>
  <si>
    <t>Total Secondary Product M Production Costs</t>
  </si>
  <si>
    <t>Total Special Treatment of Liquid Waste Production Costs</t>
  </si>
  <si>
    <t>Total Primary Product Rvenue</t>
  </si>
  <si>
    <t>Total Secondary Product K Revenue</t>
  </si>
  <si>
    <t>Total Secondary Product M Revenue</t>
  </si>
  <si>
    <t>Total Special Treatment of Liquid Waste Revenue</t>
  </si>
  <si>
    <t>Output</t>
  </si>
  <si>
    <t>Worksheet: [TMP3_Chemical_Analysis_Excel.xlsx]Model Worksheet</t>
  </si>
  <si>
    <t>Production_Level_of_Primary_Product</t>
  </si>
  <si>
    <t>Production_Level_of_Secondary_Product_K</t>
  </si>
  <si>
    <t>Production_Level_of_Secondary_Product_M</t>
  </si>
  <si>
    <t>Production_Level_of_Specially_Treated_Liquid_Waste</t>
  </si>
  <si>
    <t>Remaining_Liquid_Waste</t>
  </si>
  <si>
    <t>Total_Raw_Material_X_Used</t>
  </si>
  <si>
    <t>Total_Raw_Material_Y_Used</t>
  </si>
  <si>
    <t>Report Created: 3/6/24 8:24:47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</si>
</sst>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6" fillId="11" borderId="1" xfId="0" applyFont="1" applyFill="1" applyBorder="1" applyAlignment="1">
      <alignment horizontal="center"/>
    </xf>
    <xf numFmtId="0" fontId="0" fillId="13" borderId="2" xfId="0" applyFill="1" applyBorder="1" applyAlignment="1">
      <alignment horizontal="right"/>
    </xf>
    <xf numFmtId="0" fontId="0" fillId="16" borderId="10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4" fontId="0" fillId="5" borderId="11" xfId="0" applyNumberFormat="1" applyFill="1" applyBorder="1"/>
    <xf numFmtId="164" fontId="0" fillId="5" borderId="3" xfId="0" applyNumberFormat="1" applyFill="1" applyBorder="1"/>
    <xf numFmtId="164" fontId="0" fillId="5" borderId="5" xfId="0" applyNumberFormat="1" applyFill="1" applyBorder="1"/>
    <xf numFmtId="164" fontId="0" fillId="5" borderId="2" xfId="0" applyNumberFormat="1" applyFill="1" applyBorder="1"/>
    <xf numFmtId="164" fontId="0" fillId="5" borderId="4" xfId="0" applyNumberFormat="1" applyFill="1" applyBorder="1"/>
    <xf numFmtId="1" fontId="0" fillId="5" borderId="5" xfId="1" applyNumberFormat="1" applyFont="1" applyFill="1" applyBorder="1" applyAlignment="1">
      <alignment horizontal="right"/>
    </xf>
    <xf numFmtId="1" fontId="0" fillId="5" borderId="3" xfId="1" applyNumberFormat="1" applyFont="1" applyFill="1" applyBorder="1" applyAlignment="1">
      <alignment horizontal="right"/>
    </xf>
    <xf numFmtId="0" fontId="5" fillId="8" borderId="16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2" borderId="8" xfId="0" applyFont="1" applyFill="1" applyBorder="1"/>
    <xf numFmtId="0" fontId="5" fillId="12" borderId="10" xfId="0" applyFont="1" applyFill="1" applyBorder="1"/>
    <xf numFmtId="0" fontId="0" fillId="12" borderId="8" xfId="0" applyFill="1" applyBorder="1"/>
    <xf numFmtId="0" fontId="0" fillId="12" borderId="10" xfId="0" applyFill="1" applyBorder="1"/>
    <xf numFmtId="0" fontId="6" fillId="12" borderId="10" xfId="0" applyFont="1" applyFill="1" applyBorder="1" applyAlignment="1">
      <alignment horizontal="right"/>
    </xf>
    <xf numFmtId="0" fontId="6" fillId="12" borderId="9" xfId="0" applyFont="1" applyFill="1" applyBorder="1" applyAlignment="1">
      <alignment horizontal="right"/>
    </xf>
    <xf numFmtId="0" fontId="3" fillId="12" borderId="9" xfId="0" applyFont="1" applyFill="1" applyBorder="1" applyAlignment="1">
      <alignment horizontal="right"/>
    </xf>
    <xf numFmtId="0" fontId="0" fillId="13" borderId="5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1" fontId="0" fillId="16" borderId="10" xfId="0" applyNumberFormat="1" applyFill="1" applyBorder="1" applyAlignment="1">
      <alignment horizontal="center"/>
    </xf>
    <xf numFmtId="0" fontId="3" fillId="0" borderId="0" xfId="0" applyFont="1"/>
    <xf numFmtId="0" fontId="0" fillId="18" borderId="10" xfId="0" applyFill="1" applyBorder="1" applyAlignment="1">
      <alignment horizontal="left"/>
    </xf>
    <xf numFmtId="0" fontId="0" fillId="18" borderId="20" xfId="0" applyFill="1" applyBorder="1" applyAlignment="1">
      <alignment horizontal="left"/>
    </xf>
    <xf numFmtId="0" fontId="0" fillId="18" borderId="16" xfId="0" applyFill="1" applyBorder="1" applyAlignment="1">
      <alignment horizontal="left"/>
    </xf>
    <xf numFmtId="0" fontId="3" fillId="19" borderId="1" xfId="0" applyFont="1" applyFill="1" applyBorder="1" applyAlignment="1">
      <alignment horizontal="right"/>
    </xf>
    <xf numFmtId="0" fontId="3" fillId="13" borderId="2" xfId="0" applyFont="1" applyFill="1" applyBorder="1" applyAlignment="1">
      <alignment horizontal="left" indent="1"/>
    </xf>
    <xf numFmtId="0" fontId="3" fillId="13" borderId="3" xfId="0" applyFont="1" applyFill="1" applyBorder="1" applyAlignment="1">
      <alignment horizontal="left" indent="1"/>
    </xf>
    <xf numFmtId="0" fontId="0" fillId="16" borderId="16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1" fontId="0" fillId="16" borderId="16" xfId="0" applyNumberForma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0" fillId="20" borderId="5" xfId="0" applyNumberFormat="1" applyFill="1" applyBorder="1" applyAlignment="1">
      <alignment horizontal="left"/>
    </xf>
    <xf numFmtId="164" fontId="0" fillId="20" borderId="2" xfId="0" applyNumberFormat="1" applyFill="1" applyBorder="1" applyAlignment="1">
      <alignment horizontal="left"/>
    </xf>
    <xf numFmtId="164" fontId="0" fillId="20" borderId="4" xfId="0" applyNumberFormat="1" applyFill="1" applyBorder="1" applyAlignment="1">
      <alignment horizontal="left"/>
    </xf>
    <xf numFmtId="164" fontId="3" fillId="20" borderId="18" xfId="0" applyNumberFormat="1" applyFont="1" applyFill="1" applyBorder="1"/>
    <xf numFmtId="0" fontId="0" fillId="0" borderId="23" xfId="0" applyBorder="1"/>
    <xf numFmtId="0" fontId="0" fillId="0" borderId="24" xfId="0" applyBorder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19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B8987"/>
      <color rgb="FFE96558"/>
      <color rgb="FFEB5147"/>
      <color rgb="FFF63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3279-4016-5D42-AC8B-22CF0DD86826}">
  <sheetPr>
    <pageSetUpPr fitToPage="1"/>
  </sheetPr>
  <dimension ref="B1:K33"/>
  <sheetViews>
    <sheetView tabSelected="1" zoomScale="62" workbookViewId="0">
      <selection activeCell="H27" sqref="H27"/>
    </sheetView>
  </sheetViews>
  <sheetFormatPr baseColWidth="10" defaultRowHeight="16" x14ac:dyDescent="0.2"/>
  <cols>
    <col min="1" max="1" width="3.6640625" customWidth="1"/>
    <col min="2" max="2" width="45" bestFit="1" customWidth="1"/>
    <col min="4" max="4" width="3.6640625" customWidth="1"/>
    <col min="5" max="5" width="45.83203125" bestFit="1" customWidth="1"/>
    <col min="6" max="6" width="28" bestFit="1" customWidth="1"/>
    <col min="7" max="7" width="3.6640625" customWidth="1"/>
    <col min="8" max="8" width="44.5" bestFit="1" customWidth="1"/>
    <col min="9" max="9" width="12.33203125" bestFit="1" customWidth="1"/>
    <col min="10" max="10" width="3.6640625" customWidth="1"/>
    <col min="11" max="11" width="21.1640625" bestFit="1" customWidth="1"/>
  </cols>
  <sheetData>
    <row r="1" spans="2:11" ht="17" thickBot="1" x14ac:dyDescent="0.25"/>
    <row r="2" spans="2:11" ht="17" thickBot="1" x14ac:dyDescent="0.25">
      <c r="B2" s="60" t="s">
        <v>0</v>
      </c>
      <c r="C2" s="61"/>
      <c r="E2" s="64" t="s">
        <v>31</v>
      </c>
      <c r="F2" s="65"/>
      <c r="H2" s="51" t="s">
        <v>48</v>
      </c>
      <c r="I2" s="52"/>
      <c r="J2" s="52"/>
      <c r="K2" s="53"/>
    </row>
    <row r="3" spans="2:11" ht="17" thickBot="1" x14ac:dyDescent="0.25">
      <c r="B3" s="56" t="s">
        <v>1</v>
      </c>
      <c r="C3" s="57"/>
      <c r="E3" s="16" t="s">
        <v>32</v>
      </c>
      <c r="F3" s="17">
        <v>4500</v>
      </c>
      <c r="H3" s="42" t="s">
        <v>47</v>
      </c>
      <c r="I3" s="42" t="s">
        <v>49</v>
      </c>
      <c r="J3" s="42"/>
      <c r="K3" s="42" t="s">
        <v>50</v>
      </c>
    </row>
    <row r="4" spans="2:11" ht="17" thickBot="1" x14ac:dyDescent="0.25">
      <c r="B4" s="62" t="s">
        <v>17</v>
      </c>
      <c r="C4" s="63"/>
      <c r="E4" s="18" t="s">
        <v>33</v>
      </c>
      <c r="F4" s="19">
        <v>5999.9999999999982</v>
      </c>
      <c r="H4" s="39" t="s">
        <v>51</v>
      </c>
      <c r="I4" s="39">
        <f>Production_Level_of_Primary_Product+(Production_Level_of_Secondary_Product_K/2)</f>
        <v>7499.9999999999991</v>
      </c>
      <c r="J4" s="40" t="s">
        <v>54</v>
      </c>
      <c r="K4" s="41">
        <f>C20</f>
        <v>7500</v>
      </c>
    </row>
    <row r="5" spans="2:11" ht="17" thickBot="1" x14ac:dyDescent="0.25">
      <c r="B5" s="1" t="s">
        <v>2</v>
      </c>
      <c r="C5" s="9">
        <v>13000</v>
      </c>
      <c r="E5" s="18" t="s">
        <v>57</v>
      </c>
      <c r="F5" s="19">
        <v>0</v>
      </c>
      <c r="H5" s="6" t="s">
        <v>52</v>
      </c>
      <c r="I5" s="6">
        <f>(Production_Level_of_Primary_Product*2)+(Production_Level_of_Secondary_Product_M/2)</f>
        <v>9000</v>
      </c>
      <c r="J5" s="8" t="s">
        <v>54</v>
      </c>
      <c r="K5" s="31">
        <f>C21</f>
        <v>9000</v>
      </c>
    </row>
    <row r="6" spans="2:11" ht="17" thickBot="1" x14ac:dyDescent="0.25">
      <c r="B6" s="2" t="s">
        <v>19</v>
      </c>
      <c r="C6" s="10">
        <v>4500</v>
      </c>
      <c r="E6" s="20" t="s">
        <v>34</v>
      </c>
      <c r="F6" s="21">
        <v>1500.0000000000009</v>
      </c>
      <c r="H6" s="7" t="s">
        <v>53</v>
      </c>
      <c r="I6" s="7">
        <f>Production_Level_of_Primary_Product-(Production_Level_of_Secondary_Product_K/2)-(Production_Level_of_Secondary_Product_M/2)-Production_Level_of_Specially_Treated_Liquid_Waste</f>
        <v>0</v>
      </c>
      <c r="J6" s="8" t="s">
        <v>55</v>
      </c>
      <c r="K6" s="7">
        <v>0</v>
      </c>
    </row>
    <row r="7" spans="2:11" ht="17" thickBot="1" x14ac:dyDescent="0.25">
      <c r="B7" s="58" t="s">
        <v>18</v>
      </c>
      <c r="C7" s="59"/>
    </row>
    <row r="8" spans="2:11" ht="17" thickBot="1" x14ac:dyDescent="0.25">
      <c r="B8" s="1" t="s">
        <v>3</v>
      </c>
      <c r="C8" s="11">
        <f>16000/12000</f>
        <v>1.3333333333333333</v>
      </c>
      <c r="E8" s="66" t="s">
        <v>35</v>
      </c>
      <c r="F8" s="67"/>
      <c r="H8" s="54" t="s">
        <v>98</v>
      </c>
      <c r="I8" s="55"/>
    </row>
    <row r="9" spans="2:11" ht="17" thickBot="1" x14ac:dyDescent="0.25">
      <c r="B9" s="3" t="s">
        <v>15</v>
      </c>
      <c r="C9" s="12">
        <f>17500/24000</f>
        <v>0.72916666666666663</v>
      </c>
      <c r="E9" s="4" t="s">
        <v>36</v>
      </c>
      <c r="F9" s="4" t="s">
        <v>37</v>
      </c>
      <c r="H9" s="35" t="s">
        <v>94</v>
      </c>
      <c r="I9" s="43">
        <f>Primary_Product_Selling_Price*Production_Level_of_Primary_Product</f>
        <v>25650</v>
      </c>
    </row>
    <row r="10" spans="2:11" x14ac:dyDescent="0.2">
      <c r="B10" s="3" t="s">
        <v>21</v>
      </c>
      <c r="C10" s="12">
        <f>5000/12000</f>
        <v>0.41666666666666669</v>
      </c>
      <c r="E10" s="22" t="s">
        <v>38</v>
      </c>
      <c r="F10" s="29">
        <f>Production_Level_of_Primary_Product</f>
        <v>4500</v>
      </c>
      <c r="H10" s="33" t="s">
        <v>95</v>
      </c>
      <c r="I10" s="44">
        <f>Production_Level_of_Secondary_Product_K*Secondary_Product_K_Selling_Price</f>
        <v>4799.9999999999991</v>
      </c>
    </row>
    <row r="11" spans="2:11" x14ac:dyDescent="0.2">
      <c r="B11" s="3" t="s">
        <v>22</v>
      </c>
      <c r="C11" s="12">
        <v>0.2</v>
      </c>
      <c r="E11" s="23" t="s">
        <v>39</v>
      </c>
      <c r="F11" s="5">
        <f>Production_Level_of_Primary_Product*2</f>
        <v>9000</v>
      </c>
      <c r="H11" s="33" t="s">
        <v>96</v>
      </c>
      <c r="I11" s="44">
        <f>Production_Level_of_Secondary_Product_M*Secondary_Product_M_Selling_Price</f>
        <v>0</v>
      </c>
    </row>
    <row r="12" spans="2:11" ht="17" thickBot="1" x14ac:dyDescent="0.25">
      <c r="B12" s="3" t="s">
        <v>23</v>
      </c>
      <c r="C12" s="12">
        <v>0.1</v>
      </c>
      <c r="E12" s="26" t="s">
        <v>40</v>
      </c>
      <c r="F12" s="37">
        <f>Production_Level_of_Primary_Product</f>
        <v>4500</v>
      </c>
      <c r="H12" s="34" t="s">
        <v>97</v>
      </c>
      <c r="I12" s="45">
        <f>Production_Level_of_Specially_Treated_Liquid_Waste*Special_Treatment_Liquid_Waste_Selling_Price</f>
        <v>0</v>
      </c>
    </row>
    <row r="13" spans="2:11" ht="17" thickBot="1" x14ac:dyDescent="0.25">
      <c r="B13" s="2" t="s">
        <v>24</v>
      </c>
      <c r="C13" s="13">
        <v>0.25</v>
      </c>
      <c r="E13" s="26" t="s">
        <v>41</v>
      </c>
      <c r="F13" s="37">
        <f>Production_Level_of_Primary_Product</f>
        <v>4500</v>
      </c>
      <c r="H13" s="36" t="s">
        <v>56</v>
      </c>
      <c r="I13" s="46">
        <f>SUMPRODUCT(Decision_Variables,Selling_Prices)</f>
        <v>30450</v>
      </c>
    </row>
    <row r="14" spans="2:11" ht="17" thickBot="1" x14ac:dyDescent="0.25">
      <c r="B14" s="56" t="s">
        <v>4</v>
      </c>
      <c r="C14" s="57"/>
      <c r="E14" s="27" t="s">
        <v>42</v>
      </c>
      <c r="F14" s="38">
        <f>Production_Level_of_Primary_Product</f>
        <v>4500</v>
      </c>
      <c r="H14" s="35" t="s">
        <v>58</v>
      </c>
      <c r="I14" s="43">
        <f>Monthly_Administrative_Costs</f>
        <v>13000</v>
      </c>
    </row>
    <row r="15" spans="2:11" ht="17" thickBot="1" x14ac:dyDescent="0.25">
      <c r="B15" s="1" t="s">
        <v>5</v>
      </c>
      <c r="C15" s="11">
        <v>5.7</v>
      </c>
      <c r="E15" s="24" t="s">
        <v>43</v>
      </c>
      <c r="F15" s="30">
        <f>Production_Level_of_Secondary_Product_K/2</f>
        <v>2999.9999999999991</v>
      </c>
      <c r="H15" s="34" t="s">
        <v>59</v>
      </c>
      <c r="I15" s="45">
        <f>Monthly_Refinery_Overhead_Costs</f>
        <v>4500</v>
      </c>
    </row>
    <row r="16" spans="2:11" ht="17" thickBot="1" x14ac:dyDescent="0.25">
      <c r="B16" s="3" t="s">
        <v>6</v>
      </c>
      <c r="C16" s="12">
        <v>0.8</v>
      </c>
      <c r="E16" s="25" t="s">
        <v>44</v>
      </c>
      <c r="F16" s="5">
        <f>Production_Level_of_Secondary_Product_K/2</f>
        <v>2999.9999999999991</v>
      </c>
      <c r="H16" s="36" t="s">
        <v>60</v>
      </c>
      <c r="I16" s="46">
        <f>Total_Monthly_Administraive_Costs+Total_Monthly_Refinery_Costs</f>
        <v>17500</v>
      </c>
    </row>
    <row r="17" spans="2:9" ht="17" thickBot="1" x14ac:dyDescent="0.25">
      <c r="B17" s="3" t="s">
        <v>26</v>
      </c>
      <c r="C17" s="12">
        <v>0.65</v>
      </c>
      <c r="E17" s="28" t="s">
        <v>45</v>
      </c>
      <c r="F17" s="38">
        <f>Production_Level_of_Secondary_Product_K</f>
        <v>5999.9999999999982</v>
      </c>
      <c r="H17" s="35" t="s">
        <v>90</v>
      </c>
      <c r="I17" s="43">
        <f>Production_Level_of_Primary_Product*Primary_Product_Production_Costs</f>
        <v>14437.499999999998</v>
      </c>
    </row>
    <row r="18" spans="2:9" ht="17" thickBot="1" x14ac:dyDescent="0.25">
      <c r="B18" s="2" t="s">
        <v>25</v>
      </c>
      <c r="C18" s="13">
        <v>0</v>
      </c>
      <c r="E18" s="24" t="s">
        <v>87</v>
      </c>
      <c r="F18" s="30">
        <f>Production_Level_of_Secondary_Product_M/2</f>
        <v>0</v>
      </c>
      <c r="H18" s="33" t="s">
        <v>91</v>
      </c>
      <c r="I18" s="44">
        <f>Production_Level_of_Secondary_Product_K*Secondary_Product_K_Production_Costs</f>
        <v>5199.9999999999982</v>
      </c>
    </row>
    <row r="19" spans="2:9" ht="17" thickBot="1" x14ac:dyDescent="0.25">
      <c r="B19" s="56" t="s">
        <v>12</v>
      </c>
      <c r="C19" s="57"/>
      <c r="E19" s="25" t="s">
        <v>88</v>
      </c>
      <c r="F19" s="5">
        <f>Production_Level_of_Secondary_Product_M/2</f>
        <v>0</v>
      </c>
      <c r="H19" s="33" t="s">
        <v>92</v>
      </c>
      <c r="I19" s="44">
        <f>Production_Level_of_Secondary_Product_M*Secondary_Product_M_Production_Costs</f>
        <v>0</v>
      </c>
    </row>
    <row r="20" spans="2:9" ht="17" thickBot="1" x14ac:dyDescent="0.25">
      <c r="B20" s="1" t="s">
        <v>13</v>
      </c>
      <c r="C20" s="14">
        <v>7500</v>
      </c>
      <c r="E20" s="28" t="s">
        <v>89</v>
      </c>
      <c r="F20" s="38">
        <f>Production_Level_of_Secondary_Product_M</f>
        <v>0</v>
      </c>
      <c r="H20" s="34" t="s">
        <v>93</v>
      </c>
      <c r="I20" s="45">
        <f>Production_Level_of_Specially_Treated_Liquid_Waste*Special_Liquid_Waste_Treatment_Production_Costs</f>
        <v>375.00000000000023</v>
      </c>
    </row>
    <row r="21" spans="2:9" ht="17" thickBot="1" x14ac:dyDescent="0.25">
      <c r="B21" s="2" t="s">
        <v>14</v>
      </c>
      <c r="C21" s="15">
        <v>9000</v>
      </c>
      <c r="E21" s="24" t="s">
        <v>44</v>
      </c>
      <c r="F21" s="30">
        <f>Production_Level_of_Specially_Treated_Liquid_Waste</f>
        <v>1500.0000000000009</v>
      </c>
      <c r="H21" s="36" t="s">
        <v>61</v>
      </c>
      <c r="I21" s="46">
        <f>SUMPRODUCT(Production_Costs,Decision_Variables)</f>
        <v>20012.499999999996</v>
      </c>
    </row>
    <row r="22" spans="2:9" ht="17" thickBot="1" x14ac:dyDescent="0.25">
      <c r="E22" s="28" t="s">
        <v>46</v>
      </c>
      <c r="F22" s="38">
        <f>Production_Level_of_Specially_Treated_Liquid_Waste</f>
        <v>1500.0000000000009</v>
      </c>
      <c r="H22" s="36" t="s">
        <v>62</v>
      </c>
      <c r="I22" s="46">
        <f>Total_Fixed_Costs+Total_Production_Costs</f>
        <v>37512.5</v>
      </c>
    </row>
    <row r="23" spans="2:9" ht="17" thickBot="1" x14ac:dyDescent="0.25">
      <c r="B23" s="60" t="s">
        <v>16</v>
      </c>
      <c r="C23" s="61"/>
      <c r="H23" s="36" t="s">
        <v>63</v>
      </c>
      <c r="I23" s="46">
        <f>-Total_Fixed_Costs+SUMPRODUCT(Unit_Profits,Decision_Variables)</f>
        <v>-7062.4999999999982</v>
      </c>
    </row>
    <row r="24" spans="2:9" ht="17" thickBot="1" x14ac:dyDescent="0.25">
      <c r="B24" s="56" t="s">
        <v>20</v>
      </c>
      <c r="C24" s="57"/>
    </row>
    <row r="25" spans="2:9" x14ac:dyDescent="0.2">
      <c r="B25" s="1" t="s">
        <v>7</v>
      </c>
      <c r="C25" s="11">
        <f>Raw_Material_X_Costs+(2*Raw_Material_Y_Costs)+Direct_Labor_Costs_Primary_Product</f>
        <v>3.208333333333333</v>
      </c>
    </row>
    <row r="26" spans="2:9" x14ac:dyDescent="0.2">
      <c r="B26" s="3" t="s">
        <v>27</v>
      </c>
      <c r="C26" s="12">
        <f>(Raw_Material_X_Costs/2)+Direct_Labor_Costs_Secondary_Product_K</f>
        <v>0.8666666666666667</v>
      </c>
    </row>
    <row r="27" spans="2:9" x14ac:dyDescent="0.2">
      <c r="B27" s="3" t="s">
        <v>28</v>
      </c>
      <c r="C27" s="12">
        <f>(Raw_Material_Y_Costs/2)+Direct_Labor_Costs_Secondary_Product_M</f>
        <v>0.46458333333333335</v>
      </c>
    </row>
    <row r="28" spans="2:9" ht="17" thickBot="1" x14ac:dyDescent="0.25">
      <c r="B28" s="2" t="s">
        <v>8</v>
      </c>
      <c r="C28" s="13">
        <f>Direct_Labor_Costs_Special_Treament_of_Liquid_Waste</f>
        <v>0.25</v>
      </c>
    </row>
    <row r="29" spans="2:9" ht="17" thickBot="1" x14ac:dyDescent="0.25">
      <c r="B29" s="56" t="s">
        <v>9</v>
      </c>
      <c r="C29" s="57"/>
    </row>
    <row r="30" spans="2:9" x14ac:dyDescent="0.2">
      <c r="B30" s="1" t="s">
        <v>10</v>
      </c>
      <c r="C30" s="11">
        <f>Primary_Product_Selling_Price-Primary_Product_Production_Costs</f>
        <v>2.4916666666666671</v>
      </c>
    </row>
    <row r="31" spans="2:9" x14ac:dyDescent="0.2">
      <c r="B31" s="3" t="s">
        <v>11</v>
      </c>
      <c r="C31" s="12">
        <f>Secondary_Product_K_Selling_Price-Secondary_Product_K_Production_Costs</f>
        <v>-6.6666666666666652E-2</v>
      </c>
    </row>
    <row r="32" spans="2:9" x14ac:dyDescent="0.2">
      <c r="B32" s="3" t="s">
        <v>29</v>
      </c>
      <c r="C32" s="12">
        <f>Secondary_Product_M_Selling_Price-Secondary_Product_M_Production_Costs</f>
        <v>0.18541666666666667</v>
      </c>
    </row>
    <row r="33" spans="2:3" ht="17" thickBot="1" x14ac:dyDescent="0.25">
      <c r="B33" s="2" t="s">
        <v>30</v>
      </c>
      <c r="C33" s="10">
        <f>Special_Treatment_Liquid_Waste_Selling_Price-Special_Liquid_Waste_Treatment_Production_Costs</f>
        <v>-0.25</v>
      </c>
    </row>
  </sheetData>
  <mergeCells count="13">
    <mergeCell ref="H2:K2"/>
    <mergeCell ref="H8:I8"/>
    <mergeCell ref="B29:C29"/>
    <mergeCell ref="B24:C24"/>
    <mergeCell ref="B19:C19"/>
    <mergeCell ref="B14:C14"/>
    <mergeCell ref="B7:C7"/>
    <mergeCell ref="B3:C3"/>
    <mergeCell ref="B2:C2"/>
    <mergeCell ref="B23:C23"/>
    <mergeCell ref="B4:C4"/>
    <mergeCell ref="E2:F2"/>
    <mergeCell ref="E8:F8"/>
  </mergeCells>
  <pageMargins left="0.7" right="0.7" top="0.75" bottom="0.75" header="0.3" footer="0.3"/>
  <pageSetup scale="5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E09C-D1C4-E44A-9D68-376863DA88C3}">
  <sheetPr>
    <pageSetUpPr fitToPage="1"/>
  </sheetPr>
  <dimension ref="A1:H19"/>
  <sheetViews>
    <sheetView showGridLines="0" workbookViewId="0">
      <selection activeCell="C25" sqref="C25"/>
    </sheetView>
  </sheetViews>
  <sheetFormatPr baseColWidth="10" defaultRowHeight="16" x14ac:dyDescent="0.2"/>
  <cols>
    <col min="1" max="1" width="2.33203125" customWidth="1"/>
    <col min="2" max="2" width="5.1640625" bestFit="1" customWidth="1"/>
    <col min="3" max="3" width="46.33203125" bestFit="1" customWidth="1"/>
    <col min="4" max="4" width="5.83203125" bestFit="1" customWidth="1"/>
    <col min="5" max="6" width="12.83203125" bestFit="1" customWidth="1"/>
    <col min="7" max="8" width="12.1640625" bestFit="1" customWidth="1"/>
  </cols>
  <sheetData>
    <row r="1" spans="1:8" x14ac:dyDescent="0.2">
      <c r="A1" s="32" t="s">
        <v>64</v>
      </c>
    </row>
    <row r="2" spans="1:8" x14ac:dyDescent="0.2">
      <c r="A2" s="32" t="s">
        <v>99</v>
      </c>
    </row>
    <row r="3" spans="1:8" x14ac:dyDescent="0.2">
      <c r="A3" s="32" t="s">
        <v>107</v>
      </c>
    </row>
    <row r="6" spans="1:8" ht="17" thickBot="1" x14ac:dyDescent="0.25">
      <c r="A6" t="s">
        <v>65</v>
      </c>
    </row>
    <row r="7" spans="1:8" x14ac:dyDescent="0.2">
      <c r="B7" s="49"/>
      <c r="C7" s="49"/>
      <c r="D7" s="49" t="s">
        <v>68</v>
      </c>
      <c r="E7" s="49" t="s">
        <v>70</v>
      </c>
      <c r="F7" s="49" t="s">
        <v>72</v>
      </c>
      <c r="G7" s="49" t="s">
        <v>74</v>
      </c>
      <c r="H7" s="49" t="s">
        <v>74</v>
      </c>
    </row>
    <row r="8" spans="1:8" ht="17" thickBot="1" x14ac:dyDescent="0.25">
      <c r="B8" s="50" t="s">
        <v>66</v>
      </c>
      <c r="C8" s="50" t="s">
        <v>67</v>
      </c>
      <c r="D8" s="50" t="s">
        <v>69</v>
      </c>
      <c r="E8" s="50" t="s">
        <v>71</v>
      </c>
      <c r="F8" s="50" t="s">
        <v>73</v>
      </c>
      <c r="G8" s="50" t="s">
        <v>75</v>
      </c>
      <c r="H8" s="50" t="s">
        <v>76</v>
      </c>
    </row>
    <row r="9" spans="1:8" x14ac:dyDescent="0.2">
      <c r="B9" s="47" t="s">
        <v>80</v>
      </c>
      <c r="C9" s="47" t="s">
        <v>100</v>
      </c>
      <c r="D9" s="47">
        <v>4500</v>
      </c>
      <c r="E9" s="47">
        <v>0</v>
      </c>
      <c r="F9" s="47">
        <v>2.4916666666649689</v>
      </c>
      <c r="G9" s="47">
        <v>1E+30</v>
      </c>
      <c r="H9" s="47">
        <v>0.88333333332775543</v>
      </c>
    </row>
    <row r="10" spans="1:8" x14ac:dyDescent="0.2">
      <c r="B10" s="47" t="s">
        <v>81</v>
      </c>
      <c r="C10" s="47" t="s">
        <v>101</v>
      </c>
      <c r="D10" s="47">
        <v>5999.9999999999982</v>
      </c>
      <c r="E10" s="47">
        <v>0</v>
      </c>
      <c r="F10" s="47">
        <v>-6.6666666665696539E-2</v>
      </c>
      <c r="G10" s="47">
        <v>0.44166666666387772</v>
      </c>
      <c r="H10" s="47">
        <v>5.8333333334303489E-2</v>
      </c>
    </row>
    <row r="11" spans="1:8" x14ac:dyDescent="0.2">
      <c r="B11" s="47" t="s">
        <v>82</v>
      </c>
      <c r="C11" s="47" t="s">
        <v>102</v>
      </c>
      <c r="D11" s="47">
        <v>0</v>
      </c>
      <c r="E11" s="47">
        <v>-0.22083333333193886</v>
      </c>
      <c r="F11" s="47">
        <v>0.18541666666715173</v>
      </c>
      <c r="G11" s="47">
        <v>0.22083333333193886</v>
      </c>
      <c r="H11" s="47">
        <v>1E+30</v>
      </c>
    </row>
    <row r="12" spans="1:8" ht="17" thickBot="1" x14ac:dyDescent="0.25">
      <c r="B12" s="48" t="s">
        <v>83</v>
      </c>
      <c r="C12" s="48" t="s">
        <v>103</v>
      </c>
      <c r="D12" s="48">
        <v>1500.0000000000009</v>
      </c>
      <c r="E12" s="48">
        <v>0</v>
      </c>
      <c r="F12" s="48">
        <v>-0.25</v>
      </c>
      <c r="G12" s="48">
        <v>0.11666666666860698</v>
      </c>
      <c r="H12" s="48">
        <v>0.22083333333193886</v>
      </c>
    </row>
    <row r="14" spans="1:8" ht="17" thickBot="1" x14ac:dyDescent="0.25">
      <c r="A14" t="s">
        <v>48</v>
      </c>
    </row>
    <row r="15" spans="1:8" x14ac:dyDescent="0.2">
      <c r="B15" s="49"/>
      <c r="C15" s="49"/>
      <c r="D15" s="49" t="s">
        <v>68</v>
      </c>
      <c r="E15" s="49" t="s">
        <v>77</v>
      </c>
      <c r="F15" s="49" t="s">
        <v>47</v>
      </c>
      <c r="G15" s="49" t="s">
        <v>74</v>
      </c>
      <c r="H15" s="49" t="s">
        <v>74</v>
      </c>
    </row>
    <row r="16" spans="1:8" ht="17" thickBot="1" x14ac:dyDescent="0.25">
      <c r="B16" s="50" t="s">
        <v>66</v>
      </c>
      <c r="C16" s="50" t="s">
        <v>67</v>
      </c>
      <c r="D16" s="50" t="s">
        <v>69</v>
      </c>
      <c r="E16" s="50" t="s">
        <v>78</v>
      </c>
      <c r="F16" s="50" t="s">
        <v>79</v>
      </c>
      <c r="G16" s="50" t="s">
        <v>75</v>
      </c>
      <c r="H16" s="50" t="s">
        <v>76</v>
      </c>
    </row>
    <row r="17" spans="2:8" x14ac:dyDescent="0.2">
      <c r="B17" s="47" t="s">
        <v>86</v>
      </c>
      <c r="C17" s="47" t="s">
        <v>104</v>
      </c>
      <c r="D17" s="47">
        <v>0</v>
      </c>
      <c r="E17" s="47">
        <v>0.25</v>
      </c>
      <c r="F17" s="47">
        <v>0</v>
      </c>
      <c r="G17" s="47">
        <v>1500.0000000000009</v>
      </c>
      <c r="H17" s="47">
        <v>1E+30</v>
      </c>
    </row>
    <row r="18" spans="2:8" x14ac:dyDescent="0.2">
      <c r="B18" s="47" t="s">
        <v>84</v>
      </c>
      <c r="C18" s="47" t="s">
        <v>105</v>
      </c>
      <c r="D18" s="47">
        <v>7499.9999999999991</v>
      </c>
      <c r="E18" s="47">
        <v>0.11666666666860695</v>
      </c>
      <c r="F18" s="47">
        <v>7500</v>
      </c>
      <c r="G18" s="47">
        <v>1500.0000000000011</v>
      </c>
      <c r="H18" s="47">
        <v>2999.9999999999995</v>
      </c>
    </row>
    <row r="19" spans="2:8" ht="17" thickBot="1" x14ac:dyDescent="0.25">
      <c r="B19" s="48" t="s">
        <v>85</v>
      </c>
      <c r="C19" s="48" t="s">
        <v>106</v>
      </c>
      <c r="D19" s="48">
        <v>9000</v>
      </c>
      <c r="E19" s="48">
        <v>1.062499999998181</v>
      </c>
      <c r="F19" s="48">
        <v>9000</v>
      </c>
      <c r="G19" s="48">
        <v>5999.9999999999991</v>
      </c>
      <c r="H19" s="48">
        <v>1500.0000000000011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</vt:i4>
      </vt:variant>
    </vt:vector>
  </HeadingPairs>
  <TitlesOfParts>
    <vt:vector size="62" baseType="lpstr">
      <vt:lpstr>Model Worksheet</vt:lpstr>
      <vt:lpstr>Sensitivity Analysis</vt:lpstr>
      <vt:lpstr>Decision_Variables</vt:lpstr>
      <vt:lpstr>Direct_Labor_Costs_Primary_Product</vt:lpstr>
      <vt:lpstr>Direct_Labor_Costs_Secondary_Product_K</vt:lpstr>
      <vt:lpstr>Direct_Labor_Costs_Secondary_Product_M</vt:lpstr>
      <vt:lpstr>Direct_Labor_Costs_Special_Treament_of_Liquid_Waste</vt:lpstr>
      <vt:lpstr>Liquid_Waste_Devoted_to_Secondary_Product_K</vt:lpstr>
      <vt:lpstr>Liquid_Waste_Devoted_to_Secondary_Product_M</vt:lpstr>
      <vt:lpstr>Liquid_Waste_Produced__Primary_Product_Byproduct</vt:lpstr>
      <vt:lpstr>Monthly_Administrative_Costs</vt:lpstr>
      <vt:lpstr>Monthly_Refinery_Overhead_Costs</vt:lpstr>
      <vt:lpstr>Primary_Product_Production_Costs</vt:lpstr>
      <vt:lpstr>Primary_Product_Selling_Price</vt:lpstr>
      <vt:lpstr>Primary_Product_Unit_Profit</vt:lpstr>
      <vt:lpstr>Production_Costs</vt:lpstr>
      <vt:lpstr>Production_Level__Primary_Product</vt:lpstr>
      <vt:lpstr>Production_Level__Secondary_Product_K</vt:lpstr>
      <vt:lpstr>Production_Level__Secondary_Product_M</vt:lpstr>
      <vt:lpstr>Production_Level__Specially_Treated_Liquid_Waste</vt:lpstr>
      <vt:lpstr>Production_Level_of_Primary_Product</vt:lpstr>
      <vt:lpstr>Production_Level_of_Secondary_Product_K</vt:lpstr>
      <vt:lpstr>Production_Level_of_Secondary_Product_M</vt:lpstr>
      <vt:lpstr>Production_Level_of_Specially_Treated_Liquid_Waste</vt:lpstr>
      <vt:lpstr>Raw_Material_X</vt:lpstr>
      <vt:lpstr>Raw_Material_X_Costs</vt:lpstr>
      <vt:lpstr>Raw_Material_X_Devoted_to_Primary_Product</vt:lpstr>
      <vt:lpstr>Raw_Material_X_Devoted_to_Secondary_Product_K</vt:lpstr>
      <vt:lpstr>Raw_Material_Y</vt:lpstr>
      <vt:lpstr>Raw_Material_Y_Costs</vt:lpstr>
      <vt:lpstr>Raw_Material_Y_Devoted_to_Primary_Product</vt:lpstr>
      <vt:lpstr>Raw_Material_Y_Devoted_to_Secondary_Product_M</vt:lpstr>
      <vt:lpstr>Remaining_Liquid_Waste</vt:lpstr>
      <vt:lpstr>Secondary_Product_K_Production_Costs</vt:lpstr>
      <vt:lpstr>Secondary_Product_K_Selling_Price</vt:lpstr>
      <vt:lpstr>Secondary_Product_K_Unit_Profit</vt:lpstr>
      <vt:lpstr>Secondary_Product_M_Production_Costs</vt:lpstr>
      <vt:lpstr>Secondary_Product_M_Selling_Price</vt:lpstr>
      <vt:lpstr>Secondary_Product_M_Unit_Profit</vt:lpstr>
      <vt:lpstr>Selling_Prices</vt:lpstr>
      <vt:lpstr>Solid_Waste_Produced__Primary_Product_Byproduct</vt:lpstr>
      <vt:lpstr>Special_Liquid_Waste_Treatment_Production_Costs</vt:lpstr>
      <vt:lpstr>Special_Treatment_Liquid_Waste_Selling_Price</vt:lpstr>
      <vt:lpstr>Special_Treatment_Liquid_Waste_Unit_Profit</vt:lpstr>
      <vt:lpstr>Toral_Costs</vt:lpstr>
      <vt:lpstr>Total_Fixed_Costs</vt:lpstr>
      <vt:lpstr>Total_Monthly_Administraive_Costs</vt:lpstr>
      <vt:lpstr>Total_Monthly_Refinery_Costs</vt:lpstr>
      <vt:lpstr>Total_Primary_Product_Production_Costs</vt:lpstr>
      <vt:lpstr>Total_Primary_Product_Rvenue</vt:lpstr>
      <vt:lpstr>Total_Production_Costs</vt:lpstr>
      <vt:lpstr>Total_Profit</vt:lpstr>
      <vt:lpstr>Total_Raw_Material_X_Used</vt:lpstr>
      <vt:lpstr>Total_Raw_Material_Y_Used</vt:lpstr>
      <vt:lpstr>Total_Revenue</vt:lpstr>
      <vt:lpstr>Total_Secondary_Product_K_Production_Costs</vt:lpstr>
      <vt:lpstr>Total_Secondary_Product_K_Revenue</vt:lpstr>
      <vt:lpstr>Total_Secondary_Product_M_Production_Costs</vt:lpstr>
      <vt:lpstr>Total_Secondary_Product_M_Revenue</vt:lpstr>
      <vt:lpstr>Total_Special_Treatment_of_Liquid_Waste_Production_Costs</vt:lpstr>
      <vt:lpstr>Total_Special_Treatment_of_Liquid_Waste_Revenue</vt:lpstr>
      <vt:lpstr>Unit_Profits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Romano</dc:creator>
  <cp:lastModifiedBy>Nick Romano</cp:lastModifiedBy>
  <cp:lastPrinted>2024-03-07T15:46:34Z</cp:lastPrinted>
  <dcterms:created xsi:type="dcterms:W3CDTF">2024-02-27T20:46:48Z</dcterms:created>
  <dcterms:modified xsi:type="dcterms:W3CDTF">2024-03-07T15:46:55Z</dcterms:modified>
</cp:coreProperties>
</file>