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tabRatio="519"/>
  </bookViews>
  <sheets>
    <sheet name="全国订单明细" sheetId="2" r:id="rId1"/>
    <sheet name="退单" sheetId="3" r:id="rId2"/>
    <sheet name="用户" sheetId="4" r:id="rId3"/>
  </sheets>
  <definedNames>
    <definedName name="_xlnm._FilterDatabase" localSheetId="0" hidden="1">全国订单明细!$A$1:$B$8569</definedName>
  </definedNames>
  <calcPr calcId="144525"/>
</workbook>
</file>

<file path=xl/sharedStrings.xml><?xml version="1.0" encoding="utf-8"?>
<sst xmlns="http://schemas.openxmlformats.org/spreadsheetml/2006/main" count="603" uniqueCount="17">
  <si>
    <t>Date</t>
  </si>
  <si>
    <t>Sales</t>
  </si>
  <si>
    <t>订单号</t>
  </si>
  <si>
    <t>处理状态</t>
  </si>
  <si>
    <t>Returned</t>
  </si>
  <si>
    <t>区域</t>
  </si>
  <si>
    <t>经理</t>
  </si>
  <si>
    <t>ACMR</t>
  </si>
  <si>
    <t>中部</t>
  </si>
  <si>
    <t>Chris</t>
  </si>
  <si>
    <t>东部</t>
  </si>
  <si>
    <t>Erin</t>
  </si>
  <si>
    <t>南部</t>
  </si>
  <si>
    <t>Sam</t>
  </si>
  <si>
    <t>西部</t>
  </si>
  <si>
    <t>William</t>
  </si>
  <si>
    <t>Pat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</si>
</sst>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_(* #,##0.00_);_(* \(#,##0.00\);_(* &quot;-&quot;??_);_(@_)"/>
    <numFmt numFmtId="42" formatCode="_ &quot;￥&quot;* #,##0_ ;_ &quot;￥&quot;* \-#,##0_ ;_ &quot;￥&quot;* &quot;-&quot;_ ;_ @_ "/>
    <numFmt numFmtId="177" formatCode="_(* #,##0_);_(* \(#,##0\);_(* &quot;-&quot;??_);_(@_)"/>
    <numFmt numFmtId="44" formatCode="_ &quot;￥&quot;* #,##0.00_ ;_ &quot;￥&quot;* \-#,##0.00_ ;_ &quot;￥&quot;* &quot;-&quot;??_ ;_ @_ "/>
  </numFmts>
  <fonts count="23">
    <font>
      <sz val="10"/>
      <name val="MS Sans Serif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77" fontId="1" fillId="0" borderId="0" xfId="8" applyNumberFormat="1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right" vertical="center"/>
    </xf>
    <xf numFmtId="14" fontId="1" fillId="0" borderId="0" xfId="8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14" fontId="1" fillId="0" borderId="0" xfId="8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8569"/>
  <sheetViews>
    <sheetView tabSelected="1" workbookViewId="0">
      <selection activeCell="C1" sqref="C$1:H$1048576"/>
    </sheetView>
  </sheetViews>
  <sheetFormatPr defaultColWidth="9" defaultRowHeight="14.25" outlineLevelCol="1"/>
  <cols>
    <col min="1" max="1" width="11.2857142857143" style="7" customWidth="1"/>
    <col min="2" max="2" width="10.7142857142857" style="8" customWidth="1"/>
    <col min="3" max="16379" width="9.14285714285714" style="9"/>
    <col min="16380" max="16384" width="9" style="9"/>
  </cols>
  <sheetData>
    <row r="1" s="5" customFormat="1" spans="1:2">
      <c r="A1" s="10" t="s">
        <v>0</v>
      </c>
      <c r="B1" s="11" t="s">
        <v>1</v>
      </c>
    </row>
    <row r="2" s="6" customFormat="1" spans="1:2">
      <c r="A2" s="12">
        <f>DATE(2012,12,31)-810</f>
        <v>40464</v>
      </c>
      <c r="B2" s="13">
        <v>261.54</v>
      </c>
    </row>
    <row r="3" s="6" customFormat="1" spans="1:2">
      <c r="A3" s="12">
        <f>DATE(2012,12,31)-315</f>
        <v>40959</v>
      </c>
      <c r="B3" s="13">
        <v>6</v>
      </c>
    </row>
    <row r="4" s="6" customFormat="1" spans="1:2">
      <c r="A4" s="12">
        <f>DATE(2012,12,31)-535</f>
        <v>40739</v>
      </c>
      <c r="B4" s="13">
        <v>2808.08</v>
      </c>
    </row>
    <row r="5" s="6" customFormat="1" spans="1:2">
      <c r="A5" s="12">
        <f>DATE(2012,12,31)-535</f>
        <v>40739</v>
      </c>
      <c r="B5" s="13">
        <v>1761.4</v>
      </c>
    </row>
    <row r="6" s="6" customFormat="1" spans="1:2">
      <c r="A6" s="12">
        <f>DATE(2012,12,31)-535</f>
        <v>40739</v>
      </c>
      <c r="B6" s="13">
        <v>160.2335</v>
      </c>
    </row>
    <row r="7" s="6" customFormat="1" spans="1:2">
      <c r="A7" s="12">
        <f>DATE(2012,12,31)-535</f>
        <v>40739</v>
      </c>
      <c r="B7" s="13">
        <v>140.56</v>
      </c>
    </row>
    <row r="8" s="6" customFormat="1" spans="1:2">
      <c r="A8" s="12">
        <f>DATE(2012,12,31)-436</f>
        <v>40838</v>
      </c>
      <c r="B8" s="13">
        <v>288.56</v>
      </c>
    </row>
    <row r="9" s="6" customFormat="1" spans="1:2">
      <c r="A9" s="12">
        <f>DATE(2012,12,31)-436</f>
        <v>40838</v>
      </c>
      <c r="B9" s="13">
        <v>1892.848</v>
      </c>
    </row>
    <row r="10" s="6" customFormat="1" spans="1:2">
      <c r="A10" s="12">
        <f>DATE(2012,12,31)-425</f>
        <v>40849</v>
      </c>
      <c r="B10" s="13">
        <v>2484.7455</v>
      </c>
    </row>
    <row r="11" s="6" customFormat="1" spans="1:2">
      <c r="A11" s="12">
        <f>DATE(2012,12,31)-655</f>
        <v>40619</v>
      </c>
      <c r="B11" s="13">
        <v>3812.73</v>
      </c>
    </row>
    <row r="12" s="6" customFormat="1" spans="1:2">
      <c r="A12" s="12">
        <f>DATE(2012,12,31)-1442</f>
        <v>39832</v>
      </c>
      <c r="B12" s="13">
        <v>108.15</v>
      </c>
    </row>
    <row r="13" s="6" customFormat="1" spans="1:2">
      <c r="A13" s="12">
        <f>DATE(2012,12,31)-1307</f>
        <v>39967</v>
      </c>
      <c r="B13" s="13">
        <v>1186.06</v>
      </c>
    </row>
    <row r="14" s="6" customFormat="1" spans="1:2">
      <c r="A14" s="12">
        <f>DATE(2012,12,31)-1307</f>
        <v>39967</v>
      </c>
      <c r="B14" s="13">
        <v>51.53</v>
      </c>
    </row>
    <row r="15" s="6" customFormat="1" spans="1:2">
      <c r="A15" s="12">
        <f>DATE(2012,12,31)-745</f>
        <v>40529</v>
      </c>
      <c r="B15" s="13">
        <v>90.05</v>
      </c>
    </row>
    <row r="16" s="6" customFormat="1" spans="1:2">
      <c r="A16" s="12">
        <f>DATE(2012,12,31)-745</f>
        <v>40529</v>
      </c>
      <c r="B16" s="13">
        <v>7804.53</v>
      </c>
    </row>
    <row r="17" s="6" customFormat="1" spans="1:2">
      <c r="A17" s="12">
        <f>DATE(2012,12,31)-1355</f>
        <v>39919</v>
      </c>
      <c r="B17" s="13">
        <v>4158.1235</v>
      </c>
    </row>
    <row r="18" s="6" customFormat="1" spans="1:2">
      <c r="A18" s="12">
        <f>DATE(2012,12,31)-1068</f>
        <v>40206</v>
      </c>
      <c r="B18" s="13">
        <v>75.57</v>
      </c>
    </row>
    <row r="19" s="6" customFormat="1" spans="1:2">
      <c r="A19" s="12">
        <f>DATE(2012,12,31)-43</f>
        <v>41231</v>
      </c>
      <c r="B19" s="13">
        <v>32.72</v>
      </c>
    </row>
    <row r="20" s="6" customFormat="1" spans="1:2">
      <c r="A20" s="12">
        <f>DATE(2012,12,31)-238</f>
        <v>41036</v>
      </c>
      <c r="B20" s="13">
        <v>461.89</v>
      </c>
    </row>
    <row r="21" s="6" customFormat="1" spans="1:2">
      <c r="A21" s="12">
        <f>DATE(2012,12,31)-238</f>
        <v>41036</v>
      </c>
      <c r="B21" s="13">
        <v>575.11</v>
      </c>
    </row>
    <row r="22" s="6" customFormat="1" spans="1:2">
      <c r="A22" s="12">
        <f>DATE(2012,12,31)-238</f>
        <v>41036</v>
      </c>
      <c r="B22" s="13">
        <v>236.46</v>
      </c>
    </row>
    <row r="23" s="6" customFormat="1" spans="1:2">
      <c r="A23" s="12">
        <f>DATE(2012,12,31)-935</f>
        <v>40339</v>
      </c>
      <c r="B23" s="13">
        <v>192.814</v>
      </c>
    </row>
    <row r="24" s="6" customFormat="1" spans="1:2">
      <c r="A24" s="12">
        <f>DATE(2012,12,31)-935</f>
        <v>40339</v>
      </c>
      <c r="B24" s="13">
        <v>4011.65</v>
      </c>
    </row>
    <row r="25" s="6" customFormat="1" spans="1:2">
      <c r="A25" s="12">
        <f>DATE(2012,12,31)-245</f>
        <v>41029</v>
      </c>
      <c r="B25" s="13">
        <v>1132.6</v>
      </c>
    </row>
    <row r="26" s="6" customFormat="1" spans="1:2">
      <c r="A26" s="12">
        <f>DATE(2012,12,31)-438</f>
        <v>40836</v>
      </c>
      <c r="B26" s="13">
        <v>125.85</v>
      </c>
    </row>
    <row r="27" s="6" customFormat="1" spans="1:2">
      <c r="A27" s="12">
        <f>DATE(2012,12,31)-477</f>
        <v>40797</v>
      </c>
      <c r="B27" s="13">
        <v>567.936</v>
      </c>
    </row>
    <row r="28" s="6" customFormat="1" spans="1:2">
      <c r="A28" s="12">
        <f>DATE(2012,12,31)-877</f>
        <v>40397</v>
      </c>
      <c r="B28" s="13">
        <v>174.89</v>
      </c>
    </row>
    <row r="29" s="6" customFormat="1" spans="1:2">
      <c r="A29" s="12">
        <f>DATE(2012,12,31)-271</f>
        <v>41003</v>
      </c>
      <c r="B29" s="13">
        <v>329.03</v>
      </c>
    </row>
    <row r="30" s="6" customFormat="1" spans="1:2">
      <c r="A30" s="12">
        <f>DATE(2012,12,31)-271</f>
        <v>41003</v>
      </c>
      <c r="B30" s="13">
        <v>20.19</v>
      </c>
    </row>
    <row r="31" s="6" customFormat="1" spans="1:2">
      <c r="A31" s="12">
        <f>DATE(2012,12,31)-735</f>
        <v>40539</v>
      </c>
      <c r="B31" s="13">
        <v>1315.74</v>
      </c>
    </row>
    <row r="32" s="6" customFormat="1" spans="1:2">
      <c r="A32" s="12">
        <f>DATE(2012,12,31)-635</f>
        <v>40639</v>
      </c>
      <c r="B32" s="13">
        <v>310.52</v>
      </c>
    </row>
    <row r="33" s="6" customFormat="1" spans="1:2">
      <c r="A33" s="12">
        <f>DATE(2012,12,31)-1293</f>
        <v>39981</v>
      </c>
      <c r="B33" s="13">
        <v>184.86</v>
      </c>
    </row>
    <row r="34" s="6" customFormat="1" spans="1:2">
      <c r="A34" s="12">
        <f>DATE(2012,12,31)-1293</f>
        <v>39981</v>
      </c>
      <c r="B34" s="13">
        <v>267.85</v>
      </c>
    </row>
    <row r="35" s="6" customFormat="1" spans="1:2">
      <c r="A35" s="12">
        <f>DATE(2012,12,31)-1293</f>
        <v>39981</v>
      </c>
      <c r="B35" s="13">
        <v>528.5</v>
      </c>
    </row>
    <row r="36" s="6" customFormat="1" spans="1:2">
      <c r="A36" s="12">
        <f>DATE(2012,12,31)-587</f>
        <v>40687</v>
      </c>
      <c r="B36" s="13">
        <v>126.58</v>
      </c>
    </row>
    <row r="37" s="6" customFormat="1" spans="1:2">
      <c r="A37" s="12">
        <f>DATE(2012,12,31)-587</f>
        <v>40687</v>
      </c>
      <c r="B37" s="13">
        <v>23.7</v>
      </c>
    </row>
    <row r="38" s="6" customFormat="1" spans="1:2">
      <c r="A38" s="12">
        <f>DATE(2012,12,31)-734</f>
        <v>40540</v>
      </c>
      <c r="B38" s="13">
        <v>586.11</v>
      </c>
    </row>
    <row r="39" s="6" customFormat="1" spans="1:2">
      <c r="A39" s="12">
        <f>DATE(2012,12,31)-734</f>
        <v>40540</v>
      </c>
      <c r="B39" s="13">
        <v>599.1</v>
      </c>
    </row>
    <row r="40" s="6" customFormat="1" spans="1:2">
      <c r="A40" s="12">
        <f>DATE(2012,12,31)-797</f>
        <v>40477</v>
      </c>
      <c r="B40" s="13">
        <v>2029.75</v>
      </c>
    </row>
    <row r="41" s="6" customFormat="1" spans="1:2">
      <c r="A41" s="12">
        <f>DATE(2012,12,31)-797</f>
        <v>40477</v>
      </c>
      <c r="B41" s="13">
        <v>1118.396</v>
      </c>
    </row>
    <row r="42" s="6" customFormat="1" spans="1:2">
      <c r="A42" s="12">
        <f>DATE(2012,12,31)-1190</f>
        <v>40084</v>
      </c>
      <c r="B42" s="13">
        <v>689.74</v>
      </c>
    </row>
    <row r="43" s="6" customFormat="1" spans="1:2">
      <c r="A43" s="12">
        <f>DATE(2012,12,31)-734</f>
        <v>40540</v>
      </c>
      <c r="B43" s="13">
        <v>154.35</v>
      </c>
    </row>
    <row r="44" s="6" customFormat="1" spans="1:2">
      <c r="A44" s="12">
        <f>DATE(2012,12,31)-734</f>
        <v>40540</v>
      </c>
      <c r="B44" s="13">
        <v>201.36</v>
      </c>
    </row>
    <row r="45" s="6" customFormat="1" spans="1:2">
      <c r="A45" s="12">
        <f>DATE(2012,12,31)-734</f>
        <v>40540</v>
      </c>
      <c r="B45" s="13">
        <v>216.77</v>
      </c>
    </row>
    <row r="46" s="6" customFormat="1" spans="1:2">
      <c r="A46" s="12">
        <f>DATE(2012,12,31)-917</f>
        <v>40357</v>
      </c>
      <c r="B46" s="13">
        <v>5677.609</v>
      </c>
    </row>
    <row r="47" s="6" customFormat="1" spans="1:2">
      <c r="A47" s="12">
        <f>DATE(2012,12,31)-1325</f>
        <v>39949</v>
      </c>
      <c r="B47" s="13">
        <v>136.77</v>
      </c>
    </row>
    <row r="48" s="6" customFormat="1" spans="1:2">
      <c r="A48" s="12">
        <f>DATE(2012,12,31)-1456</f>
        <v>39818</v>
      </c>
      <c r="B48" s="13">
        <v>188.73</v>
      </c>
    </row>
    <row r="49" s="6" customFormat="1" spans="1:2">
      <c r="A49" s="12">
        <f>DATE(2012,12,31)-354</f>
        <v>40920</v>
      </c>
      <c r="B49" s="13">
        <v>412.62</v>
      </c>
    </row>
    <row r="50" s="6" customFormat="1" spans="1:2">
      <c r="A50" s="12">
        <f>DATE(2012,12,31)-91</f>
        <v>41183</v>
      </c>
      <c r="B50" s="13">
        <v>10123.02</v>
      </c>
    </row>
    <row r="51" s="6" customFormat="1" spans="1:2">
      <c r="A51" s="12">
        <f>DATE(2012,12,31)-91</f>
        <v>41183</v>
      </c>
      <c r="B51" s="13">
        <v>244.57</v>
      </c>
    </row>
    <row r="52" s="6" customFormat="1" spans="1:2">
      <c r="A52" s="12">
        <f>DATE(2012,12,31)-900</f>
        <v>40374</v>
      </c>
      <c r="B52" s="13">
        <v>6375.28</v>
      </c>
    </row>
    <row r="53" s="6" customFormat="1" spans="1:2">
      <c r="A53" s="12">
        <f>DATE(2012,12,31)-288</f>
        <v>40986</v>
      </c>
      <c r="B53" s="13">
        <v>2634.8555</v>
      </c>
    </row>
    <row r="54" s="6" customFormat="1" spans="1:2">
      <c r="A54" s="12">
        <f>DATE(2012,12,31)-288</f>
        <v>40986</v>
      </c>
      <c r="B54" s="13">
        <v>281</v>
      </c>
    </row>
    <row r="55" s="6" customFormat="1" spans="1:2">
      <c r="A55" s="12">
        <f>DATE(2012,12,31)-1377</f>
        <v>39897</v>
      </c>
      <c r="B55" s="13">
        <v>108.09</v>
      </c>
    </row>
    <row r="56" s="6" customFormat="1" spans="1:2">
      <c r="A56" s="12">
        <f>DATE(2012,12,31)-1377</f>
        <v>39897</v>
      </c>
      <c r="B56" s="13">
        <v>55.34</v>
      </c>
    </row>
    <row r="57" s="6" customFormat="1" spans="1:2">
      <c r="A57" s="12">
        <f>DATE(2012,12,31)-287</f>
        <v>40987</v>
      </c>
      <c r="B57" s="13">
        <v>3872.634</v>
      </c>
    </row>
    <row r="58" s="6" customFormat="1" spans="1:2">
      <c r="A58" s="12">
        <f>DATE(2012,12,31)-807</f>
        <v>40467</v>
      </c>
      <c r="B58" s="13">
        <v>884.1275</v>
      </c>
    </row>
    <row r="59" s="6" customFormat="1" spans="1:2">
      <c r="A59" s="12">
        <f>DATE(2012,12,31)-577</f>
        <v>40697</v>
      </c>
      <c r="B59" s="13">
        <v>218.27</v>
      </c>
    </row>
    <row r="60" s="6" customFormat="1" spans="1:2">
      <c r="A60" s="12">
        <f>DATE(2012,12,31)-577</f>
        <v>40697</v>
      </c>
      <c r="B60" s="13">
        <v>100.95</v>
      </c>
    </row>
    <row r="61" s="6" customFormat="1" spans="1:2">
      <c r="A61" s="12">
        <f>DATE(2012,12,31)-732</f>
        <v>40542</v>
      </c>
      <c r="B61" s="13">
        <v>46.94</v>
      </c>
    </row>
    <row r="62" s="6" customFormat="1" spans="1:2">
      <c r="A62" s="12">
        <f>DATE(2012,12,31)-1297</f>
        <v>39977</v>
      </c>
      <c r="B62" s="13">
        <v>1239.6315</v>
      </c>
    </row>
    <row r="63" s="6" customFormat="1" spans="1:2">
      <c r="A63" s="12">
        <f>DATE(2012,12,31)-834</f>
        <v>40440</v>
      </c>
      <c r="B63" s="13">
        <v>1640.9</v>
      </c>
    </row>
    <row r="64" s="6" customFormat="1" spans="1:2">
      <c r="A64" s="12">
        <f>DATE(2012,12,31)-834</f>
        <v>40440</v>
      </c>
      <c r="B64" s="13">
        <v>1235.87</v>
      </c>
    </row>
    <row r="65" s="6" customFormat="1" spans="1:2">
      <c r="A65" s="12">
        <f>DATE(2012,12,31)-1109</f>
        <v>40165</v>
      </c>
      <c r="B65" s="13">
        <v>3659.66</v>
      </c>
    </row>
    <row r="66" s="6" customFormat="1" spans="1:2">
      <c r="A66" s="12">
        <f>DATE(2012,12,31)-304</f>
        <v>40970</v>
      </c>
      <c r="B66" s="13">
        <v>7666.04</v>
      </c>
    </row>
    <row r="67" spans="1:2">
      <c r="A67" s="14">
        <f>DATE(2012,12,31)-707</f>
        <v>40567</v>
      </c>
      <c r="B67" s="15">
        <v>14.96</v>
      </c>
    </row>
    <row r="68" spans="1:2">
      <c r="A68" s="14">
        <f>DATE(2012,12,31)-707</f>
        <v>40567</v>
      </c>
      <c r="B68" s="15">
        <v>15.69</v>
      </c>
    </row>
    <row r="69" s="6" customFormat="1" spans="1:2">
      <c r="A69" s="12">
        <f>DATE(2012,12,31)-16</f>
        <v>41258</v>
      </c>
      <c r="B69" s="13">
        <v>517.93</v>
      </c>
    </row>
    <row r="70" s="6" customFormat="1" spans="1:2">
      <c r="A70" s="12">
        <f>DATE(2012,12,31)-827</f>
        <v>40447</v>
      </c>
      <c r="B70" s="13">
        <v>1156.6715</v>
      </c>
    </row>
    <row r="71" s="6" customFormat="1" spans="1:2">
      <c r="A71" s="12">
        <f>DATE(2012,12,31)-1425</f>
        <v>39849</v>
      </c>
      <c r="B71" s="13">
        <v>15260.78</v>
      </c>
    </row>
    <row r="72" s="6" customFormat="1" spans="1:2">
      <c r="A72" s="12">
        <f>DATE(2012,12,31)-1425</f>
        <v>39849</v>
      </c>
      <c r="B72" s="13">
        <v>540.41</v>
      </c>
    </row>
    <row r="73" s="6" customFormat="1" spans="1:2">
      <c r="A73" s="12">
        <f>DATE(2012,12,31)-428</f>
        <v>40846</v>
      </c>
      <c r="B73" s="13">
        <v>43.29</v>
      </c>
    </row>
    <row r="74" s="6" customFormat="1" spans="1:2">
      <c r="A74" s="12">
        <f>DATE(2012,12,31)-428</f>
        <v>40846</v>
      </c>
      <c r="B74" s="13">
        <v>41.7</v>
      </c>
    </row>
    <row r="75" s="6" customFormat="1" spans="1:2">
      <c r="A75" s="12">
        <f>DATE(2012,12,31)-499</f>
        <v>40775</v>
      </c>
      <c r="B75" s="13">
        <v>1162.4005</v>
      </c>
    </row>
    <row r="76" s="6" customFormat="1" spans="1:2">
      <c r="A76" s="12">
        <f>DATE(2012,12,31)-531</f>
        <v>40743</v>
      </c>
      <c r="B76" s="13">
        <v>356.7</v>
      </c>
    </row>
    <row r="77" s="6" customFormat="1" spans="1:2">
      <c r="A77" s="12">
        <f>DATE(2012,12,31)-668</f>
        <v>40606</v>
      </c>
      <c r="B77" s="13">
        <v>1000.78</v>
      </c>
    </row>
    <row r="78" s="6" customFormat="1" spans="1:2">
      <c r="A78" s="12">
        <f>DATE(2012,12,31)-668</f>
        <v>40606</v>
      </c>
      <c r="B78" s="13">
        <v>543.72</v>
      </c>
    </row>
    <row r="79" spans="1:2">
      <c r="A79" s="14">
        <f>DATE(2012,12,31)-371</f>
        <v>40903</v>
      </c>
      <c r="B79" s="15">
        <v>234.2</v>
      </c>
    </row>
    <row r="80" s="6" customFormat="1" spans="1:2">
      <c r="A80" s="12">
        <f>DATE(2012,12,31)-85</f>
        <v>41189</v>
      </c>
      <c r="B80" s="13">
        <v>4509.3775</v>
      </c>
    </row>
    <row r="81" s="6" customFormat="1" spans="1:2">
      <c r="A81" s="12">
        <f>DATE(2012,12,31)-540</f>
        <v>40734</v>
      </c>
      <c r="B81" s="13">
        <v>4965.7595</v>
      </c>
    </row>
    <row r="82" s="6" customFormat="1" spans="1:2">
      <c r="A82" s="12">
        <f>DATE(2012,12,31)-136</f>
        <v>41138</v>
      </c>
      <c r="B82" s="13">
        <v>210.4</v>
      </c>
    </row>
    <row r="83" s="6" customFormat="1" spans="1:2">
      <c r="A83" s="12">
        <f>DATE(2012,12,31)-592</f>
        <v>40682</v>
      </c>
      <c r="B83" s="13">
        <v>1309.53</v>
      </c>
    </row>
    <row r="84" s="6" customFormat="1" spans="1:2">
      <c r="A84" s="12">
        <f>DATE(2012,12,31)-592</f>
        <v>40682</v>
      </c>
      <c r="B84" s="13">
        <v>806.37</v>
      </c>
    </row>
    <row r="85" s="6" customFormat="1" spans="1:2">
      <c r="A85" s="12">
        <f>DATE(2012,12,31)-611</f>
        <v>40663</v>
      </c>
      <c r="B85" s="13">
        <v>5437.92</v>
      </c>
    </row>
    <row r="86" s="6" customFormat="1" spans="1:2">
      <c r="A86" s="12">
        <f>DATE(2012,12,31)-856</f>
        <v>40418</v>
      </c>
      <c r="B86" s="13">
        <v>394.27</v>
      </c>
    </row>
    <row r="87" s="6" customFormat="1" spans="1:2">
      <c r="A87" s="12">
        <f>DATE(2012,12,31)-856</f>
        <v>40418</v>
      </c>
      <c r="B87" s="13">
        <v>146.69</v>
      </c>
    </row>
    <row r="88" s="6" customFormat="1" spans="1:2">
      <c r="A88" s="12">
        <f>DATE(2012,12,31)-1198</f>
        <v>40076</v>
      </c>
      <c r="B88" s="13">
        <v>129.49</v>
      </c>
    </row>
    <row r="89" s="6" customFormat="1" spans="1:2">
      <c r="A89" s="12">
        <f>DATE(2012,12,31)-1198</f>
        <v>40076</v>
      </c>
      <c r="B89" s="13">
        <v>202.95</v>
      </c>
    </row>
    <row r="90" s="6" customFormat="1" spans="1:2">
      <c r="A90" s="12">
        <f>DATE(2012,12,31)-1198</f>
        <v>40076</v>
      </c>
      <c r="B90" s="13">
        <v>2753.1925</v>
      </c>
    </row>
    <row r="91" spans="1:2">
      <c r="A91" s="14">
        <f>DATE(2012,12,31)-172</f>
        <v>41102</v>
      </c>
      <c r="B91" s="15">
        <v>70.24</v>
      </c>
    </row>
    <row r="92" spans="1:2">
      <c r="A92" s="14">
        <f>DATE(2012,12,31)-172</f>
        <v>41102</v>
      </c>
      <c r="B92" s="15">
        <v>40.75</v>
      </c>
    </row>
    <row r="93" spans="1:2">
      <c r="A93" s="14">
        <f>DATE(2012,12,31)-172</f>
        <v>41102</v>
      </c>
      <c r="B93" s="15">
        <v>1150.88</v>
      </c>
    </row>
    <row r="94" s="6" customFormat="1" spans="1:2">
      <c r="A94" s="12">
        <f>DATE(2012,12,31)-518</f>
        <v>40756</v>
      </c>
      <c r="B94" s="13">
        <v>283.65</v>
      </c>
    </row>
    <row r="95" spans="1:2">
      <c r="A95" s="14">
        <f>DATE(2012,12,31)-1070</f>
        <v>40204</v>
      </c>
      <c r="B95" s="15">
        <v>840.04</v>
      </c>
    </row>
    <row r="96" s="6" customFormat="1" spans="1:2">
      <c r="A96" s="12">
        <f>DATE(2012,12,31)-72</f>
        <v>41202</v>
      </c>
      <c r="B96" s="13">
        <v>262.87</v>
      </c>
    </row>
    <row r="97" s="6" customFormat="1" spans="1:2">
      <c r="A97" s="12">
        <f>DATE(2012,12,31)-72</f>
        <v>41202</v>
      </c>
      <c r="B97" s="13">
        <v>2531.0875</v>
      </c>
    </row>
    <row r="98" s="6" customFormat="1" spans="1:2">
      <c r="A98" s="12">
        <f>DATE(2012,12,31)-563</f>
        <v>40711</v>
      </c>
      <c r="B98" s="13">
        <v>93.54</v>
      </c>
    </row>
    <row r="99" s="6" customFormat="1" spans="1:2">
      <c r="A99" s="12">
        <f>DATE(2012,12,31)-563</f>
        <v>40711</v>
      </c>
      <c r="B99" s="13">
        <v>905.08</v>
      </c>
    </row>
    <row r="100" s="6" customFormat="1" spans="1:2">
      <c r="A100" s="12">
        <f>DATE(2012,12,31)-31</f>
        <v>41243</v>
      </c>
      <c r="B100" s="13">
        <v>628.22</v>
      </c>
    </row>
    <row r="101" s="6" customFormat="1" spans="1:2">
      <c r="A101" s="12">
        <f>DATE(2012,12,31)-31</f>
        <v>41243</v>
      </c>
      <c r="B101" s="13">
        <v>3366.1</v>
      </c>
    </row>
    <row r="102" s="6" customFormat="1" spans="1:2">
      <c r="A102" s="12">
        <f>DATE(2012,12,31)-1074</f>
        <v>40200</v>
      </c>
      <c r="B102" s="13">
        <v>4913.69</v>
      </c>
    </row>
    <row r="103" s="6" customFormat="1" spans="1:2">
      <c r="A103" s="12">
        <f>DATE(2012,12,31)-1074</f>
        <v>40200</v>
      </c>
      <c r="B103" s="13">
        <v>464.77</v>
      </c>
    </row>
    <row r="104" s="6" customFormat="1" spans="1:2">
      <c r="A104" s="12">
        <f>DATE(2012,12,31)-648</f>
        <v>40626</v>
      </c>
      <c r="B104" s="13">
        <v>2781.82</v>
      </c>
    </row>
    <row r="105" s="6" customFormat="1" spans="1:2">
      <c r="A105" s="12">
        <f>DATE(2012,12,31)-245</f>
        <v>41029</v>
      </c>
      <c r="B105" s="13">
        <v>1679.58</v>
      </c>
    </row>
    <row r="106" spans="1:2">
      <c r="A106" s="14">
        <f>DATE(2012,12,31)-1125</f>
        <v>40149</v>
      </c>
      <c r="B106" s="15">
        <v>557.85</v>
      </c>
    </row>
    <row r="107" s="6" customFormat="1" spans="1:2">
      <c r="A107" s="12">
        <f>DATE(2012,12,31)-1136</f>
        <v>40138</v>
      </c>
      <c r="B107" s="13">
        <v>173.2</v>
      </c>
    </row>
    <row r="108" s="6" customFormat="1" spans="1:2">
      <c r="A108" s="12">
        <f>DATE(2012,12,31)-1039</f>
        <v>40235</v>
      </c>
      <c r="B108" s="13">
        <v>228.41</v>
      </c>
    </row>
    <row r="109" s="6" customFormat="1" spans="1:2">
      <c r="A109" s="12">
        <f>DATE(2012,12,31)-480</f>
        <v>40794</v>
      </c>
      <c r="B109" s="13">
        <v>75.14</v>
      </c>
    </row>
    <row r="110" s="6" customFormat="1" spans="1:2">
      <c r="A110" s="12">
        <f>DATE(2012,12,31)-1095</f>
        <v>40179</v>
      </c>
      <c r="B110" s="13">
        <v>161.77</v>
      </c>
    </row>
    <row r="111" s="6" customFormat="1" spans="1:2">
      <c r="A111" s="12">
        <f>DATE(2012,12,31)-1095</f>
        <v>40179</v>
      </c>
      <c r="B111" s="13">
        <v>447.09</v>
      </c>
    </row>
    <row r="112" s="6" customFormat="1" spans="1:2">
      <c r="A112" s="12">
        <f>DATE(2012,12,31)-1095</f>
        <v>40179</v>
      </c>
      <c r="B112" s="13">
        <v>4192.88</v>
      </c>
    </row>
    <row r="113" s="6" customFormat="1" spans="1:2">
      <c r="A113" s="12">
        <f>DATE(2012,12,31)-1036</f>
        <v>40238</v>
      </c>
      <c r="B113" s="13">
        <v>560.51</v>
      </c>
    </row>
    <row r="114" s="6" customFormat="1" spans="1:2">
      <c r="A114" s="12">
        <f>DATE(2012,12,31)-1036</f>
        <v>40238</v>
      </c>
      <c r="B114" s="13">
        <v>189.95</v>
      </c>
    </row>
    <row r="115" s="6" customFormat="1" spans="1:2">
      <c r="A115" s="12">
        <f>DATE(2012,12,31)-535</f>
        <v>40739</v>
      </c>
      <c r="B115" s="13">
        <v>28.01</v>
      </c>
    </row>
    <row r="116" s="6" customFormat="1" spans="1:2">
      <c r="A116" s="12">
        <f>DATE(2012,12,31)-944</f>
        <v>40330</v>
      </c>
      <c r="B116" s="13">
        <v>4261.94</v>
      </c>
    </row>
    <row r="117" s="6" customFormat="1" spans="1:2">
      <c r="A117" s="12">
        <f>DATE(2012,12,31)-564</f>
        <v>40710</v>
      </c>
      <c r="B117" s="13">
        <v>88.84</v>
      </c>
    </row>
    <row r="118" s="6" customFormat="1" spans="1:2">
      <c r="A118" s="12">
        <f>DATE(2012,12,31)-990</f>
        <v>40284</v>
      </c>
      <c r="B118" s="13">
        <v>589.24</v>
      </c>
    </row>
    <row r="119" s="6" customFormat="1" spans="1:2">
      <c r="A119" s="12">
        <f>DATE(2012,12,31)-990</f>
        <v>40284</v>
      </c>
      <c r="B119" s="13">
        <v>233.05</v>
      </c>
    </row>
    <row r="120" s="6" customFormat="1" spans="1:2">
      <c r="A120" s="12">
        <f>DATE(2012,12,31)-828</f>
        <v>40446</v>
      </c>
      <c r="B120" s="13">
        <v>2071.3395</v>
      </c>
    </row>
    <row r="121" s="6" customFormat="1" spans="1:2">
      <c r="A121" s="12">
        <f>DATE(2012,12,31)-394</f>
        <v>40880</v>
      </c>
      <c r="B121" s="13">
        <v>126.57</v>
      </c>
    </row>
    <row r="122" s="6" customFormat="1" spans="1:2">
      <c r="A122" s="12">
        <f>DATE(2012,12,31)-655</f>
        <v>40619</v>
      </c>
      <c r="B122" s="13">
        <v>43.57</v>
      </c>
    </row>
    <row r="123" s="6" customFormat="1" spans="1:2">
      <c r="A123" s="12">
        <f>DATE(2012,12,31)-655</f>
        <v>40619</v>
      </c>
      <c r="B123" s="13">
        <v>31.87</v>
      </c>
    </row>
    <row r="124" s="6" customFormat="1" spans="1:2">
      <c r="A124" s="12">
        <f>DATE(2012,12,31)-318</f>
        <v>40956</v>
      </c>
      <c r="B124" s="13">
        <v>59.85</v>
      </c>
    </row>
    <row r="125" spans="1:2">
      <c r="A125" s="14">
        <f>DATE(2012,12,31)-727</f>
        <v>40547</v>
      </c>
      <c r="B125" s="15">
        <v>378.6</v>
      </c>
    </row>
    <row r="126" s="6" customFormat="1" spans="1:2">
      <c r="A126" s="12">
        <f>DATE(2012,12,31)-727</f>
        <v>40547</v>
      </c>
      <c r="B126" s="13">
        <v>38.5</v>
      </c>
    </row>
    <row r="127" s="6" customFormat="1" spans="1:2">
      <c r="A127" s="12">
        <f>DATE(2012,12,31)-546</f>
        <v>40728</v>
      </c>
      <c r="B127" s="13">
        <v>197.56</v>
      </c>
    </row>
    <row r="128" s="6" customFormat="1" spans="1:2">
      <c r="A128" s="12">
        <f>DATE(2012,12,31)-769</f>
        <v>40505</v>
      </c>
      <c r="B128" s="13">
        <v>196.85</v>
      </c>
    </row>
    <row r="129" s="6" customFormat="1" spans="1:2">
      <c r="A129" s="12">
        <f>DATE(2012,12,31)-769</f>
        <v>40505</v>
      </c>
      <c r="B129" s="13">
        <v>124.56</v>
      </c>
    </row>
    <row r="130" s="6" customFormat="1" spans="1:2">
      <c r="A130" s="12">
        <f>DATE(2012,12,31)-257</f>
        <v>41017</v>
      </c>
      <c r="B130" s="13">
        <v>53.46</v>
      </c>
    </row>
    <row r="131" s="6" customFormat="1" spans="1:2">
      <c r="A131" s="12">
        <f>DATE(2012,12,31)-1418</f>
        <v>39856</v>
      </c>
      <c r="B131" s="13">
        <v>19.32</v>
      </c>
    </row>
    <row r="132" s="6" customFormat="1" spans="1:2">
      <c r="A132" s="12">
        <f>DATE(2012,12,31)-1319</f>
        <v>39955</v>
      </c>
      <c r="B132" s="13">
        <v>1813.04</v>
      </c>
    </row>
    <row r="133" s="6" customFormat="1" spans="1:2">
      <c r="A133" s="12">
        <f>DATE(2012,12,31)-451</f>
        <v>40823</v>
      </c>
      <c r="B133" s="13">
        <v>125.16</v>
      </c>
    </row>
    <row r="134" s="6" customFormat="1" spans="1:2">
      <c r="A134" s="12">
        <f>DATE(2012,12,31)-1296</f>
        <v>39978</v>
      </c>
      <c r="B134" s="13">
        <v>65.7</v>
      </c>
    </row>
    <row r="135" s="6" customFormat="1" spans="1:2">
      <c r="A135" s="12">
        <f>DATE(2012,12,31)-206</f>
        <v>41068</v>
      </c>
      <c r="B135" s="13">
        <v>716.84</v>
      </c>
    </row>
    <row r="136" s="6" customFormat="1" spans="1:2">
      <c r="A136" s="12">
        <f>DATE(2012,12,31)-206</f>
        <v>41068</v>
      </c>
      <c r="B136" s="13">
        <v>1474.33</v>
      </c>
    </row>
    <row r="137" s="6" customFormat="1" spans="1:2">
      <c r="A137" s="12">
        <f>DATE(2012,12,31)-926</f>
        <v>40348</v>
      </c>
      <c r="B137" s="13">
        <v>1661.04</v>
      </c>
    </row>
    <row r="138" s="6" customFormat="1" spans="1:2">
      <c r="A138" s="12">
        <f>DATE(2012,12,31)-413</f>
        <v>40861</v>
      </c>
      <c r="B138" s="13">
        <v>104.94</v>
      </c>
    </row>
    <row r="139" s="6" customFormat="1" spans="1:2">
      <c r="A139" s="12">
        <f>DATE(2012,12,31)-1029</f>
        <v>40245</v>
      </c>
      <c r="B139" s="13">
        <v>1246.52</v>
      </c>
    </row>
    <row r="140" s="6" customFormat="1" spans="1:2">
      <c r="A140" s="12">
        <f>DATE(2012,12,31)-943</f>
        <v>40331</v>
      </c>
      <c r="B140" s="13">
        <v>676.13</v>
      </c>
    </row>
    <row r="141" s="6" customFormat="1" spans="1:2">
      <c r="A141" s="12">
        <f>DATE(2012,12,31)-943</f>
        <v>40331</v>
      </c>
      <c r="B141" s="13">
        <v>7668.55</v>
      </c>
    </row>
    <row r="142" s="6" customFormat="1" spans="1:2">
      <c r="A142" s="12">
        <f>DATE(2012,12,31)-1188</f>
        <v>40086</v>
      </c>
      <c r="B142" s="13">
        <v>1193.65</v>
      </c>
    </row>
    <row r="143" s="6" customFormat="1" spans="1:2">
      <c r="A143" s="12">
        <f>DATE(2012,12,31)-1254</f>
        <v>40020</v>
      </c>
      <c r="B143" s="13">
        <v>1925.83</v>
      </c>
    </row>
    <row r="144" s="6" customFormat="1" spans="1:2">
      <c r="A144" s="12">
        <f>DATE(2012,12,31)-671</f>
        <v>40603</v>
      </c>
      <c r="B144" s="13">
        <v>1222.68</v>
      </c>
    </row>
    <row r="145" s="6" customFormat="1" spans="1:2">
      <c r="A145" s="12">
        <f>DATE(2012,12,31)-671</f>
        <v>40603</v>
      </c>
      <c r="B145" s="13">
        <v>390.2</v>
      </c>
    </row>
    <row r="146" s="6" customFormat="1" spans="1:2">
      <c r="A146" s="12">
        <f>DATE(2012,12,31)-91</f>
        <v>41183</v>
      </c>
      <c r="B146" s="13">
        <v>227.66</v>
      </c>
    </row>
    <row r="147" s="6" customFormat="1" spans="1:2">
      <c r="A147" s="12">
        <f>DATE(2012,12,31)-91</f>
        <v>41183</v>
      </c>
      <c r="B147" s="13">
        <v>84.33</v>
      </c>
    </row>
    <row r="148" s="6" customFormat="1" spans="1:2">
      <c r="A148" s="12">
        <f>DATE(2012,12,31)-1111</f>
        <v>40163</v>
      </c>
      <c r="B148" s="13">
        <v>922.39</v>
      </c>
    </row>
    <row r="149" spans="1:2">
      <c r="A149" s="14">
        <f>DATE(2012,12,31)-1111</f>
        <v>40163</v>
      </c>
      <c r="B149" s="15">
        <v>79.19</v>
      </c>
    </row>
    <row r="150" s="6" customFormat="1" spans="1:2">
      <c r="A150" s="12">
        <f>DATE(2012,12,31)-149</f>
        <v>41125</v>
      </c>
      <c r="B150" s="13">
        <v>80.61</v>
      </c>
    </row>
    <row r="151" s="6" customFormat="1" spans="1:2">
      <c r="A151" s="12">
        <f>DATE(2012,12,31)-1198</f>
        <v>40076</v>
      </c>
      <c r="B151" s="13">
        <v>605.97</v>
      </c>
    </row>
    <row r="152" s="6" customFormat="1" spans="1:2">
      <c r="A152" s="12">
        <f>DATE(2012,12,31)-1336</f>
        <v>39938</v>
      </c>
      <c r="B152" s="13">
        <v>4064.05</v>
      </c>
    </row>
    <row r="153" s="6" customFormat="1" spans="1:2">
      <c r="A153" s="12">
        <f>DATE(2012,12,31)-1336</f>
        <v>39938</v>
      </c>
      <c r="B153" s="13">
        <v>3213.87</v>
      </c>
    </row>
    <row r="154" s="6" customFormat="1" spans="1:2">
      <c r="A154" s="12">
        <f>DATE(2012,12,31)-592</f>
        <v>40682</v>
      </c>
      <c r="B154" s="13">
        <v>315.02</v>
      </c>
    </row>
    <row r="155" s="6" customFormat="1" spans="1:2">
      <c r="A155" s="12">
        <f>DATE(2012,12,31)-592</f>
        <v>40682</v>
      </c>
      <c r="B155" s="13">
        <v>40.02</v>
      </c>
    </row>
    <row r="156" s="6" customFormat="1" spans="1:2">
      <c r="A156" s="12">
        <f>DATE(2012,12,31)-597</f>
        <v>40677</v>
      </c>
      <c r="B156" s="13">
        <v>11230.25</v>
      </c>
    </row>
    <row r="157" s="6" customFormat="1" spans="1:2">
      <c r="A157" s="12">
        <f>DATE(2012,12,31)-194</f>
        <v>41080</v>
      </c>
      <c r="B157" s="13">
        <v>90.56</v>
      </c>
    </row>
    <row r="158" s="6" customFormat="1" spans="1:2">
      <c r="A158" s="12">
        <f>DATE(2012,12,31)-194</f>
        <v>41080</v>
      </c>
      <c r="B158" s="13">
        <v>1634.9</v>
      </c>
    </row>
    <row r="159" s="6" customFormat="1" spans="1:2">
      <c r="A159" s="12">
        <f>DATE(2012,12,31)-194</f>
        <v>41080</v>
      </c>
      <c r="B159" s="13">
        <v>11278.18</v>
      </c>
    </row>
    <row r="160" s="6" customFormat="1" spans="1:2">
      <c r="A160" s="12">
        <f>DATE(2012,12,31)-1352</f>
        <v>39922</v>
      </c>
      <c r="B160" s="13">
        <v>132.07</v>
      </c>
    </row>
    <row r="161" s="6" customFormat="1" spans="1:2">
      <c r="A161" s="12">
        <f>DATE(2012,12,31)-581</f>
        <v>40693</v>
      </c>
      <c r="B161" s="13">
        <v>1815.49</v>
      </c>
    </row>
    <row r="162" s="6" customFormat="1" spans="1:2">
      <c r="A162" s="12">
        <f>DATE(2012,12,31)-1132</f>
        <v>40142</v>
      </c>
      <c r="B162" s="13">
        <v>248.26</v>
      </c>
    </row>
    <row r="163" spans="1:2">
      <c r="A163" s="14">
        <f>DATE(2012,12,31)-849</f>
        <v>40425</v>
      </c>
      <c r="B163" s="15">
        <v>583.64</v>
      </c>
    </row>
    <row r="164" s="6" customFormat="1" spans="1:2">
      <c r="A164" s="12">
        <f>DATE(2012,12,31)-212</f>
        <v>41062</v>
      </c>
      <c r="B164" s="13">
        <v>1406.15</v>
      </c>
    </row>
    <row r="165" s="6" customFormat="1" spans="1:2">
      <c r="A165" s="12">
        <f>DATE(2012,12,31)-1456</f>
        <v>39818</v>
      </c>
      <c r="B165" s="13">
        <v>165.75</v>
      </c>
    </row>
    <row r="166" s="6" customFormat="1" spans="1:2">
      <c r="A166" s="12">
        <f>DATE(2012,12,31)-1456</f>
        <v>39818</v>
      </c>
      <c r="B166" s="13">
        <v>2021.147</v>
      </c>
    </row>
    <row r="167" s="6" customFormat="1" spans="1:2">
      <c r="A167" s="12">
        <f>DATE(2012,12,31)-1218</f>
        <v>40056</v>
      </c>
      <c r="B167" s="13">
        <v>226.1</v>
      </c>
    </row>
    <row r="168" s="6" customFormat="1" spans="1:2">
      <c r="A168" s="12">
        <f>DATE(2012,12,31)-316</f>
        <v>40958</v>
      </c>
      <c r="B168" s="13">
        <v>341.36</v>
      </c>
    </row>
    <row r="169" s="6" customFormat="1" spans="1:2">
      <c r="A169" s="12">
        <f>DATE(2012,12,31)-981</f>
        <v>40293</v>
      </c>
      <c r="B169" s="13">
        <v>469.438</v>
      </c>
    </row>
    <row r="170" s="6" customFormat="1" spans="1:2">
      <c r="A170" s="12">
        <f>DATE(2012,12,31)-1404</f>
        <v>39870</v>
      </c>
      <c r="B170" s="13">
        <v>127.33</v>
      </c>
    </row>
    <row r="171" s="6" customFormat="1" spans="1:2">
      <c r="A171" s="12">
        <f>DATE(2012,12,31)-1404</f>
        <v>39870</v>
      </c>
      <c r="B171" s="13">
        <v>990.1</v>
      </c>
    </row>
    <row r="172" s="6" customFormat="1" spans="1:2">
      <c r="A172" s="12">
        <f>DATE(2012,12,31)-1045</f>
        <v>40229</v>
      </c>
      <c r="B172" s="13">
        <v>1187.55</v>
      </c>
    </row>
    <row r="173" s="6" customFormat="1" spans="1:2">
      <c r="A173" s="12">
        <f>DATE(2012,12,31)-225</f>
        <v>41049</v>
      </c>
      <c r="B173" s="13">
        <v>269.02</v>
      </c>
    </row>
    <row r="174" s="6" customFormat="1" spans="1:2">
      <c r="A174" s="12">
        <f>DATE(2012,12,31)-498</f>
        <v>40776</v>
      </c>
      <c r="B174" s="13">
        <v>142.18</v>
      </c>
    </row>
    <row r="175" s="6" customFormat="1" spans="1:2">
      <c r="A175" s="12">
        <f>DATE(2012,12,31)-470</f>
        <v>40804</v>
      </c>
      <c r="B175" s="13">
        <v>5340.5</v>
      </c>
    </row>
    <row r="176" s="6" customFormat="1" spans="1:2">
      <c r="A176" s="12">
        <f>DATE(2012,12,31)-321</f>
        <v>40953</v>
      </c>
      <c r="B176" s="13">
        <v>4462.23</v>
      </c>
    </row>
    <row r="177" s="6" customFormat="1" spans="1:2">
      <c r="A177" s="12">
        <f>DATE(2012,12,31)-321</f>
        <v>40953</v>
      </c>
      <c r="B177" s="13">
        <v>663.784</v>
      </c>
    </row>
    <row r="178" s="6" customFormat="1" spans="1:2">
      <c r="A178" s="12">
        <f>DATE(2012,12,31)-321</f>
        <v>40953</v>
      </c>
      <c r="B178" s="13">
        <v>115.1</v>
      </c>
    </row>
    <row r="179" spans="1:2">
      <c r="A179" s="14">
        <f>DATE(2012,12,31)-321</f>
        <v>40953</v>
      </c>
      <c r="B179" s="15">
        <v>516.65</v>
      </c>
    </row>
    <row r="180" spans="1:2">
      <c r="A180" s="14">
        <f>DATE(2012,12,31)-130</f>
        <v>41144</v>
      </c>
      <c r="B180" s="15">
        <v>374.78</v>
      </c>
    </row>
    <row r="181" s="6" customFormat="1" spans="1:2">
      <c r="A181" s="12">
        <f>DATE(2012,12,31)-42</f>
        <v>41232</v>
      </c>
      <c r="B181" s="13">
        <v>222.91</v>
      </c>
    </row>
    <row r="182" s="6" customFormat="1" spans="1:2">
      <c r="A182" s="12">
        <f>DATE(2012,12,31)-1363</f>
        <v>39911</v>
      </c>
      <c r="B182" s="13">
        <v>129.1</v>
      </c>
    </row>
    <row r="183" s="6" customFormat="1" spans="1:2">
      <c r="A183" s="12">
        <f>DATE(2012,12,31)-421</f>
        <v>40853</v>
      </c>
      <c r="B183" s="13">
        <v>3532.96</v>
      </c>
    </row>
    <row r="184" s="6" customFormat="1" spans="1:2">
      <c r="A184" s="12">
        <f>DATE(2012,12,31)-250</f>
        <v>41024</v>
      </c>
      <c r="B184" s="13">
        <v>662.16</v>
      </c>
    </row>
    <row r="185" spans="1:2">
      <c r="A185" s="14">
        <f>DATE(2012,12,31)-1291</f>
        <v>39983</v>
      </c>
      <c r="B185" s="15">
        <v>46.46</v>
      </c>
    </row>
    <row r="186" s="6" customFormat="1" spans="1:2">
      <c r="A186" s="12">
        <f>DATE(2012,12,31)-257</f>
        <v>41017</v>
      </c>
      <c r="B186" s="13">
        <v>14.68</v>
      </c>
    </row>
    <row r="187" s="6" customFormat="1" spans="1:2">
      <c r="A187" s="12">
        <f>DATE(2012,12,31)-257</f>
        <v>41017</v>
      </c>
      <c r="B187" s="13">
        <v>10145.14</v>
      </c>
    </row>
    <row r="188" s="6" customFormat="1" spans="1:2">
      <c r="A188" s="12">
        <f>DATE(2012,12,31)-257</f>
        <v>41017</v>
      </c>
      <c r="B188" s="13">
        <v>68.45</v>
      </c>
    </row>
    <row r="189" s="6" customFormat="1" spans="1:2">
      <c r="A189" s="12">
        <f>DATE(2012,12,31)-1061</f>
        <v>40213</v>
      </c>
      <c r="B189" s="13">
        <v>257.39</v>
      </c>
    </row>
    <row r="190" s="6" customFormat="1" spans="1:2">
      <c r="A190" s="12">
        <f>DATE(2012,12,31)-1071</f>
        <v>40203</v>
      </c>
      <c r="B190" s="13">
        <v>494.34</v>
      </c>
    </row>
    <row r="191" s="6" customFormat="1" spans="1:2">
      <c r="A191" s="12">
        <f>DATE(2012,12,31)-1086</f>
        <v>40188</v>
      </c>
      <c r="B191" s="13">
        <v>827.27</v>
      </c>
    </row>
    <row r="192" s="6" customFormat="1" spans="1:2">
      <c r="A192" s="12">
        <f>DATE(2012,12,31)-308</f>
        <v>40966</v>
      </c>
      <c r="B192" s="13">
        <v>892.38</v>
      </c>
    </row>
    <row r="193" s="6" customFormat="1" spans="1:2">
      <c r="A193" s="12">
        <f>DATE(2012,12,31)-308</f>
        <v>40966</v>
      </c>
      <c r="B193" s="13">
        <v>29.41</v>
      </c>
    </row>
    <row r="194" s="6" customFormat="1" spans="1:2">
      <c r="A194" s="12">
        <f>DATE(2012,12,31)-214</f>
        <v>41060</v>
      </c>
      <c r="B194" s="13">
        <v>3874.12</v>
      </c>
    </row>
    <row r="195" s="6" customFormat="1" spans="1:2">
      <c r="A195" s="12">
        <f>DATE(2012,12,31)-214</f>
        <v>41060</v>
      </c>
      <c r="B195" s="13">
        <v>1452.216</v>
      </c>
    </row>
    <row r="196" spans="1:2">
      <c r="A196" s="14">
        <f>DATE(2012,12,31)-963</f>
        <v>40311</v>
      </c>
      <c r="B196" s="15">
        <v>234.37</v>
      </c>
    </row>
    <row r="197" s="6" customFormat="1" spans="1:2">
      <c r="A197" s="12">
        <f>DATE(2012,12,31)-963</f>
        <v>40311</v>
      </c>
      <c r="B197" s="13">
        <v>1000.3565</v>
      </c>
    </row>
    <row r="198" s="6" customFormat="1" spans="1:2">
      <c r="A198" s="12">
        <f>DATE(2012,12,31)-1276</f>
        <v>39998</v>
      </c>
      <c r="B198" s="13">
        <v>3908.65</v>
      </c>
    </row>
    <row r="199" s="6" customFormat="1" spans="1:2">
      <c r="A199" s="12">
        <f>DATE(2012,12,31)-1206</f>
        <v>40068</v>
      </c>
      <c r="B199" s="13">
        <v>840.07</v>
      </c>
    </row>
    <row r="200" s="6" customFormat="1" spans="1:2">
      <c r="A200" s="12">
        <f>DATE(2012,12,31)-1329</f>
        <v>39945</v>
      </c>
      <c r="B200" s="13">
        <v>42.58</v>
      </c>
    </row>
    <row r="201" s="6" customFormat="1" spans="1:2">
      <c r="A201" s="12">
        <f>DATE(2012,12,31)-593</f>
        <v>40681</v>
      </c>
      <c r="B201" s="13">
        <v>523.42</v>
      </c>
    </row>
    <row r="202" s="6" customFormat="1" spans="1:2">
      <c r="A202" s="12">
        <f>DATE(2012,12,31)-593</f>
        <v>40681</v>
      </c>
      <c r="B202" s="13">
        <v>192.54</v>
      </c>
    </row>
    <row r="203" s="6" customFormat="1" spans="1:2">
      <c r="A203" s="12">
        <f>DATE(2012,12,31)-593</f>
        <v>40681</v>
      </c>
      <c r="B203" s="13">
        <v>156.7</v>
      </c>
    </row>
    <row r="204" s="6" customFormat="1" spans="1:2">
      <c r="A204" s="12">
        <f>DATE(2012,12,31)-260</f>
        <v>41014</v>
      </c>
      <c r="B204" s="13">
        <v>834.904</v>
      </c>
    </row>
    <row r="205" s="6" customFormat="1" spans="1:2">
      <c r="A205" s="12">
        <f>DATE(2012,12,31)-260</f>
        <v>41014</v>
      </c>
      <c r="B205" s="13">
        <v>2480.9205</v>
      </c>
    </row>
    <row r="206" s="6" customFormat="1" spans="1:2">
      <c r="A206" s="12">
        <f>DATE(2012,12,31)-65</f>
        <v>41209</v>
      </c>
      <c r="B206" s="13">
        <v>2443.85</v>
      </c>
    </row>
    <row r="207" s="6" customFormat="1" spans="1:2">
      <c r="A207" s="12">
        <f>DATE(2012,12,31)-197</f>
        <v>41077</v>
      </c>
      <c r="B207" s="13">
        <v>4789.89</v>
      </c>
    </row>
    <row r="208" s="6" customFormat="1" spans="1:2">
      <c r="A208" s="12">
        <f>DATE(2012,12,31)-868</f>
        <v>40406</v>
      </c>
      <c r="B208" s="13">
        <v>89.335</v>
      </c>
    </row>
    <row r="209" spans="1:2">
      <c r="A209" s="14">
        <f>DATE(2012,12,31)-868</f>
        <v>40406</v>
      </c>
      <c r="B209" s="15">
        <v>158.46</v>
      </c>
    </row>
    <row r="210" s="6" customFormat="1" spans="1:2">
      <c r="A210" s="12">
        <f>DATE(2012,12,31)-868</f>
        <v>40406</v>
      </c>
      <c r="B210" s="13">
        <v>7180.83</v>
      </c>
    </row>
    <row r="211" s="6" customFormat="1" spans="1:2">
      <c r="A211" s="12">
        <f>DATE(2012,12,31)-980</f>
        <v>40294</v>
      </c>
      <c r="B211" s="13">
        <v>17129.97</v>
      </c>
    </row>
    <row r="212" s="6" customFormat="1" spans="1:2">
      <c r="A212" s="12">
        <f>DATE(2012,12,31)-1107</f>
        <v>40167</v>
      </c>
      <c r="B212" s="13">
        <v>5748.2</v>
      </c>
    </row>
    <row r="213" s="6" customFormat="1" spans="1:2">
      <c r="A213" s="12">
        <f>DATE(2012,12,31)-1107</f>
        <v>40167</v>
      </c>
      <c r="B213" s="13">
        <v>6717.9325</v>
      </c>
    </row>
    <row r="214" s="6" customFormat="1" spans="1:2">
      <c r="A214" s="12">
        <f>DATE(2012,12,31)-1025</f>
        <v>40249</v>
      </c>
      <c r="B214" s="13">
        <v>59.03</v>
      </c>
    </row>
    <row r="215" s="6" customFormat="1" spans="1:2">
      <c r="A215" s="12">
        <f>DATE(2012,12,31)-1025</f>
        <v>40249</v>
      </c>
      <c r="B215" s="13">
        <v>97.48</v>
      </c>
    </row>
    <row r="216" s="6" customFormat="1" spans="1:2">
      <c r="A216" s="12">
        <f>DATE(2012,12,31)-504</f>
        <v>40770</v>
      </c>
      <c r="B216" s="13">
        <v>4530.96</v>
      </c>
    </row>
    <row r="217" s="6" customFormat="1" spans="1:2">
      <c r="A217" s="12">
        <f>DATE(2012,12,31)-510</f>
        <v>40764</v>
      </c>
      <c r="B217" s="13">
        <v>726.22</v>
      </c>
    </row>
    <row r="218" s="6" customFormat="1" spans="1:2">
      <c r="A218" s="12">
        <f>DATE(2012,12,31)-1122</f>
        <v>40152</v>
      </c>
      <c r="B218" s="13">
        <v>21717.36</v>
      </c>
    </row>
    <row r="219" s="6" customFormat="1" spans="1:2">
      <c r="A219" s="12">
        <f>DATE(2012,12,31)-1122</f>
        <v>40152</v>
      </c>
      <c r="B219" s="13">
        <v>15823.27</v>
      </c>
    </row>
    <row r="220" spans="1:2">
      <c r="A220" s="14">
        <f>DATE(2012,12,31)-1122</f>
        <v>40152</v>
      </c>
      <c r="B220" s="15">
        <v>21.44</v>
      </c>
    </row>
    <row r="221" spans="1:2">
      <c r="A221" s="14">
        <f>DATE(2012,12,31)-1122</f>
        <v>40152</v>
      </c>
      <c r="B221" s="15">
        <v>416.4</v>
      </c>
    </row>
    <row r="222" s="6" customFormat="1" spans="1:2">
      <c r="A222" s="12">
        <f>DATE(2012,12,31)-1122</f>
        <v>40152</v>
      </c>
      <c r="B222" s="13">
        <v>772.24</v>
      </c>
    </row>
    <row r="223" s="6" customFormat="1" spans="1:2">
      <c r="A223" s="12">
        <f>DATE(2012,12,31)-722</f>
        <v>40552</v>
      </c>
      <c r="B223" s="13">
        <v>1326.09</v>
      </c>
    </row>
    <row r="224" s="6" customFormat="1" spans="1:2">
      <c r="A224" s="12">
        <f>DATE(2012,12,31)-722</f>
        <v>40552</v>
      </c>
      <c r="B224" s="13">
        <v>339.49</v>
      </c>
    </row>
    <row r="225" s="6" customFormat="1" spans="1:2">
      <c r="A225" s="12">
        <f>DATE(2012,12,31)-78</f>
        <v>41196</v>
      </c>
      <c r="B225" s="13">
        <v>2135.9735</v>
      </c>
    </row>
    <row r="226" s="6" customFormat="1" spans="1:2">
      <c r="A226" s="12">
        <f>DATE(2012,12,31)-126</f>
        <v>41148</v>
      </c>
      <c r="B226" s="13">
        <v>293.18</v>
      </c>
    </row>
    <row r="227" s="6" customFormat="1" spans="1:2">
      <c r="A227" s="12">
        <f>DATE(2012,12,31)-810</f>
        <v>40464</v>
      </c>
      <c r="B227" s="13">
        <v>4345.86</v>
      </c>
    </row>
    <row r="228" s="6" customFormat="1" spans="1:2">
      <c r="A228" s="12">
        <f>DATE(2012,12,31)-321</f>
        <v>40953</v>
      </c>
      <c r="B228" s="13">
        <v>16.6</v>
      </c>
    </row>
    <row r="229" s="6" customFormat="1" spans="1:2">
      <c r="A229" s="12">
        <f>DATE(2012,12,31)-563</f>
        <v>40711</v>
      </c>
      <c r="B229" s="13">
        <v>1297.304</v>
      </c>
    </row>
    <row r="230" s="6" customFormat="1" spans="1:2">
      <c r="A230" s="12">
        <f>DATE(2012,12,31)-663</f>
        <v>40611</v>
      </c>
      <c r="B230" s="13">
        <v>511.83</v>
      </c>
    </row>
    <row r="231" s="6" customFormat="1" spans="1:2">
      <c r="A231" s="12">
        <f>DATE(2012,12,31)-663</f>
        <v>40611</v>
      </c>
      <c r="B231" s="13">
        <v>184.99</v>
      </c>
    </row>
    <row r="232" s="6" customFormat="1" spans="1:2">
      <c r="A232" s="12">
        <f>DATE(2012,12,31)-149</f>
        <v>41125</v>
      </c>
      <c r="B232" s="13">
        <v>80.9</v>
      </c>
    </row>
    <row r="233" s="6" customFormat="1" spans="1:2">
      <c r="A233" s="12">
        <f>DATE(2012,12,31)-839</f>
        <v>40435</v>
      </c>
      <c r="B233" s="13">
        <v>2150.25</v>
      </c>
    </row>
    <row r="234" s="6" customFormat="1" spans="1:2">
      <c r="A234" s="12">
        <f>DATE(2012,12,31)-839</f>
        <v>40435</v>
      </c>
      <c r="B234" s="13">
        <v>448</v>
      </c>
    </row>
    <row r="235" s="6" customFormat="1" spans="1:2">
      <c r="A235" s="12">
        <f>DATE(2012,12,31)-4</f>
        <v>41270</v>
      </c>
      <c r="B235" s="13">
        <v>759.94</v>
      </c>
    </row>
    <row r="236" s="6" customFormat="1" spans="1:2">
      <c r="A236" s="12">
        <f>DATE(2012,12,31)-476</f>
        <v>40798</v>
      </c>
      <c r="B236" s="13">
        <v>133.65</v>
      </c>
    </row>
    <row r="237" s="6" customFormat="1" spans="1:2">
      <c r="A237" s="12">
        <f>DATE(2012,12,31)-476</f>
        <v>40798</v>
      </c>
      <c r="B237" s="13">
        <v>525.674</v>
      </c>
    </row>
    <row r="238" s="6" customFormat="1" spans="1:2">
      <c r="A238" s="12">
        <f>DATE(2012,12,31)-1035</f>
        <v>40239</v>
      </c>
      <c r="B238" s="13">
        <v>303.59</v>
      </c>
    </row>
    <row r="239" spans="1:2">
      <c r="A239" s="14">
        <f>DATE(2012,12,31)-1035</f>
        <v>40239</v>
      </c>
      <c r="B239" s="15">
        <v>191.6</v>
      </c>
    </row>
    <row r="240" s="6" customFormat="1" spans="1:2">
      <c r="A240" s="12">
        <f>DATE(2012,12,31)-899</f>
        <v>40375</v>
      </c>
      <c r="B240" s="13">
        <v>622.82</v>
      </c>
    </row>
    <row r="241" s="6" customFormat="1" spans="1:2">
      <c r="A241" s="12">
        <f>DATE(2012,12,31)-693</f>
        <v>40581</v>
      </c>
      <c r="B241" s="13">
        <v>1225.52</v>
      </c>
    </row>
    <row r="242" s="6" customFormat="1" spans="1:2">
      <c r="A242" s="12">
        <f>DATE(2012,12,31)-693</f>
        <v>40581</v>
      </c>
      <c r="B242" s="13">
        <v>1024.29</v>
      </c>
    </row>
    <row r="243" s="6" customFormat="1" spans="1:2">
      <c r="A243" s="12">
        <f>DATE(2012,12,31)-693</f>
        <v>40581</v>
      </c>
      <c r="B243" s="13">
        <v>1348.57</v>
      </c>
    </row>
    <row r="244" s="6" customFormat="1" spans="1:2">
      <c r="A244" s="12">
        <f>DATE(2012,12,31)-500</f>
        <v>40774</v>
      </c>
      <c r="B244" s="13">
        <v>163.14</v>
      </c>
    </row>
    <row r="245" s="6" customFormat="1" spans="1:2">
      <c r="A245" s="12">
        <f>DATE(2012,12,31)-1334</f>
        <v>39940</v>
      </c>
      <c r="B245" s="13">
        <v>755.6075</v>
      </c>
    </row>
    <row r="246" spans="1:2">
      <c r="A246" s="14">
        <f>DATE(2012,12,31)-441</f>
        <v>40833</v>
      </c>
      <c r="B246" s="15">
        <v>5642.18</v>
      </c>
    </row>
    <row r="247" s="6" customFormat="1" spans="1:2">
      <c r="A247" s="12">
        <f>DATE(2012,12,31)-733</f>
        <v>40541</v>
      </c>
      <c r="B247" s="13">
        <v>430.88</v>
      </c>
    </row>
    <row r="248" s="6" customFormat="1" spans="1:2">
      <c r="A248" s="12">
        <f>DATE(2012,12,31)-227</f>
        <v>41047</v>
      </c>
      <c r="B248" s="13">
        <v>2047.58</v>
      </c>
    </row>
    <row r="249" s="6" customFormat="1" spans="1:2">
      <c r="A249" s="12">
        <f>DATE(2012,12,31)-227</f>
        <v>41047</v>
      </c>
      <c r="B249" s="13">
        <v>56.61</v>
      </c>
    </row>
    <row r="250" s="6" customFormat="1" spans="1:2">
      <c r="A250" s="12">
        <f>DATE(2012,12,31)-605</f>
        <v>40669</v>
      </c>
      <c r="B250" s="13">
        <v>67.24</v>
      </c>
    </row>
    <row r="251" s="6" customFormat="1" spans="1:2">
      <c r="A251" s="12">
        <f>DATE(2012,12,31)-739</f>
        <v>40535</v>
      </c>
      <c r="B251" s="13">
        <v>12028.23</v>
      </c>
    </row>
    <row r="252" s="6" customFormat="1" spans="1:2">
      <c r="A252" s="12">
        <f>DATE(2012,12,31)-1230</f>
        <v>40044</v>
      </c>
      <c r="B252" s="13">
        <v>857.11</v>
      </c>
    </row>
    <row r="253" s="6" customFormat="1" spans="1:2">
      <c r="A253" s="12">
        <f>DATE(2012,12,31)-1230</f>
        <v>40044</v>
      </c>
      <c r="B253" s="13">
        <v>69.6</v>
      </c>
    </row>
    <row r="254" s="6" customFormat="1" spans="1:2">
      <c r="A254" s="12">
        <f>DATE(2012,12,31)-1230</f>
        <v>40044</v>
      </c>
      <c r="B254" s="13">
        <v>1279.505</v>
      </c>
    </row>
    <row r="255" s="6" customFormat="1" spans="1:2">
      <c r="A255" s="12">
        <f>DATE(2012,12,31)-282</f>
        <v>40992</v>
      </c>
      <c r="B255" s="13">
        <v>59.99</v>
      </c>
    </row>
    <row r="256" s="6" customFormat="1" spans="1:2">
      <c r="A256" s="12">
        <f>DATE(2012,12,31)-659</f>
        <v>40615</v>
      </c>
      <c r="B256" s="13">
        <v>46.34</v>
      </c>
    </row>
    <row r="257" s="6" customFormat="1" spans="1:2">
      <c r="A257" s="12">
        <f>DATE(2012,12,31)-784</f>
        <v>40490</v>
      </c>
      <c r="B257" s="13">
        <v>370.48</v>
      </c>
    </row>
    <row r="258" s="6" customFormat="1" spans="1:2">
      <c r="A258" s="12">
        <f>DATE(2012,12,31)-173</f>
        <v>41101</v>
      </c>
      <c r="B258" s="13">
        <v>233.43</v>
      </c>
    </row>
    <row r="259" spans="1:2">
      <c r="A259" s="14">
        <f>DATE(2012,12,31)-41</f>
        <v>41233</v>
      </c>
      <c r="B259" s="15">
        <v>183.41</v>
      </c>
    </row>
    <row r="260" s="6" customFormat="1" spans="1:2">
      <c r="A260" s="12">
        <f>DATE(2012,12,31)-1396</f>
        <v>39878</v>
      </c>
      <c r="B260" s="13">
        <v>1187.12</v>
      </c>
    </row>
    <row r="261" s="6" customFormat="1" spans="1:2">
      <c r="A261" s="12">
        <f>DATE(2012,12,31)-1396</f>
        <v>39878</v>
      </c>
      <c r="B261" s="13">
        <v>108.31</v>
      </c>
    </row>
    <row r="262" s="6" customFormat="1" spans="1:2">
      <c r="A262" s="12">
        <f>DATE(2012,12,31)-1337</f>
        <v>39937</v>
      </c>
      <c r="B262" s="13">
        <v>10656.26</v>
      </c>
    </row>
    <row r="263" s="6" customFormat="1" spans="1:2">
      <c r="A263" s="12">
        <f>DATE(2012,12,31)-1337</f>
        <v>39937</v>
      </c>
      <c r="B263" s="13">
        <v>17.06</v>
      </c>
    </row>
    <row r="264" s="6" customFormat="1" spans="1:2">
      <c r="A264" s="12">
        <f>DATE(2012,12,31)-758</f>
        <v>40516</v>
      </c>
      <c r="B264" s="13">
        <v>38.26</v>
      </c>
    </row>
    <row r="265" s="6" customFormat="1" spans="1:2">
      <c r="A265" s="12">
        <f>DATE(2012,12,31)-260</f>
        <v>41014</v>
      </c>
      <c r="B265" s="13">
        <v>28.32</v>
      </c>
    </row>
    <row r="266" spans="1:2">
      <c r="A266" s="14">
        <f>DATE(2012,12,31)-1334</f>
        <v>39940</v>
      </c>
      <c r="B266" s="15">
        <v>133.04</v>
      </c>
    </row>
    <row r="267" spans="1:2">
      <c r="A267" s="14">
        <f>DATE(2012,12,31)-761</f>
        <v>40513</v>
      </c>
      <c r="B267" s="15">
        <v>12586.19</v>
      </c>
    </row>
    <row r="268" s="6" customFormat="1" spans="1:2">
      <c r="A268" s="12">
        <f>DATE(2012,12,31)-287</f>
        <v>40987</v>
      </c>
      <c r="B268" s="13">
        <v>1449.3</v>
      </c>
    </row>
    <row r="269" s="6" customFormat="1" spans="1:2">
      <c r="A269" s="12">
        <f>DATE(2012,12,31)-287</f>
        <v>40987</v>
      </c>
      <c r="B269" s="13">
        <v>4374.6865</v>
      </c>
    </row>
    <row r="270" s="6" customFormat="1" spans="1:2">
      <c r="A270" s="12">
        <f>DATE(2012,12,31)-287</f>
        <v>40987</v>
      </c>
      <c r="B270" s="13">
        <v>4283.235</v>
      </c>
    </row>
    <row r="271" s="6" customFormat="1" spans="1:2">
      <c r="A271" s="12">
        <f>DATE(2012,12,31)-1084</f>
        <v>40190</v>
      </c>
      <c r="B271" s="13">
        <v>199.76</v>
      </c>
    </row>
    <row r="272" s="6" customFormat="1" spans="1:2">
      <c r="A272" s="12">
        <f>DATE(2012,12,31)-831</f>
        <v>40443</v>
      </c>
      <c r="B272" s="13">
        <v>2415.38</v>
      </c>
    </row>
    <row r="273" s="6" customFormat="1" spans="1:2">
      <c r="A273" s="12">
        <f>DATE(2012,12,31)-793</f>
        <v>40481</v>
      </c>
      <c r="B273" s="13">
        <v>1264.46</v>
      </c>
    </row>
    <row r="274" s="6" customFormat="1" spans="1:2">
      <c r="A274" s="12">
        <f>DATE(2012,12,31)-793</f>
        <v>40481</v>
      </c>
      <c r="B274" s="13">
        <v>158.25</v>
      </c>
    </row>
    <row r="275" s="6" customFormat="1" spans="1:2">
      <c r="A275" s="12">
        <f>DATE(2012,12,31)-1113</f>
        <v>40161</v>
      </c>
      <c r="B275" s="13">
        <v>302.36</v>
      </c>
    </row>
    <row r="276" spans="1:2">
      <c r="A276" s="14">
        <f>DATE(2012,12,31)-1377</f>
        <v>39897</v>
      </c>
      <c r="B276" s="15">
        <v>193.63</v>
      </c>
    </row>
    <row r="277" spans="1:2">
      <c r="A277" s="14">
        <f>DATE(2012,12,31)-1377</f>
        <v>39897</v>
      </c>
      <c r="B277" s="15">
        <v>64.29</v>
      </c>
    </row>
    <row r="278" s="6" customFormat="1" spans="1:2">
      <c r="A278" s="12">
        <f>DATE(2012,12,31)-1312</f>
        <v>39962</v>
      </c>
      <c r="B278" s="13">
        <v>41.25</v>
      </c>
    </row>
    <row r="279" s="6" customFormat="1" spans="1:2">
      <c r="A279" s="12">
        <f>DATE(2012,12,31)-1444</f>
        <v>39830</v>
      </c>
      <c r="B279" s="13">
        <v>7871.91</v>
      </c>
    </row>
    <row r="280" s="6" customFormat="1" spans="1:2">
      <c r="A280" s="12">
        <f>DATE(2012,12,31)-302</f>
        <v>40972</v>
      </c>
      <c r="B280" s="13">
        <v>909.82</v>
      </c>
    </row>
    <row r="281" s="6" customFormat="1" spans="1:2">
      <c r="A281" s="12">
        <f>DATE(2012,12,31)-302</f>
        <v>40972</v>
      </c>
      <c r="B281" s="13">
        <v>1874.37</v>
      </c>
    </row>
    <row r="282" s="6" customFormat="1" spans="1:2">
      <c r="A282" s="12">
        <f>DATE(2012,12,31)-1387</f>
        <v>39887</v>
      </c>
      <c r="B282" s="13">
        <v>7287.55</v>
      </c>
    </row>
    <row r="283" spans="1:2">
      <c r="A283" s="14">
        <f>DATE(2012,12,31)-763</f>
        <v>40511</v>
      </c>
      <c r="B283" s="15">
        <v>137.64</v>
      </c>
    </row>
    <row r="284" s="6" customFormat="1" spans="1:2">
      <c r="A284" s="12">
        <f>DATE(2012,12,31)-1217</f>
        <v>40057</v>
      </c>
      <c r="B284" s="13">
        <v>15464.01</v>
      </c>
    </row>
    <row r="285" spans="1:2">
      <c r="A285" s="14">
        <f>DATE(2012,12,31)-1217</f>
        <v>40057</v>
      </c>
      <c r="B285" s="15">
        <v>11.35</v>
      </c>
    </row>
    <row r="286" spans="1:2">
      <c r="A286" s="14">
        <f>DATE(2012,12,31)-453</f>
        <v>40821</v>
      </c>
      <c r="B286" s="15">
        <v>122.14</v>
      </c>
    </row>
    <row r="287" s="6" customFormat="1" spans="1:2">
      <c r="A287" s="12">
        <f>DATE(2012,12,31)-116</f>
        <v>41158</v>
      </c>
      <c r="B287" s="13">
        <v>3491.06</v>
      </c>
    </row>
    <row r="288" s="6" customFormat="1" spans="1:2">
      <c r="A288" s="12">
        <f>DATE(2012,12,31)-116</f>
        <v>41158</v>
      </c>
      <c r="B288" s="13">
        <v>14383.83</v>
      </c>
    </row>
    <row r="289" s="6" customFormat="1" spans="1:2">
      <c r="A289" s="12">
        <f>DATE(2012,12,31)-925</f>
        <v>40349</v>
      </c>
      <c r="B289" s="13">
        <v>213.75</v>
      </c>
    </row>
    <row r="290" s="6" customFormat="1" spans="1:2">
      <c r="A290" s="12">
        <f>DATE(2012,12,31)-292</f>
        <v>40982</v>
      </c>
      <c r="B290" s="13">
        <v>186.44</v>
      </c>
    </row>
    <row r="291" s="6" customFormat="1" spans="1:2">
      <c r="A291" s="12">
        <f>DATE(2012,12,31)-240</f>
        <v>41034</v>
      </c>
      <c r="B291" s="13">
        <v>294.89</v>
      </c>
    </row>
    <row r="292" s="6" customFormat="1" spans="1:2">
      <c r="A292" s="12">
        <f>DATE(2012,12,31)-240</f>
        <v>41034</v>
      </c>
      <c r="B292" s="13">
        <v>246.57</v>
      </c>
    </row>
    <row r="293" spans="1:2">
      <c r="A293" s="14">
        <f>DATE(2012,12,31)-778</f>
        <v>40496</v>
      </c>
      <c r="B293" s="15">
        <v>3752.61</v>
      </c>
    </row>
    <row r="294" spans="1:2">
      <c r="A294" s="14">
        <f>DATE(2012,12,31)-778</f>
        <v>40496</v>
      </c>
      <c r="B294" s="15">
        <v>548.36</v>
      </c>
    </row>
    <row r="295" spans="1:2">
      <c r="A295" s="14">
        <f>DATE(2012,12,31)-1309</f>
        <v>39965</v>
      </c>
      <c r="B295" s="15">
        <v>44.46</v>
      </c>
    </row>
    <row r="296" spans="1:2">
      <c r="A296" s="14">
        <f>DATE(2012,12,31)-1309</f>
        <v>39965</v>
      </c>
      <c r="B296" s="15">
        <v>542.11</v>
      </c>
    </row>
    <row r="297" s="6" customFormat="1" spans="1:2">
      <c r="A297" s="12">
        <f>DATE(2012,12,31)-263</f>
        <v>41011</v>
      </c>
      <c r="B297" s="13">
        <v>107.93</v>
      </c>
    </row>
    <row r="298" s="6" customFormat="1" spans="1:2">
      <c r="A298" s="12">
        <f>DATE(2012,12,31)-694</f>
        <v>40580</v>
      </c>
      <c r="B298" s="13">
        <v>19342.84</v>
      </c>
    </row>
    <row r="299" s="6" customFormat="1" spans="1:2">
      <c r="A299" s="12">
        <f>DATE(2012,12,31)-694</f>
        <v>40580</v>
      </c>
      <c r="B299" s="13">
        <v>771.783</v>
      </c>
    </row>
    <row r="300" spans="1:2">
      <c r="A300" s="14">
        <f>DATE(2012,12,31)-207</f>
        <v>41067</v>
      </c>
      <c r="B300" s="15">
        <v>343.78</v>
      </c>
    </row>
    <row r="301" s="6" customFormat="1" spans="1:2">
      <c r="A301" s="12">
        <f>DATE(2012,12,31)-207</f>
        <v>41067</v>
      </c>
      <c r="B301" s="13">
        <v>826.09</v>
      </c>
    </row>
    <row r="302" s="6" customFormat="1" spans="1:2">
      <c r="A302" s="12">
        <f>DATE(2012,12,31)-850</f>
        <v>40424</v>
      </c>
      <c r="B302" s="13">
        <v>66.41</v>
      </c>
    </row>
    <row r="303" s="6" customFormat="1" spans="1:2">
      <c r="A303" s="12">
        <f>DATE(2012,12,31)-1021</f>
        <v>40253</v>
      </c>
      <c r="B303" s="13">
        <v>692.73</v>
      </c>
    </row>
    <row r="304" s="6" customFormat="1" spans="1:2">
      <c r="A304" s="12">
        <f>DATE(2012,12,31)-1170</f>
        <v>40104</v>
      </c>
      <c r="B304" s="13">
        <v>1411.58</v>
      </c>
    </row>
    <row r="305" s="6" customFormat="1" spans="1:2">
      <c r="A305" s="12">
        <f>DATE(2012,12,31)-1170</f>
        <v>40104</v>
      </c>
      <c r="B305" s="13">
        <v>2115.242</v>
      </c>
    </row>
    <row r="306" s="6" customFormat="1" spans="1:2">
      <c r="A306" s="12">
        <f>DATE(2012,12,31)-1170</f>
        <v>40104</v>
      </c>
      <c r="B306" s="13">
        <v>1246.68</v>
      </c>
    </row>
    <row r="307" s="6" customFormat="1" spans="1:2">
      <c r="A307" s="12">
        <f>DATE(2012,12,31)-1374</f>
        <v>39900</v>
      </c>
      <c r="B307" s="13">
        <v>5945.3675</v>
      </c>
    </row>
    <row r="308" s="6" customFormat="1" spans="1:2">
      <c r="A308" s="12">
        <f>DATE(2012,12,31)-109</f>
        <v>41165</v>
      </c>
      <c r="B308" s="13">
        <v>6111.1685</v>
      </c>
    </row>
    <row r="309" s="6" customFormat="1" spans="1:2">
      <c r="A309" s="12">
        <f>DATE(2012,12,31)-109</f>
        <v>41165</v>
      </c>
      <c r="B309" s="13">
        <v>113.71</v>
      </c>
    </row>
    <row r="310" s="6" customFormat="1" spans="1:2">
      <c r="A310" s="12">
        <f>DATE(2012,12,31)-117</f>
        <v>41157</v>
      </c>
      <c r="B310" s="13">
        <v>605.1</v>
      </c>
    </row>
    <row r="311" s="6" customFormat="1" spans="1:2">
      <c r="A311" s="12">
        <f>DATE(2012,12,31)-1025</f>
        <v>40249</v>
      </c>
      <c r="B311" s="13">
        <v>43.56</v>
      </c>
    </row>
    <row r="312" s="6" customFormat="1" spans="1:2">
      <c r="A312" s="12">
        <f>DATE(2012,12,31)-1308</f>
        <v>39966</v>
      </c>
      <c r="B312" s="13">
        <v>3905.75</v>
      </c>
    </row>
    <row r="313" s="6" customFormat="1" spans="1:2">
      <c r="A313" s="12">
        <f>DATE(2012,12,31)-476</f>
        <v>40798</v>
      </c>
      <c r="B313" s="13">
        <v>102.56</v>
      </c>
    </row>
    <row r="314" s="6" customFormat="1" spans="1:2">
      <c r="A314" s="12">
        <f>DATE(2012,12,31)-476</f>
        <v>40798</v>
      </c>
      <c r="B314" s="13">
        <v>15.87</v>
      </c>
    </row>
    <row r="315" s="6" customFormat="1" spans="1:2">
      <c r="A315" s="12">
        <f>DATE(2012,12,31)-611</f>
        <v>40663</v>
      </c>
      <c r="B315" s="13">
        <v>82.06</v>
      </c>
    </row>
    <row r="316" s="6" customFormat="1" spans="1:2">
      <c r="A316" s="12">
        <f>DATE(2012,12,31)-611</f>
        <v>40663</v>
      </c>
      <c r="B316" s="13">
        <v>23281.05</v>
      </c>
    </row>
    <row r="317" s="6" customFormat="1" spans="1:2">
      <c r="A317" s="12">
        <f>DATE(2012,12,31)-175</f>
        <v>41099</v>
      </c>
      <c r="B317" s="13">
        <v>9418.73</v>
      </c>
    </row>
    <row r="318" s="6" customFormat="1" spans="1:2">
      <c r="A318" s="12">
        <f>DATE(2012,12,31)-175</f>
        <v>41099</v>
      </c>
      <c r="B318" s="13">
        <v>5.68</v>
      </c>
    </row>
    <row r="319" s="6" customFormat="1" spans="1:2">
      <c r="A319" s="12">
        <f>DATE(2012,12,31)-175</f>
        <v>41099</v>
      </c>
      <c r="B319" s="13">
        <v>174.59</v>
      </c>
    </row>
    <row r="320" s="6" customFormat="1" spans="1:2">
      <c r="A320" s="12">
        <f>DATE(2012,12,31)-175</f>
        <v>41099</v>
      </c>
      <c r="B320" s="13">
        <v>1265.497</v>
      </c>
    </row>
    <row r="321" s="6" customFormat="1" spans="1:2">
      <c r="A321" s="12">
        <f>DATE(2012,12,31)-1281</f>
        <v>39993</v>
      </c>
      <c r="B321" s="13">
        <v>1651.09</v>
      </c>
    </row>
    <row r="322" s="6" customFormat="1" spans="1:2">
      <c r="A322" s="12">
        <f>DATE(2012,12,31)-1281</f>
        <v>39993</v>
      </c>
      <c r="B322" s="13">
        <v>95.89</v>
      </c>
    </row>
    <row r="323" s="6" customFormat="1" spans="1:2">
      <c r="A323" s="12">
        <f>DATE(2012,12,31)-1281</f>
        <v>39993</v>
      </c>
      <c r="B323" s="13">
        <v>80.38</v>
      </c>
    </row>
    <row r="324" spans="1:2">
      <c r="A324" s="14">
        <f>DATE(2012,12,31)-1082</f>
        <v>40192</v>
      </c>
      <c r="B324" s="15">
        <v>40.31</v>
      </c>
    </row>
    <row r="325" s="6" customFormat="1" spans="1:2">
      <c r="A325" s="12">
        <f>DATE(2012,12,31)-301</f>
        <v>40973</v>
      </c>
      <c r="B325" s="13">
        <v>186.02</v>
      </c>
    </row>
    <row r="326" s="6" customFormat="1" spans="1:2">
      <c r="A326" s="12">
        <f>DATE(2012,12,31)-301</f>
        <v>40973</v>
      </c>
      <c r="B326" s="13">
        <v>142.44</v>
      </c>
    </row>
    <row r="327" s="6" customFormat="1" spans="1:2">
      <c r="A327" s="12">
        <f>DATE(2012,12,31)-966</f>
        <v>40308</v>
      </c>
      <c r="B327" s="13">
        <v>967.78</v>
      </c>
    </row>
    <row r="328" s="6" customFormat="1" spans="1:2">
      <c r="A328" s="12">
        <f>DATE(2012,12,31)-1088</f>
        <v>40186</v>
      </c>
      <c r="B328" s="13">
        <v>88.61</v>
      </c>
    </row>
    <row r="329" s="6" customFormat="1" spans="1:2">
      <c r="A329" s="12">
        <f>DATE(2012,12,31)-152</f>
        <v>41122</v>
      </c>
      <c r="B329" s="13">
        <v>21134.71</v>
      </c>
    </row>
    <row r="330" s="6" customFormat="1" spans="1:2">
      <c r="A330" s="12">
        <f>DATE(2012,12,31)-994</f>
        <v>40280</v>
      </c>
      <c r="B330" s="13">
        <v>7680.29</v>
      </c>
    </row>
    <row r="331" s="6" customFormat="1" spans="1:2">
      <c r="A331" s="12">
        <f>DATE(2012,12,31)-71</f>
        <v>41203</v>
      </c>
      <c r="B331" s="13">
        <v>278</v>
      </c>
    </row>
    <row r="332" s="6" customFormat="1" spans="1:2">
      <c r="A332" s="12">
        <f>DATE(2012,12,31)-730</f>
        <v>40544</v>
      </c>
      <c r="B332" s="13">
        <v>66.54</v>
      </c>
    </row>
    <row r="333" s="6" customFormat="1" spans="1:2">
      <c r="A333" s="12">
        <f>DATE(2012,12,31)-730</f>
        <v>40544</v>
      </c>
      <c r="B333" s="13">
        <v>845.32</v>
      </c>
    </row>
    <row r="334" s="6" customFormat="1" spans="1:2">
      <c r="A334" s="12">
        <f>DATE(2012,12,31)-1043</f>
        <v>40231</v>
      </c>
      <c r="B334" s="13">
        <v>4577.18</v>
      </c>
    </row>
    <row r="335" s="6" customFormat="1" spans="1:2">
      <c r="A335" s="12">
        <f>DATE(2012,12,31)-1043</f>
        <v>40231</v>
      </c>
      <c r="B335" s="13">
        <v>845.9</v>
      </c>
    </row>
    <row r="336" s="6" customFormat="1" spans="1:2">
      <c r="A336" s="12">
        <f>DATE(2012,12,31)-1071</f>
        <v>40203</v>
      </c>
      <c r="B336" s="13">
        <v>3116.47</v>
      </c>
    </row>
    <row r="337" s="6" customFormat="1" spans="1:2">
      <c r="A337" s="12">
        <f>DATE(2012,12,31)-1071</f>
        <v>40203</v>
      </c>
      <c r="B337" s="13">
        <v>12.41</v>
      </c>
    </row>
    <row r="338" spans="1:2">
      <c r="A338" s="14">
        <f>DATE(2012,12,31)-1071</f>
        <v>40203</v>
      </c>
      <c r="B338" s="15">
        <v>1382.8</v>
      </c>
    </row>
    <row r="339" s="6" customFormat="1" spans="1:2">
      <c r="A339" s="12">
        <f>DATE(2012,12,31)-525</f>
        <v>40749</v>
      </c>
      <c r="B339" s="13">
        <v>113.5</v>
      </c>
    </row>
    <row r="340" s="6" customFormat="1" spans="1:2">
      <c r="A340" s="12">
        <f>DATE(2012,12,31)-917</f>
        <v>40357</v>
      </c>
      <c r="B340" s="13">
        <v>182.33</v>
      </c>
    </row>
    <row r="341" s="6" customFormat="1" spans="1:2">
      <c r="A341" s="12">
        <f>DATE(2012,12,31)-485</f>
        <v>40789</v>
      </c>
      <c r="B341" s="13">
        <v>27.01</v>
      </c>
    </row>
    <row r="342" s="6" customFormat="1" spans="1:2">
      <c r="A342" s="12">
        <f>DATE(2012,12,31)-610</f>
        <v>40664</v>
      </c>
      <c r="B342" s="13">
        <v>1324.09</v>
      </c>
    </row>
    <row r="343" spans="1:2">
      <c r="A343" s="14">
        <f>DATE(2012,12,31)-748</f>
        <v>40526</v>
      </c>
      <c r="B343" s="15">
        <v>1634.98</v>
      </c>
    </row>
    <row r="344" s="6" customFormat="1" spans="1:2">
      <c r="A344" s="12">
        <f>DATE(2012,12,31)-947</f>
        <v>40327</v>
      </c>
      <c r="B344" s="13">
        <v>157.49</v>
      </c>
    </row>
    <row r="345" spans="1:2">
      <c r="A345" s="14">
        <f>DATE(2012,12,31)-865</f>
        <v>40409</v>
      </c>
      <c r="B345" s="15">
        <v>508.73</v>
      </c>
    </row>
    <row r="346" s="6" customFormat="1" spans="1:2">
      <c r="A346" s="12">
        <f>DATE(2012,12,31)-1445</f>
        <v>39829</v>
      </c>
      <c r="B346" s="13">
        <v>679.6</v>
      </c>
    </row>
    <row r="347" s="6" customFormat="1" spans="1:2">
      <c r="A347" s="12">
        <f>DATE(2012,12,31)-1445</f>
        <v>39829</v>
      </c>
      <c r="B347" s="13">
        <v>257.42</v>
      </c>
    </row>
    <row r="348" spans="1:2">
      <c r="A348" s="14">
        <f>DATE(2012,12,31)-1391</f>
        <v>39883</v>
      </c>
      <c r="B348" s="15">
        <v>317.59</v>
      </c>
    </row>
    <row r="349" s="6" customFormat="1" spans="1:2">
      <c r="A349" s="12">
        <f>DATE(2012,12,31)-795</f>
        <v>40479</v>
      </c>
      <c r="B349" s="13">
        <v>78.17</v>
      </c>
    </row>
    <row r="350" s="6" customFormat="1" spans="1:2">
      <c r="A350" s="12">
        <f>DATE(2012,12,31)-1228</f>
        <v>40046</v>
      </c>
      <c r="B350" s="13">
        <v>24105.87</v>
      </c>
    </row>
    <row r="351" s="6" customFormat="1" spans="1:2">
      <c r="A351" s="12">
        <f>DATE(2012,12,31)-478</f>
        <v>40796</v>
      </c>
      <c r="B351" s="13">
        <v>330.21</v>
      </c>
    </row>
    <row r="352" s="6" customFormat="1" spans="1:2">
      <c r="A352" s="12">
        <f>DATE(2012,12,31)-901</f>
        <v>40373</v>
      </c>
      <c r="B352" s="13">
        <v>278.68</v>
      </c>
    </row>
    <row r="353" s="6" customFormat="1" spans="1:2">
      <c r="A353" s="12">
        <f>DATE(2012,12,31)-901</f>
        <v>40373</v>
      </c>
      <c r="B353" s="13">
        <v>717.468</v>
      </c>
    </row>
    <row r="354" s="6" customFormat="1" spans="1:2">
      <c r="A354" s="12">
        <f>DATE(2012,12,31)-557</f>
        <v>40717</v>
      </c>
      <c r="B354" s="13">
        <v>1082.45</v>
      </c>
    </row>
    <row r="355" s="6" customFormat="1" spans="1:2">
      <c r="A355" s="12">
        <f>DATE(2012,12,31)-1397</f>
        <v>39877</v>
      </c>
      <c r="B355" s="13">
        <v>2553.84</v>
      </c>
    </row>
    <row r="356" s="6" customFormat="1" spans="1:2">
      <c r="A356" s="12">
        <f>DATE(2012,12,31)-535</f>
        <v>40739</v>
      </c>
      <c r="B356" s="13">
        <v>4147.47</v>
      </c>
    </row>
    <row r="357" s="6" customFormat="1" spans="1:2">
      <c r="A357" s="12">
        <f>DATE(2012,12,31)-127</f>
        <v>41147</v>
      </c>
      <c r="B357" s="13">
        <v>3629.1175</v>
      </c>
    </row>
    <row r="358" s="6" customFormat="1" spans="1:2">
      <c r="A358" s="12">
        <f>DATE(2012,12,31)-139</f>
        <v>41135</v>
      </c>
      <c r="B358" s="13">
        <v>22.56</v>
      </c>
    </row>
    <row r="359" s="6" customFormat="1" spans="1:2">
      <c r="A359" s="12">
        <f>DATE(2012,12,31)-926</f>
        <v>40348</v>
      </c>
      <c r="B359" s="13">
        <v>91.15</v>
      </c>
    </row>
    <row r="360" s="6" customFormat="1" spans="1:2">
      <c r="A360" s="12">
        <f>DATE(2012,12,31)-926</f>
        <v>40348</v>
      </c>
      <c r="B360" s="13">
        <v>171.48</v>
      </c>
    </row>
    <row r="361" s="6" customFormat="1" spans="1:2">
      <c r="A361" s="12">
        <f>DATE(2012,12,31)-926</f>
        <v>40348</v>
      </c>
      <c r="B361" s="13">
        <v>162.1545</v>
      </c>
    </row>
    <row r="362" s="6" customFormat="1" spans="1:2">
      <c r="A362" s="12">
        <f>DATE(2012,12,31)-1382</f>
        <v>39892</v>
      </c>
      <c r="B362" s="13">
        <v>23.46</v>
      </c>
    </row>
    <row r="363" s="6" customFormat="1" spans="1:2">
      <c r="A363" s="12">
        <f>DATE(2012,12,31)-448</f>
        <v>40826</v>
      </c>
      <c r="B363" s="13">
        <v>282.07</v>
      </c>
    </row>
    <row r="364" s="6" customFormat="1" spans="1:2">
      <c r="A364" s="12">
        <f>DATE(2012,12,31)-448</f>
        <v>40826</v>
      </c>
      <c r="B364" s="13">
        <v>426.037</v>
      </c>
    </row>
    <row r="365" s="6" customFormat="1" spans="1:2">
      <c r="A365" s="12">
        <f>DATE(2012,12,31)-952</f>
        <v>40322</v>
      </c>
      <c r="B365" s="13">
        <v>82.72</v>
      </c>
    </row>
    <row r="366" s="6" customFormat="1" spans="1:2">
      <c r="A366" s="12">
        <f>DATE(2012,12,31)-118</f>
        <v>41156</v>
      </c>
      <c r="B366" s="13">
        <v>731.22</v>
      </c>
    </row>
    <row r="367" spans="1:2">
      <c r="A367" s="14">
        <f>DATE(2012,12,31)-118</f>
        <v>41156</v>
      </c>
      <c r="B367" s="15">
        <v>114.14</v>
      </c>
    </row>
    <row r="368" s="6" customFormat="1" spans="1:2">
      <c r="A368" s="12">
        <f>DATE(2012,12,31)-153</f>
        <v>41121</v>
      </c>
      <c r="B368" s="13">
        <v>64.82</v>
      </c>
    </row>
    <row r="369" s="6" customFormat="1" spans="1:2">
      <c r="A369" s="12">
        <f>DATE(2012,12,31)-153</f>
        <v>41121</v>
      </c>
      <c r="B369" s="13">
        <v>77.6</v>
      </c>
    </row>
    <row r="370" s="6" customFormat="1" spans="1:2">
      <c r="A370" s="12">
        <f>DATE(2012,12,31)-153</f>
        <v>41121</v>
      </c>
      <c r="B370" s="13">
        <v>821.18</v>
      </c>
    </row>
    <row r="371" s="6" customFormat="1" spans="1:2">
      <c r="A371" s="12">
        <f>DATE(2012,12,31)-774</f>
        <v>40500</v>
      </c>
      <c r="B371" s="13">
        <v>31.77</v>
      </c>
    </row>
    <row r="372" s="6" customFormat="1" spans="1:2">
      <c r="A372" s="12">
        <f>DATE(2012,12,31)-774</f>
        <v>40500</v>
      </c>
      <c r="B372" s="13">
        <v>208.05</v>
      </c>
    </row>
    <row r="373" s="6" customFormat="1" spans="1:2">
      <c r="A373" s="12">
        <f>DATE(2012,12,31)-850</f>
        <v>40424</v>
      </c>
      <c r="B373" s="13">
        <v>2004.12</v>
      </c>
    </row>
    <row r="374" s="6" customFormat="1" spans="1:2">
      <c r="A374" s="12">
        <f>DATE(2012,12,31)-850</f>
        <v>40424</v>
      </c>
      <c r="B374" s="13">
        <v>3841.72</v>
      </c>
    </row>
    <row r="375" s="6" customFormat="1" spans="1:2">
      <c r="A375" s="12">
        <f>DATE(2012,12,31)-384</f>
        <v>40890</v>
      </c>
      <c r="B375" s="13">
        <v>11764.25</v>
      </c>
    </row>
    <row r="376" s="6" customFormat="1" spans="1:2">
      <c r="A376" s="12">
        <f>DATE(2012,12,31)-384</f>
        <v>40890</v>
      </c>
      <c r="B376" s="13">
        <v>25.17</v>
      </c>
    </row>
    <row r="377" s="6" customFormat="1" spans="1:2">
      <c r="A377" s="12">
        <f>DATE(2012,12,31)-384</f>
        <v>40890</v>
      </c>
      <c r="B377" s="13">
        <v>208.47</v>
      </c>
    </row>
    <row r="378" spans="1:2">
      <c r="A378" s="14">
        <f>DATE(2012,12,31)-481</f>
        <v>40793</v>
      </c>
      <c r="B378" s="15">
        <v>48.37</v>
      </c>
    </row>
    <row r="379" s="6" customFormat="1" spans="1:2">
      <c r="A379" s="12">
        <f>DATE(2012,12,31)-802</f>
        <v>40472</v>
      </c>
      <c r="B379" s="13">
        <v>34.59</v>
      </c>
    </row>
    <row r="380" s="6" customFormat="1" spans="1:2">
      <c r="A380" s="12">
        <f>DATE(2012,12,31)-802</f>
        <v>40472</v>
      </c>
      <c r="B380" s="13">
        <v>5029.216</v>
      </c>
    </row>
    <row r="381" s="6" customFormat="1" spans="1:2">
      <c r="A381" s="12">
        <f>DATE(2012,12,31)-69</f>
        <v>41205</v>
      </c>
      <c r="B381" s="13">
        <v>146.51</v>
      </c>
    </row>
    <row r="382" s="6" customFormat="1" spans="1:2">
      <c r="A382" s="12">
        <f>DATE(2012,12,31)-830</f>
        <v>40444</v>
      </c>
      <c r="B382" s="13">
        <v>1078.49</v>
      </c>
    </row>
    <row r="383" s="6" customFormat="1" spans="1:2">
      <c r="A383" s="12">
        <f>DATE(2012,12,31)-973</f>
        <v>40301</v>
      </c>
      <c r="B383" s="13">
        <v>523.11</v>
      </c>
    </row>
    <row r="384" s="6" customFormat="1" spans="1:2">
      <c r="A384" s="12">
        <f>DATE(2012,12,31)-973</f>
        <v>40301</v>
      </c>
      <c r="B384" s="13">
        <v>913.41</v>
      </c>
    </row>
    <row r="385" s="6" customFormat="1" spans="1:2">
      <c r="A385" s="12">
        <f>DATE(2012,12,31)-442</f>
        <v>40832</v>
      </c>
      <c r="B385" s="13">
        <v>8316.76</v>
      </c>
    </row>
    <row r="386" s="6" customFormat="1" spans="1:2">
      <c r="A386" s="12">
        <f>DATE(2012,12,31)-442</f>
        <v>40832</v>
      </c>
      <c r="B386" s="13">
        <v>2143.2155</v>
      </c>
    </row>
    <row r="387" s="6" customFormat="1" spans="1:2">
      <c r="A387" s="12">
        <f>DATE(2012,12,31)-466</f>
        <v>40808</v>
      </c>
      <c r="B387" s="13">
        <v>229.51</v>
      </c>
    </row>
    <row r="388" s="6" customFormat="1" spans="1:2">
      <c r="A388" s="12">
        <f>DATE(2012,12,31)-466</f>
        <v>40808</v>
      </c>
      <c r="B388" s="13">
        <v>473</v>
      </c>
    </row>
    <row r="389" s="6" customFormat="1" spans="1:2">
      <c r="A389" s="12">
        <f>DATE(2012,12,31)-745</f>
        <v>40529</v>
      </c>
      <c r="B389" s="13">
        <v>881.65</v>
      </c>
    </row>
    <row r="390" s="6" customFormat="1" spans="1:2">
      <c r="A390" s="12">
        <f>DATE(2012,12,31)-343</f>
        <v>40931</v>
      </c>
      <c r="B390" s="13">
        <v>2080.035</v>
      </c>
    </row>
    <row r="391" s="6" customFormat="1" spans="1:2">
      <c r="A391" s="12">
        <f>DATE(2012,12,31)-343</f>
        <v>40931</v>
      </c>
      <c r="B391" s="13">
        <v>145.42</v>
      </c>
    </row>
    <row r="392" s="6" customFormat="1" spans="1:2">
      <c r="A392" s="12">
        <f>DATE(2012,12,31)-343</f>
        <v>40931</v>
      </c>
      <c r="B392" s="13">
        <v>1559.4355</v>
      </c>
    </row>
    <row r="393" s="6" customFormat="1" spans="1:2">
      <c r="A393" s="12">
        <f>DATE(2012,12,31)-246</f>
        <v>41028</v>
      </c>
      <c r="B393" s="13">
        <v>3363.14</v>
      </c>
    </row>
    <row r="394" s="6" customFormat="1" spans="1:2">
      <c r="A394" s="12">
        <f>DATE(2012,12,31)-938</f>
        <v>40336</v>
      </c>
      <c r="B394" s="13">
        <v>2051.016</v>
      </c>
    </row>
    <row r="395" s="6" customFormat="1" spans="1:2">
      <c r="A395" s="12">
        <f>DATE(2012,12,31)-1363</f>
        <v>39911</v>
      </c>
      <c r="B395" s="13">
        <v>1895.55</v>
      </c>
    </row>
    <row r="396" s="6" customFormat="1" spans="1:2">
      <c r="A396" s="12">
        <f>DATE(2012,12,31)-1321</f>
        <v>39953</v>
      </c>
      <c r="B396" s="13">
        <v>2178.431</v>
      </c>
    </row>
    <row r="397" s="6" customFormat="1" spans="1:2">
      <c r="A397" s="12">
        <f>DATE(2012,12,31)-774</f>
        <v>40500</v>
      </c>
      <c r="B397" s="13">
        <v>695.47</v>
      </c>
    </row>
    <row r="398" s="6" customFormat="1" spans="1:2">
      <c r="A398" s="12">
        <f>DATE(2012,12,31)-774</f>
        <v>40500</v>
      </c>
      <c r="B398" s="13">
        <v>152.59</v>
      </c>
    </row>
    <row r="399" s="6" customFormat="1" spans="1:2">
      <c r="A399" s="12">
        <f>DATE(2012,12,31)-774</f>
        <v>40500</v>
      </c>
      <c r="B399" s="13">
        <v>365.62</v>
      </c>
    </row>
    <row r="400" s="6" customFormat="1" spans="1:2">
      <c r="A400" s="12">
        <f>DATE(2012,12,31)-774</f>
        <v>40500</v>
      </c>
      <c r="B400" s="13">
        <v>575.569</v>
      </c>
    </row>
    <row r="401" spans="1:2">
      <c r="A401" s="14">
        <f>DATE(2012,12,31)-1369</f>
        <v>39905</v>
      </c>
      <c r="B401" s="15">
        <v>1427.67</v>
      </c>
    </row>
    <row r="402" spans="1:2">
      <c r="A402" s="14">
        <f>DATE(2012,12,31)-1369</f>
        <v>39905</v>
      </c>
      <c r="B402" s="15">
        <v>499.26</v>
      </c>
    </row>
    <row r="403" spans="1:2">
      <c r="A403" s="14">
        <f>DATE(2012,12,31)-329</f>
        <v>40945</v>
      </c>
      <c r="B403" s="15">
        <v>736.3</v>
      </c>
    </row>
    <row r="404" spans="1:2">
      <c r="A404" s="14">
        <f>DATE(2012,12,31)-329</f>
        <v>40945</v>
      </c>
      <c r="B404" s="15">
        <v>346.06</v>
      </c>
    </row>
    <row r="405" s="6" customFormat="1" spans="1:2">
      <c r="A405" s="12">
        <f>DATE(2012,12,31)-1354</f>
        <v>39920</v>
      </c>
      <c r="B405" s="13">
        <v>1344.88</v>
      </c>
    </row>
    <row r="406" s="6" customFormat="1" spans="1:2">
      <c r="A406" s="12">
        <f>DATE(2012,12,31)-1354</f>
        <v>39920</v>
      </c>
      <c r="B406" s="13">
        <v>248.54</v>
      </c>
    </row>
    <row r="407" s="6" customFormat="1" spans="1:2">
      <c r="A407" s="12">
        <f>DATE(2012,12,31)-531</f>
        <v>40743</v>
      </c>
      <c r="B407" s="13">
        <v>3554.46</v>
      </c>
    </row>
    <row r="408" s="6" customFormat="1" spans="1:2">
      <c r="A408" s="12">
        <f>DATE(2012,12,31)-531</f>
        <v>40743</v>
      </c>
      <c r="B408" s="13">
        <v>569.32</v>
      </c>
    </row>
    <row r="409" s="6" customFormat="1" spans="1:2">
      <c r="A409" s="12">
        <f>DATE(2012,12,31)-768</f>
        <v>40506</v>
      </c>
      <c r="B409" s="13">
        <v>827.47</v>
      </c>
    </row>
    <row r="410" s="6" customFormat="1" spans="1:2">
      <c r="A410" s="12">
        <f>DATE(2012,12,31)-1231</f>
        <v>40043</v>
      </c>
      <c r="B410" s="13">
        <v>45.91</v>
      </c>
    </row>
    <row r="411" s="6" customFormat="1" spans="1:2">
      <c r="A411" s="12">
        <f>DATE(2012,12,31)-1231</f>
        <v>40043</v>
      </c>
      <c r="B411" s="13">
        <v>22319.58</v>
      </c>
    </row>
    <row r="412" s="6" customFormat="1" spans="1:2">
      <c r="A412" s="12">
        <f>DATE(2012,12,31)-1231</f>
        <v>40043</v>
      </c>
      <c r="B412" s="13">
        <v>330.24</v>
      </c>
    </row>
    <row r="413" s="6" customFormat="1" spans="1:2">
      <c r="A413" s="12">
        <f>DATE(2012,12,31)-1231</f>
        <v>40043</v>
      </c>
      <c r="B413" s="13">
        <v>520.65</v>
      </c>
    </row>
    <row r="414" s="6" customFormat="1" spans="1:2">
      <c r="A414" s="12">
        <f>DATE(2012,12,31)-1179</f>
        <v>40095</v>
      </c>
      <c r="B414" s="13">
        <v>191.67</v>
      </c>
    </row>
    <row r="415" s="6" customFormat="1" spans="1:2">
      <c r="A415" s="12">
        <f>DATE(2012,12,31)-1179</f>
        <v>40095</v>
      </c>
      <c r="B415" s="13">
        <v>5586.33</v>
      </c>
    </row>
    <row r="416" s="6" customFormat="1" spans="1:2">
      <c r="A416" s="12">
        <f>DATE(2012,12,31)-1179</f>
        <v>40095</v>
      </c>
      <c r="B416" s="13">
        <v>507.64</v>
      </c>
    </row>
    <row r="417" s="6" customFormat="1" spans="1:2">
      <c r="A417" s="12">
        <f>DATE(2012,12,31)-1199</f>
        <v>40075</v>
      </c>
      <c r="B417" s="13">
        <v>787.56</v>
      </c>
    </row>
    <row r="418" s="6" customFormat="1" spans="1:2">
      <c r="A418" s="12">
        <f>DATE(2012,12,31)-1353</f>
        <v>39921</v>
      </c>
      <c r="B418" s="13">
        <v>3830.14</v>
      </c>
    </row>
    <row r="419" s="6" customFormat="1" spans="1:2">
      <c r="A419" s="12">
        <f>DATE(2012,12,31)-1353</f>
        <v>39921</v>
      </c>
      <c r="B419" s="13">
        <v>1559.86</v>
      </c>
    </row>
    <row r="420" s="6" customFormat="1" spans="1:2">
      <c r="A420" s="12">
        <f>DATE(2012,12,31)-1116</f>
        <v>40158</v>
      </c>
      <c r="B420" s="13">
        <v>565.91</v>
      </c>
    </row>
    <row r="421" s="6" customFormat="1" spans="1:2">
      <c r="A421" s="12">
        <f>DATE(2012,12,31)-1116</f>
        <v>40158</v>
      </c>
      <c r="B421" s="13">
        <v>593.21</v>
      </c>
    </row>
    <row r="422" s="6" customFormat="1" spans="1:2">
      <c r="A422" s="12">
        <f>DATE(2012,12,31)-1116</f>
        <v>40158</v>
      </c>
      <c r="B422" s="13">
        <v>89.23</v>
      </c>
    </row>
    <row r="423" s="6" customFormat="1" spans="1:2">
      <c r="A423" s="12">
        <f>DATE(2012,12,31)-480</f>
        <v>40794</v>
      </c>
      <c r="B423" s="13">
        <v>357.43</v>
      </c>
    </row>
    <row r="424" s="6" customFormat="1" spans="1:2">
      <c r="A424" s="12">
        <f>DATE(2012,12,31)-480</f>
        <v>40794</v>
      </c>
      <c r="B424" s="13">
        <v>4754.08</v>
      </c>
    </row>
    <row r="425" s="6" customFormat="1" spans="1:2">
      <c r="A425" s="12">
        <f>DATE(2012,12,31)-297</f>
        <v>40977</v>
      </c>
      <c r="B425" s="13">
        <v>1476.39</v>
      </c>
    </row>
    <row r="426" s="6" customFormat="1" spans="1:2">
      <c r="A426" s="12">
        <f>DATE(2012,12,31)-297</f>
        <v>40977</v>
      </c>
      <c r="B426" s="13">
        <v>863.583</v>
      </c>
    </row>
    <row r="427" s="6" customFormat="1" spans="1:2">
      <c r="A427" s="12">
        <f>DATE(2012,12,31)-1081</f>
        <v>40193</v>
      </c>
      <c r="B427" s="13">
        <v>74.87</v>
      </c>
    </row>
    <row r="428" s="6" customFormat="1" spans="1:2">
      <c r="A428" s="12">
        <f>DATE(2012,12,31)-1081</f>
        <v>40193</v>
      </c>
      <c r="B428" s="13">
        <v>3931.318</v>
      </c>
    </row>
    <row r="429" s="6" customFormat="1" spans="1:2">
      <c r="A429" s="12">
        <f>DATE(2012,12,31)-1337</f>
        <v>39937</v>
      </c>
      <c r="B429" s="13">
        <v>4253.65</v>
      </c>
    </row>
    <row r="430" s="6" customFormat="1" spans="1:2">
      <c r="A430" s="12">
        <f>DATE(2012,12,31)-498</f>
        <v>40776</v>
      </c>
      <c r="B430" s="13">
        <v>3872.87</v>
      </c>
    </row>
    <row r="431" s="6" customFormat="1" spans="1:2">
      <c r="A431" s="12">
        <f>DATE(2012,12,31)-498</f>
        <v>40776</v>
      </c>
      <c r="B431" s="13">
        <v>356.72</v>
      </c>
    </row>
    <row r="432" s="6" customFormat="1" spans="1:2">
      <c r="A432" s="12">
        <f>DATE(2012,12,31)-709</f>
        <v>40565</v>
      </c>
      <c r="B432" s="13">
        <v>2154.34</v>
      </c>
    </row>
    <row r="433" spans="1:2">
      <c r="A433" s="14">
        <f>DATE(2012,12,31)-104</f>
        <v>41170</v>
      </c>
      <c r="B433" s="15">
        <v>197.41</v>
      </c>
    </row>
    <row r="434" spans="1:2">
      <c r="A434" s="14">
        <f>DATE(2012,12,31)-104</f>
        <v>41170</v>
      </c>
      <c r="B434" s="15">
        <v>712.18</v>
      </c>
    </row>
    <row r="435" s="6" customFormat="1" spans="1:2">
      <c r="A435" s="12">
        <f>DATE(2012,12,31)-295</f>
        <v>40979</v>
      </c>
      <c r="B435" s="13">
        <v>16587.13</v>
      </c>
    </row>
    <row r="436" s="6" customFormat="1" spans="1:2">
      <c r="A436" s="12">
        <f>DATE(2012,12,31)-295</f>
        <v>40979</v>
      </c>
      <c r="B436" s="13">
        <v>507.98</v>
      </c>
    </row>
    <row r="437" s="6" customFormat="1" spans="1:2">
      <c r="A437" s="12">
        <f>DATE(2012,12,31)-1035</f>
        <v>40239</v>
      </c>
      <c r="B437" s="13">
        <v>62.88</v>
      </c>
    </row>
    <row r="438" s="6" customFormat="1" spans="1:2">
      <c r="A438" s="12">
        <f>DATE(2012,12,31)-1372</f>
        <v>39902</v>
      </c>
      <c r="B438" s="13">
        <v>231.26</v>
      </c>
    </row>
    <row r="439" s="6" customFormat="1" spans="1:2">
      <c r="A439" s="12">
        <f>DATE(2012,12,31)-1372</f>
        <v>39902</v>
      </c>
      <c r="B439" s="13">
        <v>987.17</v>
      </c>
    </row>
    <row r="440" s="6" customFormat="1" spans="1:2">
      <c r="A440" s="12">
        <f>DATE(2012,12,31)-616</f>
        <v>40658</v>
      </c>
      <c r="B440" s="13">
        <v>57.04</v>
      </c>
    </row>
    <row r="441" s="6" customFormat="1" spans="1:2">
      <c r="A441" s="12">
        <f>DATE(2012,12,31)-753</f>
        <v>40521</v>
      </c>
      <c r="B441" s="13">
        <v>14223.82</v>
      </c>
    </row>
    <row r="442" s="6" customFormat="1" spans="1:2">
      <c r="A442" s="12">
        <f>DATE(2012,12,31)-609</f>
        <v>40665</v>
      </c>
      <c r="B442" s="13">
        <v>6264.1855</v>
      </c>
    </row>
    <row r="443" s="6" customFormat="1" spans="1:2">
      <c r="A443" s="12">
        <f>DATE(2012,12,31)-609</f>
        <v>40665</v>
      </c>
      <c r="B443" s="13">
        <v>5410.95</v>
      </c>
    </row>
    <row r="444" s="6" customFormat="1" spans="1:2">
      <c r="A444" s="12">
        <f>DATE(2012,12,31)-609</f>
        <v>40665</v>
      </c>
      <c r="B444" s="13">
        <v>4671.1495</v>
      </c>
    </row>
    <row r="445" s="6" customFormat="1" spans="1:2">
      <c r="A445" s="12">
        <f>DATE(2012,12,31)-420</f>
        <v>40854</v>
      </c>
      <c r="B445" s="13">
        <v>6831.72</v>
      </c>
    </row>
    <row r="446" s="6" customFormat="1" spans="1:2">
      <c r="A446" s="12">
        <f>DATE(2012,12,31)-972</f>
        <v>40302</v>
      </c>
      <c r="B446" s="13">
        <v>120.03</v>
      </c>
    </row>
    <row r="447" s="6" customFormat="1" spans="1:2">
      <c r="A447" s="12">
        <f>DATE(2012,12,31)-63</f>
        <v>41211</v>
      </c>
      <c r="B447" s="13">
        <v>4002.14</v>
      </c>
    </row>
    <row r="448" s="6" customFormat="1" spans="1:2">
      <c r="A448" s="12">
        <f>DATE(2012,12,31)-995</f>
        <v>40279</v>
      </c>
      <c r="B448" s="13">
        <v>98.39</v>
      </c>
    </row>
    <row r="449" s="6" customFormat="1" spans="1:2">
      <c r="A449" s="12">
        <f>DATE(2012,12,31)-1137</f>
        <v>40137</v>
      </c>
      <c r="B449" s="13">
        <v>103.87</v>
      </c>
    </row>
    <row r="450" s="6" customFormat="1" spans="1:2">
      <c r="A450" s="12">
        <f>DATE(2012,12,31)-398</f>
        <v>40876</v>
      </c>
      <c r="B450" s="13">
        <v>10094.43</v>
      </c>
    </row>
    <row r="451" s="6" customFormat="1" spans="1:2">
      <c r="A451" s="12">
        <f>DATE(2012,12,31)-1454</f>
        <v>39820</v>
      </c>
      <c r="B451" s="13">
        <v>10.58</v>
      </c>
    </row>
    <row r="452" s="6" customFormat="1" spans="1:2">
      <c r="A452" s="12">
        <f>DATE(2012,12,31)-1454</f>
        <v>39820</v>
      </c>
      <c r="B452" s="13">
        <v>2119.67</v>
      </c>
    </row>
    <row r="453" s="6" customFormat="1" spans="1:2">
      <c r="A453" s="12">
        <f>DATE(2012,12,31)-1454</f>
        <v>39820</v>
      </c>
      <c r="B453" s="13">
        <v>45923.76</v>
      </c>
    </row>
    <row r="454" s="6" customFormat="1" spans="1:2">
      <c r="A454" s="12">
        <f>DATE(2012,12,31)-1054</f>
        <v>40220</v>
      </c>
      <c r="B454" s="13">
        <v>33.86</v>
      </c>
    </row>
    <row r="455" s="6" customFormat="1" spans="1:2">
      <c r="A455" s="12">
        <f>DATE(2012,12,31)-1054</f>
        <v>40220</v>
      </c>
      <c r="B455" s="13">
        <v>316.61</v>
      </c>
    </row>
    <row r="456" s="6" customFormat="1" spans="1:2">
      <c r="A456" s="12">
        <f>DATE(2012,12,31)-838</f>
        <v>40436</v>
      </c>
      <c r="B456" s="13">
        <v>336.06</v>
      </c>
    </row>
    <row r="457" s="6" customFormat="1" spans="1:2">
      <c r="A457" s="12">
        <f>DATE(2012,12,31)-838</f>
        <v>40436</v>
      </c>
      <c r="B457" s="13">
        <v>380.38</v>
      </c>
    </row>
    <row r="458" s="6" customFormat="1" spans="1:2">
      <c r="A458" s="12">
        <f>DATE(2012,12,31)-880</f>
        <v>40394</v>
      </c>
      <c r="B458" s="13">
        <v>65.39</v>
      </c>
    </row>
    <row r="459" s="6" customFormat="1" spans="1:2">
      <c r="A459" s="12">
        <f>DATE(2012,12,31)-892</f>
        <v>40382</v>
      </c>
      <c r="B459" s="13">
        <v>1005.74</v>
      </c>
    </row>
    <row r="460" s="6" customFormat="1" spans="1:2">
      <c r="A460" s="12">
        <f>DATE(2012,12,31)-892</f>
        <v>40382</v>
      </c>
      <c r="B460" s="13">
        <v>6477.7395</v>
      </c>
    </row>
    <row r="461" s="6" customFormat="1" spans="1:2">
      <c r="A461" s="12">
        <f>DATE(2012,12,31)-1111</f>
        <v>40163</v>
      </c>
      <c r="B461" s="13">
        <v>1601.32</v>
      </c>
    </row>
    <row r="462" s="6" customFormat="1" spans="1:2">
      <c r="A462" s="12">
        <f>DATE(2012,12,31)-1240</f>
        <v>40034</v>
      </c>
      <c r="B462" s="13">
        <v>238.74</v>
      </c>
    </row>
    <row r="463" s="6" customFormat="1" spans="1:2">
      <c r="A463" s="12">
        <f>DATE(2012,12,31)-1422</f>
        <v>39852</v>
      </c>
      <c r="B463" s="13">
        <v>718.03</v>
      </c>
    </row>
    <row r="464" s="6" customFormat="1" spans="1:2">
      <c r="A464" s="12">
        <f>DATE(2012,12,31)-418</f>
        <v>40856</v>
      </c>
      <c r="B464" s="13">
        <v>534.96</v>
      </c>
    </row>
    <row r="465" s="6" customFormat="1" spans="1:2">
      <c r="A465" s="12">
        <f>DATE(2012,12,31)-337</f>
        <v>40937</v>
      </c>
      <c r="B465" s="13">
        <v>80.6</v>
      </c>
    </row>
    <row r="466" s="6" customFormat="1" spans="1:2">
      <c r="A466" s="12">
        <f>DATE(2012,12,31)-742</f>
        <v>40532</v>
      </c>
      <c r="B466" s="13">
        <v>35.58</v>
      </c>
    </row>
    <row r="467" s="6" customFormat="1" spans="1:2">
      <c r="A467" s="12">
        <f>DATE(2012,12,31)-212</f>
        <v>41062</v>
      </c>
      <c r="B467" s="13">
        <v>584.511</v>
      </c>
    </row>
    <row r="468" s="6" customFormat="1" spans="1:2">
      <c r="A468" s="12">
        <f>DATE(2012,12,31)-1266</f>
        <v>40008</v>
      </c>
      <c r="B468" s="13">
        <v>3553.62</v>
      </c>
    </row>
    <row r="469" s="6" customFormat="1" spans="1:2">
      <c r="A469" s="12">
        <f>DATE(2012,12,31)-8</f>
        <v>41266</v>
      </c>
      <c r="B469" s="13">
        <v>554.21</v>
      </c>
    </row>
    <row r="470" s="6" customFormat="1" spans="1:2">
      <c r="A470" s="12">
        <f>DATE(2012,12,31)-265</f>
        <v>41009</v>
      </c>
      <c r="B470" s="13">
        <v>136.61</v>
      </c>
    </row>
    <row r="471" s="6" customFormat="1" spans="1:2">
      <c r="A471" s="12">
        <f>DATE(2012,12,31)-265</f>
        <v>41009</v>
      </c>
      <c r="B471" s="13">
        <v>2907.63</v>
      </c>
    </row>
    <row r="472" s="6" customFormat="1" spans="1:2">
      <c r="A472" s="12">
        <f>DATE(2012,12,31)-84</f>
        <v>41190</v>
      </c>
      <c r="B472" s="13">
        <v>42.66</v>
      </c>
    </row>
    <row r="473" s="6" customFormat="1" spans="1:2">
      <c r="A473" s="12">
        <f>DATE(2012,12,31)-413</f>
        <v>40861</v>
      </c>
      <c r="B473" s="13">
        <v>142.97</v>
      </c>
    </row>
    <row r="474" s="6" customFormat="1" spans="1:2">
      <c r="A474" s="12">
        <f>DATE(2012,12,31)-656</f>
        <v>40618</v>
      </c>
      <c r="B474" s="13">
        <v>17.12</v>
      </c>
    </row>
    <row r="475" s="6" customFormat="1" spans="1:2">
      <c r="A475" s="12">
        <f>DATE(2012,12,31)-366</f>
        <v>40908</v>
      </c>
      <c r="B475" s="13">
        <v>11532.99</v>
      </c>
    </row>
    <row r="476" s="6" customFormat="1" spans="1:2">
      <c r="A476" s="12">
        <f>DATE(2012,12,31)-366</f>
        <v>40908</v>
      </c>
      <c r="B476" s="13">
        <v>146.1</v>
      </c>
    </row>
    <row r="477" s="6" customFormat="1" spans="1:2">
      <c r="A477" s="12">
        <f>DATE(2012,12,31)-59</f>
        <v>41215</v>
      </c>
      <c r="B477" s="13">
        <v>158.7</v>
      </c>
    </row>
    <row r="478" s="6" customFormat="1" spans="1:2">
      <c r="A478" s="12">
        <f>DATE(2012,12,31)-536</f>
        <v>40738</v>
      </c>
      <c r="B478" s="13">
        <v>92.02</v>
      </c>
    </row>
    <row r="479" s="6" customFormat="1" spans="1:2">
      <c r="A479" s="12">
        <f>DATE(2012,12,31)-43</f>
        <v>41231</v>
      </c>
      <c r="B479" s="13">
        <v>1736.41</v>
      </c>
    </row>
    <row r="480" s="6" customFormat="1" spans="1:2">
      <c r="A480" s="12">
        <f>DATE(2012,12,31)-956</f>
        <v>40318</v>
      </c>
      <c r="B480" s="13">
        <v>153.28</v>
      </c>
    </row>
    <row r="481" s="6" customFormat="1" spans="1:2">
      <c r="A481" s="12">
        <f>DATE(2012,12,31)-1153</f>
        <v>40121</v>
      </c>
      <c r="B481" s="13">
        <v>22.19</v>
      </c>
    </row>
    <row r="482" spans="1:2">
      <c r="A482" s="14">
        <f>DATE(2012,12,31)-107</f>
        <v>41167</v>
      </c>
      <c r="B482" s="15">
        <v>927.97</v>
      </c>
    </row>
    <row r="483" spans="1:2">
      <c r="A483" s="14">
        <f>DATE(2012,12,31)-107</f>
        <v>41167</v>
      </c>
      <c r="B483" s="15">
        <v>59.05</v>
      </c>
    </row>
    <row r="484" s="6" customFormat="1" spans="1:2">
      <c r="A484" s="12">
        <f>DATE(2012,12,31)-131</f>
        <v>41143</v>
      </c>
      <c r="B484" s="13">
        <v>213.71</v>
      </c>
    </row>
    <row r="485" s="6" customFormat="1" spans="1:2">
      <c r="A485" s="12">
        <f>DATE(2012,12,31)-131</f>
        <v>41143</v>
      </c>
      <c r="B485" s="13">
        <v>133.66</v>
      </c>
    </row>
    <row r="486" s="6" customFormat="1" spans="1:2">
      <c r="A486" s="12">
        <f>DATE(2012,12,31)-522</f>
        <v>40752</v>
      </c>
      <c r="B486" s="13">
        <v>1699.52</v>
      </c>
    </row>
    <row r="487" s="6" customFormat="1" spans="1:2">
      <c r="A487" s="12">
        <f>DATE(2012,12,31)-522</f>
        <v>40752</v>
      </c>
      <c r="B487" s="13">
        <v>760.85</v>
      </c>
    </row>
    <row r="488" s="6" customFormat="1" spans="1:2">
      <c r="A488" s="12">
        <f>DATE(2012,12,31)-466</f>
        <v>40808</v>
      </c>
      <c r="B488" s="13">
        <v>8185.89</v>
      </c>
    </row>
    <row r="489" s="6" customFormat="1" spans="1:2">
      <c r="A489" s="12">
        <f>DATE(2012,12,31)-547</f>
        <v>40727</v>
      </c>
      <c r="B489" s="13">
        <v>127.74</v>
      </c>
    </row>
    <row r="490" s="6" customFormat="1" spans="1:2">
      <c r="A490" s="12">
        <f>DATE(2012,12,31)-547</f>
        <v>40727</v>
      </c>
      <c r="B490" s="13">
        <v>325.92</v>
      </c>
    </row>
    <row r="491" s="6" customFormat="1" spans="1:2">
      <c r="A491" s="12">
        <f>DATE(2012,12,31)-1159</f>
        <v>40115</v>
      </c>
      <c r="B491" s="13">
        <v>181.17</v>
      </c>
    </row>
    <row r="492" s="6" customFormat="1" spans="1:2">
      <c r="A492" s="12">
        <f>DATE(2012,12,31)-1159</f>
        <v>40115</v>
      </c>
      <c r="B492" s="13">
        <v>13.16</v>
      </c>
    </row>
    <row r="493" s="6" customFormat="1" spans="1:2">
      <c r="A493" s="12">
        <f>DATE(2012,12,31)-1159</f>
        <v>40115</v>
      </c>
      <c r="B493" s="13">
        <v>107.88</v>
      </c>
    </row>
    <row r="494" s="6" customFormat="1" spans="1:2">
      <c r="A494" s="12">
        <f>DATE(2012,12,31)-1159</f>
        <v>40115</v>
      </c>
      <c r="B494" s="13">
        <v>623.02</v>
      </c>
    </row>
    <row r="495" s="6" customFormat="1" spans="1:2">
      <c r="A495" s="12">
        <f>DATE(2012,12,31)-1288</f>
        <v>39986</v>
      </c>
      <c r="B495" s="13">
        <v>815.89</v>
      </c>
    </row>
    <row r="496" spans="1:2">
      <c r="A496" s="14">
        <f>DATE(2012,12,31)-1288</f>
        <v>39986</v>
      </c>
      <c r="B496" s="15">
        <v>30.61</v>
      </c>
    </row>
    <row r="497" s="6" customFormat="1" spans="1:2">
      <c r="A497" s="12">
        <f>DATE(2012,12,31)-945</f>
        <v>40329</v>
      </c>
      <c r="B497" s="13">
        <v>5418.68</v>
      </c>
    </row>
    <row r="498" s="6" customFormat="1" spans="1:2">
      <c r="A498" s="12">
        <f>DATE(2012,12,31)-1106</f>
        <v>40168</v>
      </c>
      <c r="B498" s="13">
        <v>627.91</v>
      </c>
    </row>
    <row r="499" spans="1:2">
      <c r="A499" s="14">
        <f>DATE(2012,12,31)-1106</f>
        <v>40168</v>
      </c>
      <c r="B499" s="15">
        <v>46.89</v>
      </c>
    </row>
    <row r="500" s="6" customFormat="1" spans="1:2">
      <c r="A500" s="12">
        <f>DATE(2012,12,31)-1253</f>
        <v>40021</v>
      </c>
      <c r="B500" s="13">
        <v>2152.404</v>
      </c>
    </row>
    <row r="501" spans="1:2">
      <c r="A501" s="14">
        <f>DATE(2012,12,31)-456</f>
        <v>40818</v>
      </c>
      <c r="B501" s="15">
        <v>153.23</v>
      </c>
    </row>
    <row r="502" s="6" customFormat="1" spans="1:2">
      <c r="A502" s="12">
        <f>DATE(2012,12,31)-1066</f>
        <v>40208</v>
      </c>
      <c r="B502" s="13">
        <v>2053.379</v>
      </c>
    </row>
    <row r="503" s="6" customFormat="1" spans="1:2">
      <c r="A503" s="12">
        <f>DATE(2012,12,31)-1066</f>
        <v>40208</v>
      </c>
      <c r="B503" s="13">
        <v>3206.3955</v>
      </c>
    </row>
    <row r="504" s="6" customFormat="1" spans="1:2">
      <c r="A504" s="12">
        <f>DATE(2012,12,31)-867</f>
        <v>40407</v>
      </c>
      <c r="B504" s="13">
        <v>264.75</v>
      </c>
    </row>
    <row r="505" s="6" customFormat="1" spans="1:2">
      <c r="A505" s="12">
        <f>DATE(2012,12,31)-724</f>
        <v>40550</v>
      </c>
      <c r="B505" s="13">
        <v>4669.19</v>
      </c>
    </row>
    <row r="506" s="6" customFormat="1" spans="1:2">
      <c r="A506" s="12">
        <f>DATE(2012,12,31)-724</f>
        <v>40550</v>
      </c>
      <c r="B506" s="13">
        <v>133.4</v>
      </c>
    </row>
    <row r="507" s="6" customFormat="1" spans="1:2">
      <c r="A507" s="12">
        <f>DATE(2012,12,31)-1134</f>
        <v>40140</v>
      </c>
      <c r="B507" s="13">
        <v>2393.63</v>
      </c>
    </row>
    <row r="508" s="6" customFormat="1" spans="1:2">
      <c r="A508" s="12">
        <f>DATE(2012,12,31)-1134</f>
        <v>40140</v>
      </c>
      <c r="B508" s="13">
        <v>6177.53</v>
      </c>
    </row>
    <row r="509" s="6" customFormat="1" spans="1:2">
      <c r="A509" s="12">
        <f>DATE(2012,12,31)-1134</f>
        <v>40140</v>
      </c>
      <c r="B509" s="13">
        <v>94.6</v>
      </c>
    </row>
    <row r="510" s="6" customFormat="1" spans="1:2">
      <c r="A510" s="12">
        <f>DATE(2012,12,31)-861</f>
        <v>40413</v>
      </c>
      <c r="B510" s="13">
        <v>7518.12</v>
      </c>
    </row>
    <row r="511" spans="1:2">
      <c r="A511" s="14">
        <f>DATE(2012,12,31)-67</f>
        <v>41207</v>
      </c>
      <c r="B511" s="15">
        <v>204.11</v>
      </c>
    </row>
    <row r="512" spans="1:2">
      <c r="A512" s="14">
        <f>DATE(2012,12,31)-1193</f>
        <v>40081</v>
      </c>
      <c r="B512" s="15">
        <v>1935.17</v>
      </c>
    </row>
    <row r="513" s="6" customFormat="1" spans="1:2">
      <c r="A513" s="12">
        <f>DATE(2012,12,31)-1193</f>
        <v>40081</v>
      </c>
      <c r="B513" s="13">
        <v>812.68</v>
      </c>
    </row>
    <row r="514" s="6" customFormat="1" spans="1:2">
      <c r="A514" s="12">
        <f>DATE(2012,12,31)-243</f>
        <v>41031</v>
      </c>
      <c r="B514" s="13">
        <v>427.32</v>
      </c>
    </row>
    <row r="515" s="6" customFormat="1" spans="1:2">
      <c r="A515" s="12">
        <f>DATE(2012,12,31)-376</f>
        <v>40898</v>
      </c>
      <c r="B515" s="13">
        <v>115.43</v>
      </c>
    </row>
    <row r="516" s="6" customFormat="1" spans="1:2">
      <c r="A516" s="12">
        <f>DATE(2012,12,31)-657</f>
        <v>40617</v>
      </c>
      <c r="B516" s="13">
        <v>246.06</v>
      </c>
    </row>
    <row r="517" s="6" customFormat="1" spans="1:2">
      <c r="A517" s="12">
        <f>DATE(2012,12,31)-1324</f>
        <v>39950</v>
      </c>
      <c r="B517" s="13">
        <v>20.5</v>
      </c>
    </row>
    <row r="518" s="6" customFormat="1" spans="1:2">
      <c r="A518" s="12">
        <f>DATE(2012,12,31)-564</f>
        <v>40710</v>
      </c>
      <c r="B518" s="13">
        <v>288.91</v>
      </c>
    </row>
    <row r="519" s="6" customFormat="1" spans="1:2">
      <c r="A519" s="12">
        <f>DATE(2012,12,31)-100</f>
        <v>41174</v>
      </c>
      <c r="B519" s="13">
        <v>269.37</v>
      </c>
    </row>
    <row r="520" s="6" customFormat="1" spans="1:2">
      <c r="A520" s="12">
        <f>DATE(2012,12,31)-100</f>
        <v>41174</v>
      </c>
      <c r="B520" s="13">
        <v>4933.99</v>
      </c>
    </row>
    <row r="521" s="6" customFormat="1" spans="1:2">
      <c r="A521" s="12">
        <f>DATE(2012,12,31)-69</f>
        <v>41205</v>
      </c>
      <c r="B521" s="13">
        <v>136.67</v>
      </c>
    </row>
    <row r="522" s="6" customFormat="1" spans="1:2">
      <c r="A522" s="12">
        <f>DATE(2012,12,31)-1135</f>
        <v>40139</v>
      </c>
      <c r="B522" s="13">
        <v>259.72</v>
      </c>
    </row>
    <row r="523" s="6" customFormat="1" spans="1:2">
      <c r="A523" s="12">
        <f>DATE(2012,12,31)-1135</f>
        <v>40139</v>
      </c>
      <c r="B523" s="13">
        <v>54.69</v>
      </c>
    </row>
    <row r="524" s="6" customFormat="1" spans="1:2">
      <c r="A524" s="12">
        <f>DATE(2012,12,31)-758</f>
        <v>40516</v>
      </c>
      <c r="B524" s="13">
        <v>383.57</v>
      </c>
    </row>
    <row r="525" s="6" customFormat="1" spans="1:2">
      <c r="A525" s="12">
        <f>DATE(2012,12,31)-758</f>
        <v>40516</v>
      </c>
      <c r="B525" s="13">
        <v>461.1</v>
      </c>
    </row>
    <row r="526" spans="1:2">
      <c r="A526" s="14">
        <f>DATE(2012,12,31)-654</f>
        <v>40620</v>
      </c>
      <c r="B526" s="15">
        <v>374.38</v>
      </c>
    </row>
    <row r="527" s="6" customFormat="1" spans="1:2">
      <c r="A527" s="12">
        <f>DATE(2012,12,31)-654</f>
        <v>40620</v>
      </c>
      <c r="B527" s="13">
        <v>1557.42</v>
      </c>
    </row>
    <row r="528" s="6" customFormat="1" spans="1:2">
      <c r="A528" s="12">
        <f>DATE(2012,12,31)-654</f>
        <v>40620</v>
      </c>
      <c r="B528" s="13">
        <v>410.27</v>
      </c>
    </row>
    <row r="529" s="6" customFormat="1" spans="1:2">
      <c r="A529" s="12">
        <f>DATE(2012,12,31)-654</f>
        <v>40620</v>
      </c>
      <c r="B529" s="13">
        <v>1531.93</v>
      </c>
    </row>
    <row r="530" s="6" customFormat="1" spans="1:2">
      <c r="A530" s="12">
        <f>DATE(2012,12,31)-1316</f>
        <v>39958</v>
      </c>
      <c r="B530" s="13">
        <v>72.93</v>
      </c>
    </row>
    <row r="531" spans="1:2">
      <c r="A531" s="14">
        <f>DATE(2012,12,31)-755</f>
        <v>40519</v>
      </c>
      <c r="B531" s="15">
        <v>321.57</v>
      </c>
    </row>
    <row r="532" s="6" customFormat="1" spans="1:2">
      <c r="A532" s="12">
        <f>DATE(2012,12,31)-755</f>
        <v>40519</v>
      </c>
      <c r="B532" s="13">
        <v>1085.16</v>
      </c>
    </row>
    <row r="533" s="6" customFormat="1" spans="1:2">
      <c r="A533" s="12">
        <f>DATE(2012,12,31)-971</f>
        <v>40303</v>
      </c>
      <c r="B533" s="13">
        <v>83.87</v>
      </c>
    </row>
    <row r="534" s="6" customFormat="1" spans="1:2">
      <c r="A534" s="12">
        <f>DATE(2012,12,31)-401</f>
        <v>40873</v>
      </c>
      <c r="B534" s="13">
        <v>76.6</v>
      </c>
    </row>
    <row r="535" s="6" customFormat="1" spans="1:2">
      <c r="A535" s="12">
        <f>DATE(2012,12,31)-929</f>
        <v>40345</v>
      </c>
      <c r="B535" s="13">
        <v>134.81</v>
      </c>
    </row>
    <row r="536" s="6" customFormat="1" spans="1:2">
      <c r="A536" s="12">
        <f>DATE(2012,12,31)-929</f>
        <v>40345</v>
      </c>
      <c r="B536" s="13">
        <v>5488.5265</v>
      </c>
    </row>
    <row r="537" s="6" customFormat="1" spans="1:2">
      <c r="A537" s="12">
        <f>DATE(2012,12,31)-1275</f>
        <v>39999</v>
      </c>
      <c r="B537" s="13">
        <v>79.42</v>
      </c>
    </row>
    <row r="538" s="6" customFormat="1" spans="1:2">
      <c r="A538" s="12">
        <f>DATE(2012,12,31)-1275</f>
        <v>39999</v>
      </c>
      <c r="B538" s="13">
        <v>75.6</v>
      </c>
    </row>
    <row r="539" s="6" customFormat="1" spans="1:2">
      <c r="A539" s="12">
        <f>DATE(2012,12,31)-218</f>
        <v>41056</v>
      </c>
      <c r="B539" s="13">
        <v>139.95</v>
      </c>
    </row>
    <row r="540" s="6" customFormat="1" spans="1:2">
      <c r="A540" s="12">
        <f>DATE(2012,12,31)-218</f>
        <v>41056</v>
      </c>
      <c r="B540" s="13">
        <v>5207.5</v>
      </c>
    </row>
    <row r="541" spans="1:2">
      <c r="A541" s="14">
        <f>DATE(2012,12,31)-1376</f>
        <v>39898</v>
      </c>
      <c r="B541" s="15">
        <v>271.11</v>
      </c>
    </row>
    <row r="542" s="6" customFormat="1" spans="1:2">
      <c r="A542" s="12">
        <f>DATE(2012,12,31)-212</f>
        <v>41062</v>
      </c>
      <c r="B542" s="13">
        <v>95.73</v>
      </c>
    </row>
    <row r="543" s="6" customFormat="1" spans="1:2">
      <c r="A543" s="12">
        <f>DATE(2012,12,31)-212</f>
        <v>41062</v>
      </c>
      <c r="B543" s="13">
        <v>7338.79</v>
      </c>
    </row>
    <row r="544" s="6" customFormat="1" spans="1:2">
      <c r="A544" s="12">
        <f>DATE(2012,12,31)-212</f>
        <v>41062</v>
      </c>
      <c r="B544" s="13">
        <v>12569.31</v>
      </c>
    </row>
    <row r="545" s="6" customFormat="1" spans="1:2">
      <c r="A545" s="12">
        <f>DATE(2012,12,31)-87</f>
        <v>41187</v>
      </c>
      <c r="B545" s="13">
        <v>62.54</v>
      </c>
    </row>
    <row r="546" s="6" customFormat="1" spans="1:2">
      <c r="A546" s="12">
        <f>DATE(2012,12,31)-87</f>
        <v>41187</v>
      </c>
      <c r="B546" s="13">
        <v>2750.107</v>
      </c>
    </row>
    <row r="547" s="6" customFormat="1" spans="1:2">
      <c r="A547" s="12">
        <f>DATE(2012,12,31)-22</f>
        <v>41252</v>
      </c>
      <c r="B547" s="13">
        <v>177.95</v>
      </c>
    </row>
    <row r="548" spans="1:2">
      <c r="A548" s="14">
        <f>DATE(2012,12,31)-22</f>
        <v>41252</v>
      </c>
      <c r="B548" s="15">
        <v>99.53</v>
      </c>
    </row>
    <row r="549" s="6" customFormat="1" spans="1:2">
      <c r="A549" s="12">
        <f>DATE(2012,12,31)-350</f>
        <v>40924</v>
      </c>
      <c r="B549" s="13">
        <v>106.78</v>
      </c>
    </row>
    <row r="550" s="6" customFormat="1" spans="1:2">
      <c r="A550" s="12">
        <f>DATE(2012,12,31)-1063</f>
        <v>40211</v>
      </c>
      <c r="B550" s="13">
        <v>79.37</v>
      </c>
    </row>
    <row r="551" s="6" customFormat="1" spans="1:2">
      <c r="A551" s="12">
        <f>DATE(2012,12,31)-825</f>
        <v>40449</v>
      </c>
      <c r="B551" s="13">
        <v>1143.35</v>
      </c>
    </row>
    <row r="552" s="6" customFormat="1" spans="1:2">
      <c r="A552" s="12">
        <f>DATE(2012,12,31)-1208</f>
        <v>40066</v>
      </c>
      <c r="B552" s="13">
        <v>1463.0965</v>
      </c>
    </row>
    <row r="553" s="6" customFormat="1" spans="1:2">
      <c r="A553" s="12">
        <f>DATE(2012,12,31)-1208</f>
        <v>40066</v>
      </c>
      <c r="B553" s="13">
        <v>246.3</v>
      </c>
    </row>
    <row r="554" s="6" customFormat="1" spans="1:2">
      <c r="A554" s="12">
        <f>DATE(2012,12,31)-677</f>
        <v>40597</v>
      </c>
      <c r="B554" s="13">
        <v>353.62</v>
      </c>
    </row>
    <row r="555" s="6" customFormat="1" spans="1:2">
      <c r="A555" s="12">
        <f>DATE(2012,12,31)-612</f>
        <v>40662</v>
      </c>
      <c r="B555" s="13">
        <v>76.16</v>
      </c>
    </row>
    <row r="556" s="6" customFormat="1" spans="1:2">
      <c r="A556" s="12">
        <f>DATE(2012,12,31)-1364</f>
        <v>39910</v>
      </c>
      <c r="B556" s="13">
        <v>244.85</v>
      </c>
    </row>
    <row r="557" s="6" customFormat="1" spans="1:2">
      <c r="A557" s="12">
        <f>DATE(2012,12,31)-951</f>
        <v>40323</v>
      </c>
      <c r="B557" s="13">
        <v>268.09</v>
      </c>
    </row>
    <row r="558" s="6" customFormat="1" spans="1:2">
      <c r="A558" s="12">
        <f>DATE(2012,12,31)-951</f>
        <v>40323</v>
      </c>
      <c r="B558" s="13">
        <v>557.03</v>
      </c>
    </row>
    <row r="559" s="6" customFormat="1" spans="1:2">
      <c r="A559" s="12">
        <f>DATE(2012,12,31)-951</f>
        <v>40323</v>
      </c>
      <c r="B559" s="13">
        <v>26.53</v>
      </c>
    </row>
    <row r="560" s="6" customFormat="1" spans="1:2">
      <c r="A560" s="12">
        <f>DATE(2012,12,31)-951</f>
        <v>40323</v>
      </c>
      <c r="B560" s="13">
        <v>5133.9235</v>
      </c>
    </row>
    <row r="561" s="6" customFormat="1" spans="1:2">
      <c r="A561" s="12">
        <f>DATE(2012,12,31)-757</f>
        <v>40517</v>
      </c>
      <c r="B561" s="13">
        <v>92.14</v>
      </c>
    </row>
    <row r="562" s="6" customFormat="1" spans="1:2">
      <c r="A562" s="12">
        <f>DATE(2012,12,31)-757</f>
        <v>40517</v>
      </c>
      <c r="B562" s="13">
        <v>257.43</v>
      </c>
    </row>
    <row r="563" spans="1:2">
      <c r="A563" s="14">
        <f>DATE(2012,12,31)-1348</f>
        <v>39926</v>
      </c>
      <c r="B563" s="15">
        <v>6.13</v>
      </c>
    </row>
    <row r="564" s="6" customFormat="1" spans="1:2">
      <c r="A564" s="12">
        <f>DATE(2012,12,31)-106</f>
        <v>41168</v>
      </c>
      <c r="B564" s="13">
        <v>221.86</v>
      </c>
    </row>
    <row r="565" s="6" customFormat="1" spans="1:2">
      <c r="A565" s="12">
        <f>DATE(2012,12,31)-106</f>
        <v>41168</v>
      </c>
      <c r="B565" s="13">
        <v>78.26</v>
      </c>
    </row>
    <row r="566" s="6" customFormat="1" spans="1:2">
      <c r="A566" s="12">
        <f>DATE(2012,12,31)-679</f>
        <v>40595</v>
      </c>
      <c r="B566" s="13">
        <v>1225.41</v>
      </c>
    </row>
    <row r="567" s="6" customFormat="1" spans="1:2">
      <c r="A567" s="12">
        <f>DATE(2012,12,31)-1184</f>
        <v>40090</v>
      </c>
      <c r="B567" s="13">
        <v>1184.45</v>
      </c>
    </row>
    <row r="568" s="6" customFormat="1" spans="1:2">
      <c r="A568" s="12">
        <f>DATE(2012,12,31)-1184</f>
        <v>40090</v>
      </c>
      <c r="B568" s="13">
        <v>25409.63</v>
      </c>
    </row>
    <row r="569" s="6" customFormat="1" spans="1:2">
      <c r="A569" s="12">
        <f>DATE(2012,12,31)-1184</f>
        <v>40090</v>
      </c>
      <c r="B569" s="13">
        <v>7308.283</v>
      </c>
    </row>
    <row r="570" s="6" customFormat="1" spans="1:2">
      <c r="A570" s="12">
        <f>DATE(2012,12,31)-250</f>
        <v>41024</v>
      </c>
      <c r="B570" s="13">
        <v>3064.27</v>
      </c>
    </row>
    <row r="571" s="6" customFormat="1" spans="1:2">
      <c r="A571" s="12">
        <f>DATE(2012,12,31)-250</f>
        <v>41024</v>
      </c>
      <c r="B571" s="13">
        <v>475.72</v>
      </c>
    </row>
    <row r="572" s="6" customFormat="1" spans="1:2">
      <c r="A572" s="12">
        <f>DATE(2012,12,31)-250</f>
        <v>41024</v>
      </c>
      <c r="B572" s="13">
        <v>123.91</v>
      </c>
    </row>
    <row r="573" spans="1:2">
      <c r="A573" s="14">
        <f>DATE(2012,12,31)-956</f>
        <v>40318</v>
      </c>
      <c r="B573" s="15">
        <v>700.46</v>
      </c>
    </row>
    <row r="574" s="6" customFormat="1" spans="1:2">
      <c r="A574" s="12">
        <f>DATE(2012,12,31)-742</f>
        <v>40532</v>
      </c>
      <c r="B574" s="13">
        <v>2537.88</v>
      </c>
    </row>
    <row r="575" s="6" customFormat="1" spans="1:2">
      <c r="A575" s="12">
        <f>DATE(2012,12,31)-135</f>
        <v>41139</v>
      </c>
      <c r="B575" s="13">
        <v>218.12</v>
      </c>
    </row>
    <row r="576" s="6" customFormat="1" spans="1:2">
      <c r="A576" s="12">
        <f>DATE(2012,12,31)-135</f>
        <v>41139</v>
      </c>
      <c r="B576" s="13">
        <v>729.83</v>
      </c>
    </row>
    <row r="577" s="6" customFormat="1" spans="1:2">
      <c r="A577" s="12">
        <f>DATE(2012,12,31)-135</f>
        <v>41139</v>
      </c>
      <c r="B577" s="13">
        <v>1083.19</v>
      </c>
    </row>
    <row r="578" s="6" customFormat="1" spans="1:2">
      <c r="A578" s="12">
        <f>DATE(2012,12,31)-1029</f>
        <v>40245</v>
      </c>
      <c r="B578" s="13">
        <v>820.284</v>
      </c>
    </row>
    <row r="579" s="6" customFormat="1" spans="1:2">
      <c r="A579" s="12">
        <f>DATE(2012,12,31)-656</f>
        <v>40618</v>
      </c>
      <c r="B579" s="13">
        <v>370.72</v>
      </c>
    </row>
    <row r="580" s="6" customFormat="1" spans="1:2">
      <c r="A580" s="12">
        <f>DATE(2012,12,31)-918</f>
        <v>40356</v>
      </c>
      <c r="B580" s="13">
        <v>225.14</v>
      </c>
    </row>
    <row r="581" s="6" customFormat="1" spans="1:2">
      <c r="A581" s="12">
        <f>DATE(2012,12,31)-918</f>
        <v>40356</v>
      </c>
      <c r="B581" s="13">
        <v>1559.7755</v>
      </c>
    </row>
    <row r="582" s="6" customFormat="1" spans="1:2">
      <c r="A582" s="12">
        <f>DATE(2012,12,31)-280</f>
        <v>40994</v>
      </c>
      <c r="B582" s="13">
        <v>1032.97</v>
      </c>
    </row>
    <row r="583" spans="1:2">
      <c r="A583" s="14">
        <f>DATE(2012,12,31)-280</f>
        <v>40994</v>
      </c>
      <c r="B583" s="15">
        <v>324.83</v>
      </c>
    </row>
    <row r="584" s="6" customFormat="1" spans="1:2">
      <c r="A584" s="12">
        <f>DATE(2012,12,31)-283</f>
        <v>40991</v>
      </c>
      <c r="B584" s="13">
        <v>316.35</v>
      </c>
    </row>
    <row r="585" s="6" customFormat="1" spans="1:2">
      <c r="A585" s="12">
        <f>DATE(2012,12,31)-970</f>
        <v>40304</v>
      </c>
      <c r="B585" s="13">
        <v>63.52</v>
      </c>
    </row>
    <row r="586" s="6" customFormat="1" spans="1:2">
      <c r="A586" s="12">
        <f>DATE(2012,12,31)-970</f>
        <v>40304</v>
      </c>
      <c r="B586" s="13">
        <v>1512.25</v>
      </c>
    </row>
    <row r="587" spans="1:2">
      <c r="A587" s="14">
        <f>DATE(2012,12,31)-728</f>
        <v>40546</v>
      </c>
      <c r="B587" s="15">
        <v>1441.61</v>
      </c>
    </row>
    <row r="588" spans="1:2">
      <c r="A588" s="14">
        <f>DATE(2012,12,31)-928</f>
        <v>40346</v>
      </c>
      <c r="B588" s="15">
        <v>1038.4</v>
      </c>
    </row>
    <row r="589" spans="1:2">
      <c r="A589" s="14">
        <f>DATE(2012,12,31)-928</f>
        <v>40346</v>
      </c>
      <c r="B589" s="15">
        <v>305.82</v>
      </c>
    </row>
    <row r="590" spans="1:2">
      <c r="A590" s="14">
        <f>DATE(2012,12,31)-944</f>
        <v>40330</v>
      </c>
      <c r="B590" s="15">
        <v>763.12</v>
      </c>
    </row>
    <row r="591" s="6" customFormat="1" spans="1:2">
      <c r="A591" s="12">
        <f>DATE(2012,12,31)-944</f>
        <v>40330</v>
      </c>
      <c r="B591" s="13">
        <v>19269.05</v>
      </c>
    </row>
    <row r="592" s="6" customFormat="1" spans="1:2">
      <c r="A592" s="12">
        <f>DATE(2012,12,31)-779</f>
        <v>40495</v>
      </c>
      <c r="B592" s="13">
        <v>3367.24</v>
      </c>
    </row>
    <row r="593" s="6" customFormat="1" spans="1:2">
      <c r="A593" s="12">
        <f>DATE(2012,12,31)-779</f>
        <v>40495</v>
      </c>
      <c r="B593" s="13">
        <v>5723.24</v>
      </c>
    </row>
    <row r="594" s="6" customFormat="1" spans="1:2">
      <c r="A594" s="12">
        <f>DATE(2012,12,31)-1014</f>
        <v>40260</v>
      </c>
      <c r="B594" s="13">
        <v>188.07</v>
      </c>
    </row>
    <row r="595" s="6" customFormat="1" spans="1:2">
      <c r="A595" s="12">
        <f>DATE(2012,12,31)-86</f>
        <v>41188</v>
      </c>
      <c r="B595" s="13">
        <v>118.38</v>
      </c>
    </row>
    <row r="596" s="6" customFormat="1" spans="1:2">
      <c r="A596" s="12">
        <f>DATE(2012,12,31)-233</f>
        <v>41041</v>
      </c>
      <c r="B596" s="13">
        <v>54.43</v>
      </c>
    </row>
    <row r="597" s="6" customFormat="1" spans="1:2">
      <c r="A597" s="12">
        <f>DATE(2012,12,31)-233</f>
        <v>41041</v>
      </c>
      <c r="B597" s="13">
        <v>124.94</v>
      </c>
    </row>
    <row r="598" s="6" customFormat="1" spans="1:2">
      <c r="A598" s="12">
        <f>DATE(2012,12,31)-233</f>
        <v>41041</v>
      </c>
      <c r="B598" s="13">
        <v>78.46</v>
      </c>
    </row>
    <row r="599" s="6" customFormat="1" spans="1:2">
      <c r="A599" s="12">
        <f>DATE(2012,12,31)-569</f>
        <v>40705</v>
      </c>
      <c r="B599" s="13">
        <v>646.07</v>
      </c>
    </row>
    <row r="600" s="6" customFormat="1" spans="1:2">
      <c r="A600" s="12">
        <f>DATE(2012,12,31)-182</f>
        <v>41092</v>
      </c>
      <c r="B600" s="13">
        <v>128.28</v>
      </c>
    </row>
    <row r="601" s="6" customFormat="1" spans="1:2">
      <c r="A601" s="12">
        <f>DATE(2012,12,31)-133</f>
        <v>41141</v>
      </c>
      <c r="B601" s="13">
        <v>1691.51</v>
      </c>
    </row>
    <row r="602" s="6" customFormat="1" spans="1:2">
      <c r="A602" s="12">
        <f>DATE(2012,12,31)-133</f>
        <v>41141</v>
      </c>
      <c r="B602" s="13">
        <v>122.93</v>
      </c>
    </row>
    <row r="603" s="6" customFormat="1" spans="1:2">
      <c r="A603" s="12">
        <f>DATE(2012,12,31)-133</f>
        <v>41141</v>
      </c>
      <c r="B603" s="13">
        <v>47.86</v>
      </c>
    </row>
    <row r="604" s="6" customFormat="1" spans="1:2">
      <c r="A604" s="12">
        <f>DATE(2012,12,31)-133</f>
        <v>41141</v>
      </c>
      <c r="B604" s="13">
        <v>3607.8505</v>
      </c>
    </row>
    <row r="605" spans="1:2">
      <c r="A605" s="14">
        <f>DATE(2012,12,31)-182</f>
        <v>41092</v>
      </c>
      <c r="B605" s="15">
        <v>42.5</v>
      </c>
    </row>
    <row r="606" s="6" customFormat="1" spans="1:2">
      <c r="A606" s="12">
        <f>DATE(2012,12,31)-452</f>
        <v>40822</v>
      </c>
      <c r="B606" s="13">
        <v>391.42</v>
      </c>
    </row>
    <row r="607" s="6" customFormat="1" spans="1:2">
      <c r="A607" s="12">
        <f>DATE(2012,12,31)-583</f>
        <v>40691</v>
      </c>
      <c r="B607" s="13">
        <v>14.76</v>
      </c>
    </row>
    <row r="608" s="6" customFormat="1" spans="1:2">
      <c r="A608" s="12">
        <f>DATE(2012,12,31)-720</f>
        <v>40554</v>
      </c>
      <c r="B608" s="13">
        <v>6403.39</v>
      </c>
    </row>
    <row r="609" s="6" customFormat="1" spans="1:2">
      <c r="A609" s="12">
        <f>DATE(2012,12,31)-720</f>
        <v>40554</v>
      </c>
      <c r="B609" s="13">
        <v>757.91</v>
      </c>
    </row>
    <row r="610" s="6" customFormat="1" spans="1:2">
      <c r="A610" s="12">
        <f>DATE(2012,12,31)-326</f>
        <v>40948</v>
      </c>
      <c r="B610" s="13">
        <v>381.6</v>
      </c>
    </row>
    <row r="611" s="6" customFormat="1" spans="1:2">
      <c r="A611" s="12">
        <f>DATE(2012,12,31)-1038</f>
        <v>40236</v>
      </c>
      <c r="B611" s="13">
        <v>138.85</v>
      </c>
    </row>
    <row r="612" spans="1:2">
      <c r="A612" s="14">
        <f>DATE(2012,12,31)-1453</f>
        <v>39821</v>
      </c>
      <c r="B612" s="15">
        <v>64.29</v>
      </c>
    </row>
    <row r="613" s="6" customFormat="1" spans="1:2">
      <c r="A613" s="12">
        <f>DATE(2012,12,31)-1453</f>
        <v>39821</v>
      </c>
      <c r="B613" s="13">
        <v>75.77</v>
      </c>
    </row>
    <row r="614" s="6" customFormat="1" spans="1:2">
      <c r="A614" s="12">
        <f>DATE(2012,12,31)-948</f>
        <v>40326</v>
      </c>
      <c r="B614" s="13">
        <v>255.74</v>
      </c>
    </row>
    <row r="615" s="6" customFormat="1" spans="1:2">
      <c r="A615" s="12">
        <f>DATE(2012,12,31)-323</f>
        <v>40951</v>
      </c>
      <c r="B615" s="13">
        <v>639.71</v>
      </c>
    </row>
    <row r="616" s="6" customFormat="1" spans="1:2">
      <c r="A616" s="12">
        <f>DATE(2012,12,31)-303</f>
        <v>40971</v>
      </c>
      <c r="B616" s="13">
        <v>409.16</v>
      </c>
    </row>
    <row r="617" s="6" customFormat="1" spans="1:2">
      <c r="A617" s="12">
        <f>DATE(2012,12,31)-303</f>
        <v>40971</v>
      </c>
      <c r="B617" s="13">
        <v>2508.316</v>
      </c>
    </row>
    <row r="618" s="6" customFormat="1" spans="1:2">
      <c r="A618" s="12">
        <f>DATE(2012,12,31)-648</f>
        <v>40626</v>
      </c>
      <c r="B618" s="13">
        <v>253.89</v>
      </c>
    </row>
    <row r="619" s="6" customFormat="1" spans="1:2">
      <c r="A619" s="12">
        <f>DATE(2012,12,31)-90</f>
        <v>41184</v>
      </c>
      <c r="B619" s="13">
        <v>1556.87</v>
      </c>
    </row>
    <row r="620" s="6" customFormat="1" spans="1:2">
      <c r="A620" s="12">
        <f>DATE(2012,12,31)-90</f>
        <v>41184</v>
      </c>
      <c r="B620" s="13">
        <v>195.98</v>
      </c>
    </row>
    <row r="621" s="6" customFormat="1" spans="1:2">
      <c r="A621" s="12">
        <f>DATE(2012,12,31)-90</f>
        <v>41184</v>
      </c>
      <c r="B621" s="13">
        <v>9235.97</v>
      </c>
    </row>
    <row r="622" s="6" customFormat="1" spans="1:2">
      <c r="A622" s="12">
        <f>DATE(2012,12,31)-90</f>
        <v>41184</v>
      </c>
      <c r="B622" s="13">
        <v>274.38</v>
      </c>
    </row>
    <row r="623" s="6" customFormat="1" spans="1:2">
      <c r="A623" s="12">
        <f>DATE(2012,12,31)-139</f>
        <v>41135</v>
      </c>
      <c r="B623" s="13">
        <v>17.72</v>
      </c>
    </row>
    <row r="624" s="6" customFormat="1" spans="1:2">
      <c r="A624" s="12">
        <f>DATE(2012,12,31)-1263</f>
        <v>40011</v>
      </c>
      <c r="B624" s="13">
        <v>1505.57</v>
      </c>
    </row>
    <row r="625" s="6" customFormat="1" spans="1:2">
      <c r="A625" s="12">
        <f>DATE(2012,12,31)-534</f>
        <v>40740</v>
      </c>
      <c r="B625" s="13">
        <v>1165.33</v>
      </c>
    </row>
    <row r="626" s="6" customFormat="1" spans="1:2">
      <c r="A626" s="12">
        <f>DATE(2012,12,31)-1189</f>
        <v>40085</v>
      </c>
      <c r="B626" s="13">
        <v>49.04</v>
      </c>
    </row>
    <row r="627" s="6" customFormat="1" spans="1:2">
      <c r="A627" s="12">
        <f>DATE(2012,12,31)-1035</f>
        <v>40239</v>
      </c>
      <c r="B627" s="13">
        <v>215.76</v>
      </c>
    </row>
    <row r="628" s="6" customFormat="1" spans="1:2">
      <c r="A628" s="12">
        <f>DATE(2012,12,31)-436</f>
        <v>40838</v>
      </c>
      <c r="B628" s="13">
        <v>640.21</v>
      </c>
    </row>
    <row r="629" s="6" customFormat="1" spans="1:2">
      <c r="A629" s="12">
        <f>DATE(2012,12,31)-1337</f>
        <v>39937</v>
      </c>
      <c r="B629" s="13">
        <v>179.45</v>
      </c>
    </row>
    <row r="630" s="6" customFormat="1" spans="1:2">
      <c r="A630" s="12">
        <f>DATE(2012,12,31)-1337</f>
        <v>39937</v>
      </c>
      <c r="B630" s="13">
        <v>7987.43</v>
      </c>
    </row>
    <row r="631" s="6" customFormat="1" spans="1:2">
      <c r="A631" s="12">
        <f>DATE(2012,12,31)-1337</f>
        <v>39937</v>
      </c>
      <c r="B631" s="13">
        <v>2455.276</v>
      </c>
    </row>
    <row r="632" s="6" customFormat="1" spans="1:2">
      <c r="A632" s="12">
        <f>DATE(2012,12,31)-318</f>
        <v>40956</v>
      </c>
      <c r="B632" s="13">
        <v>2592.432</v>
      </c>
    </row>
    <row r="633" spans="1:2">
      <c r="A633" s="14">
        <f>DATE(2012,12,31)-185</f>
        <v>41089</v>
      </c>
      <c r="B633" s="15">
        <v>7441.29</v>
      </c>
    </row>
    <row r="634" s="6" customFormat="1" spans="1:2">
      <c r="A634" s="12">
        <f>DATE(2012,12,31)-590</f>
        <v>40684</v>
      </c>
      <c r="B634" s="13">
        <v>313.43</v>
      </c>
    </row>
    <row r="635" s="6" customFormat="1" spans="1:2">
      <c r="A635" s="12">
        <f>DATE(2012,12,31)-590</f>
        <v>40684</v>
      </c>
      <c r="B635" s="13">
        <v>390.11</v>
      </c>
    </row>
    <row r="636" s="6" customFormat="1" spans="1:2">
      <c r="A636" s="12">
        <f>DATE(2012,12,31)-1188</f>
        <v>40086</v>
      </c>
      <c r="B636" s="13">
        <v>992.95</v>
      </c>
    </row>
    <row r="637" spans="1:2">
      <c r="A637" s="14">
        <f>DATE(2012,12,31)-1429</f>
        <v>39845</v>
      </c>
      <c r="B637" s="15">
        <v>55.45</v>
      </c>
    </row>
    <row r="638" s="6" customFormat="1" spans="1:2">
      <c r="A638" s="12">
        <f>DATE(2012,12,31)-813</f>
        <v>40461</v>
      </c>
      <c r="B638" s="13">
        <v>279.29</v>
      </c>
    </row>
    <row r="639" s="6" customFormat="1" spans="1:2">
      <c r="A639" s="12">
        <f>DATE(2012,12,31)-1043</f>
        <v>40231</v>
      </c>
      <c r="B639" s="13">
        <v>325.24</v>
      </c>
    </row>
    <row r="640" s="6" customFormat="1" spans="1:2">
      <c r="A640" s="12">
        <f>DATE(2012,12,31)-434</f>
        <v>40840</v>
      </c>
      <c r="B640" s="13">
        <v>6077.11</v>
      </c>
    </row>
    <row r="641" s="6" customFormat="1" spans="1:2">
      <c r="A641" s="12">
        <f>DATE(2012,12,31)-1342</f>
        <v>39932</v>
      </c>
      <c r="B641" s="13">
        <v>2841.4395</v>
      </c>
    </row>
    <row r="642" s="6" customFormat="1" spans="1:2">
      <c r="A642" s="12">
        <f>DATE(2012,12,31)-290</f>
        <v>40984</v>
      </c>
      <c r="B642" s="13">
        <v>887.94</v>
      </c>
    </row>
    <row r="643" s="6" customFormat="1" spans="1:2">
      <c r="A643" s="12">
        <f>DATE(2012,12,31)-1374</f>
        <v>39900</v>
      </c>
      <c r="B643" s="13">
        <v>294.78</v>
      </c>
    </row>
    <row r="644" s="6" customFormat="1" spans="1:2">
      <c r="A644" s="12">
        <f>DATE(2012,12,31)-1080</f>
        <v>40194</v>
      </c>
      <c r="B644" s="13">
        <v>126.38</v>
      </c>
    </row>
    <row r="645" s="6" customFormat="1" spans="1:2">
      <c r="A645" s="12">
        <f>DATE(2012,12,31)-1080</f>
        <v>40194</v>
      </c>
      <c r="B645" s="13">
        <v>33.1</v>
      </c>
    </row>
    <row r="646" s="6" customFormat="1" spans="1:2">
      <c r="A646" s="12">
        <f>DATE(2012,12,31)-1099</f>
        <v>40175</v>
      </c>
      <c r="B646" s="13">
        <v>3730.54</v>
      </c>
    </row>
    <row r="647" s="6" customFormat="1" spans="1:2">
      <c r="A647" s="12">
        <f>DATE(2012,12,31)-110</f>
        <v>41164</v>
      </c>
      <c r="B647" s="13">
        <v>282.71</v>
      </c>
    </row>
    <row r="648" s="6" customFormat="1" spans="1:2">
      <c r="A648" s="12">
        <f>DATE(2012,12,31)-110</f>
        <v>41164</v>
      </c>
      <c r="B648" s="13">
        <v>724.13</v>
      </c>
    </row>
    <row r="649" s="6" customFormat="1" spans="1:2">
      <c r="A649" s="12">
        <f>DATE(2012,12,31)-110</f>
        <v>41164</v>
      </c>
      <c r="B649" s="13">
        <v>294.66</v>
      </c>
    </row>
    <row r="650" s="6" customFormat="1" spans="1:2">
      <c r="A650" s="12">
        <f>DATE(2012,12,31)-397</f>
        <v>40877</v>
      </c>
      <c r="B650" s="13">
        <v>1765.05</v>
      </c>
    </row>
    <row r="651" s="6" customFormat="1" spans="1:2">
      <c r="A651" s="12">
        <f>DATE(2012,12,31)-778</f>
        <v>40496</v>
      </c>
      <c r="B651" s="13">
        <v>7384.54</v>
      </c>
    </row>
    <row r="652" s="6" customFormat="1" spans="1:2">
      <c r="A652" s="12">
        <f>DATE(2012,12,31)-119</f>
        <v>41155</v>
      </c>
      <c r="B652" s="13">
        <v>2325.42</v>
      </c>
    </row>
    <row r="653" s="6" customFormat="1" spans="1:2">
      <c r="A653" s="12">
        <f>DATE(2012,12,31)-1194</f>
        <v>40080</v>
      </c>
      <c r="B653" s="13">
        <v>3021.64</v>
      </c>
    </row>
    <row r="654" s="6" customFormat="1" spans="1:2">
      <c r="A654" s="12">
        <f>DATE(2012,12,31)-928</f>
        <v>40346</v>
      </c>
      <c r="B654" s="13">
        <v>66.88</v>
      </c>
    </row>
    <row r="655" spans="1:2">
      <c r="A655" s="14">
        <f>DATE(2012,12,31)-928</f>
        <v>40346</v>
      </c>
      <c r="B655" s="15">
        <v>447.34</v>
      </c>
    </row>
    <row r="656" s="6" customFormat="1" spans="1:2">
      <c r="A656" s="12">
        <f>DATE(2012,12,31)-1087</f>
        <v>40187</v>
      </c>
      <c r="B656" s="13">
        <v>16172.44</v>
      </c>
    </row>
    <row r="657" s="6" customFormat="1" spans="1:2">
      <c r="A657" s="12">
        <f>DATE(2012,12,31)-834</f>
        <v>40440</v>
      </c>
      <c r="B657" s="13">
        <v>89.55</v>
      </c>
    </row>
    <row r="658" s="6" customFormat="1" spans="1:2">
      <c r="A658" s="12">
        <f>DATE(2012,12,31)-674</f>
        <v>40600</v>
      </c>
      <c r="B658" s="13">
        <v>65.61</v>
      </c>
    </row>
    <row r="659" s="6" customFormat="1" spans="1:2">
      <c r="A659" s="12">
        <f>DATE(2012,12,31)-674</f>
        <v>40600</v>
      </c>
      <c r="B659" s="13">
        <v>309.62</v>
      </c>
    </row>
    <row r="660" s="6" customFormat="1" spans="1:2">
      <c r="A660" s="12">
        <f>DATE(2012,12,31)-1199</f>
        <v>40075</v>
      </c>
      <c r="B660" s="13">
        <v>920</v>
      </c>
    </row>
    <row r="661" s="6" customFormat="1" spans="1:2">
      <c r="A661" s="12">
        <f>DATE(2012,12,31)-1199</f>
        <v>40075</v>
      </c>
      <c r="B661" s="13">
        <v>104.2</v>
      </c>
    </row>
    <row r="662" s="6" customFormat="1" spans="1:2">
      <c r="A662" s="12">
        <f>DATE(2012,12,31)-1199</f>
        <v>40075</v>
      </c>
      <c r="B662" s="13">
        <v>3563.88</v>
      </c>
    </row>
    <row r="663" s="6" customFormat="1" spans="1:2">
      <c r="A663" s="12">
        <f>DATE(2012,12,31)-1328</f>
        <v>39946</v>
      </c>
      <c r="B663" s="13">
        <v>1590.163</v>
      </c>
    </row>
    <row r="664" s="6" customFormat="1" spans="1:2">
      <c r="A664" s="12">
        <f>DATE(2012,12,31)-1328</f>
        <v>39946</v>
      </c>
      <c r="B664" s="13">
        <v>482.93</v>
      </c>
    </row>
    <row r="665" spans="1:2">
      <c r="A665" s="14">
        <f>DATE(2012,12,31)-1328</f>
        <v>39946</v>
      </c>
      <c r="B665" s="15">
        <v>1203.73</v>
      </c>
    </row>
    <row r="666" spans="1:2">
      <c r="A666" s="14">
        <f>DATE(2012,12,31)-1328</f>
        <v>39946</v>
      </c>
      <c r="B666" s="15">
        <v>75.19</v>
      </c>
    </row>
    <row r="667" s="6" customFormat="1" spans="1:2">
      <c r="A667" s="12">
        <f>DATE(2012,12,31)-421</f>
        <v>40853</v>
      </c>
      <c r="B667" s="13">
        <v>152.44</v>
      </c>
    </row>
    <row r="668" s="6" customFormat="1" spans="1:2">
      <c r="A668" s="12">
        <f>DATE(2012,12,31)-1353</f>
        <v>39921</v>
      </c>
      <c r="B668" s="13">
        <v>3041.33</v>
      </c>
    </row>
    <row r="669" s="6" customFormat="1" spans="1:2">
      <c r="A669" s="12">
        <f>DATE(2012,12,31)-768</f>
        <v>40506</v>
      </c>
      <c r="B669" s="13">
        <v>17.89</v>
      </c>
    </row>
    <row r="670" s="6" customFormat="1" spans="1:2">
      <c r="A670" s="12">
        <f>DATE(2012,12,31)-488</f>
        <v>40786</v>
      </c>
      <c r="B670" s="13">
        <v>1210.0515</v>
      </c>
    </row>
    <row r="671" s="6" customFormat="1" spans="1:2">
      <c r="A671" s="12">
        <f>DATE(2012,12,31)-488</f>
        <v>40786</v>
      </c>
      <c r="B671" s="13">
        <v>187.83</v>
      </c>
    </row>
    <row r="672" s="6" customFormat="1" spans="1:2">
      <c r="A672" s="12">
        <f>DATE(2012,12,31)-488</f>
        <v>40786</v>
      </c>
      <c r="B672" s="13">
        <v>49.59</v>
      </c>
    </row>
    <row r="673" s="6" customFormat="1" spans="1:2">
      <c r="A673" s="12">
        <f>DATE(2012,12,31)-488</f>
        <v>40786</v>
      </c>
      <c r="B673" s="13">
        <v>4253.009</v>
      </c>
    </row>
    <row r="674" s="6" customFormat="1" spans="1:2">
      <c r="A674" s="12">
        <f>DATE(2012,12,31)-285</f>
        <v>40989</v>
      </c>
      <c r="B674" s="13">
        <v>123.85</v>
      </c>
    </row>
    <row r="675" s="6" customFormat="1" spans="1:2">
      <c r="A675" s="12">
        <f>DATE(2012,12,31)-3</f>
        <v>41271</v>
      </c>
      <c r="B675" s="13">
        <v>2116.7</v>
      </c>
    </row>
    <row r="676" s="6" customFormat="1" spans="1:2">
      <c r="A676" s="12">
        <f>DATE(2012,12,31)-1188</f>
        <v>40086</v>
      </c>
      <c r="B676" s="13">
        <v>180.38</v>
      </c>
    </row>
    <row r="677" s="6" customFormat="1" spans="1:2">
      <c r="A677" s="12">
        <f>DATE(2012,12,31)-1027</f>
        <v>40247</v>
      </c>
      <c r="B677" s="13">
        <v>314.21</v>
      </c>
    </row>
    <row r="678" s="6" customFormat="1" spans="1:2">
      <c r="A678" s="12">
        <f>DATE(2012,12,31)-268</f>
        <v>41006</v>
      </c>
      <c r="B678" s="13">
        <v>10.39</v>
      </c>
    </row>
    <row r="679" spans="1:2">
      <c r="A679" s="14">
        <f>DATE(2012,12,31)-1045</f>
        <v>40229</v>
      </c>
      <c r="B679" s="15">
        <v>48.57</v>
      </c>
    </row>
    <row r="680" s="6" customFormat="1" spans="1:2">
      <c r="A680" s="12">
        <f>DATE(2012,12,31)-178</f>
        <v>41096</v>
      </c>
      <c r="B680" s="13">
        <v>342.97</v>
      </c>
    </row>
    <row r="681" s="6" customFormat="1" spans="1:2">
      <c r="A681" s="12">
        <f>DATE(2012,12,31)-1007</f>
        <v>40267</v>
      </c>
      <c r="B681" s="13">
        <v>352.55</v>
      </c>
    </row>
    <row r="682" s="6" customFormat="1" spans="1:2">
      <c r="A682" s="12">
        <f>DATE(2012,12,31)-1007</f>
        <v>40267</v>
      </c>
      <c r="B682" s="13">
        <v>719.64</v>
      </c>
    </row>
    <row r="683" s="6" customFormat="1" spans="1:2">
      <c r="A683" s="12">
        <f>DATE(2012,12,31)-628</f>
        <v>40646</v>
      </c>
      <c r="B683" s="13">
        <v>117.4</v>
      </c>
    </row>
    <row r="684" s="6" customFormat="1" spans="1:2">
      <c r="A684" s="12">
        <f>DATE(2012,12,31)-18</f>
        <v>41256</v>
      </c>
      <c r="B684" s="13">
        <v>135.928</v>
      </c>
    </row>
    <row r="685" s="6" customFormat="1" spans="1:2">
      <c r="A685" s="12">
        <f>DATE(2012,12,31)-1205</f>
        <v>40069</v>
      </c>
      <c r="B685" s="13">
        <v>1560.617</v>
      </c>
    </row>
    <row r="686" s="6" customFormat="1" spans="1:2">
      <c r="A686" s="12">
        <f>DATE(2012,12,31)-375</f>
        <v>40899</v>
      </c>
      <c r="B686" s="13">
        <v>6746.312</v>
      </c>
    </row>
    <row r="687" s="6" customFormat="1" spans="1:2">
      <c r="A687" s="12">
        <f>DATE(2012,12,31)-375</f>
        <v>40899</v>
      </c>
      <c r="B687" s="13">
        <v>311.38</v>
      </c>
    </row>
    <row r="688" s="6" customFormat="1" spans="1:2">
      <c r="A688" s="12">
        <f>DATE(2012,12,31)-987</f>
        <v>40287</v>
      </c>
      <c r="B688" s="13">
        <v>126.87</v>
      </c>
    </row>
    <row r="689" s="6" customFormat="1" spans="1:2">
      <c r="A689" s="12">
        <f>DATE(2012,12,31)-361</f>
        <v>40913</v>
      </c>
      <c r="B689" s="13">
        <v>41.94</v>
      </c>
    </row>
    <row r="690" s="6" customFormat="1" spans="1:2">
      <c r="A690" s="12">
        <f>DATE(2012,12,31)-361</f>
        <v>40913</v>
      </c>
      <c r="B690" s="13">
        <v>89.25</v>
      </c>
    </row>
    <row r="691" s="6" customFormat="1" spans="1:2">
      <c r="A691" s="12">
        <f>DATE(2012,12,31)-361</f>
        <v>40913</v>
      </c>
      <c r="B691" s="13">
        <v>79.81</v>
      </c>
    </row>
    <row r="692" s="6" customFormat="1" spans="1:2">
      <c r="A692" s="12">
        <f>DATE(2012,12,31)-339</f>
        <v>40935</v>
      </c>
      <c r="B692" s="13">
        <v>463.83</v>
      </c>
    </row>
    <row r="693" s="6" customFormat="1" spans="1:2">
      <c r="A693" s="12">
        <f>DATE(2012,12,31)-251</f>
        <v>41023</v>
      </c>
      <c r="B693" s="13">
        <v>55.38</v>
      </c>
    </row>
    <row r="694" s="6" customFormat="1" spans="1:2">
      <c r="A694" s="12">
        <f>DATE(2012,12,31)-1164</f>
        <v>40110</v>
      </c>
      <c r="B694" s="13">
        <v>9.4</v>
      </c>
    </row>
    <row r="695" spans="1:2">
      <c r="A695" s="14">
        <f>DATE(2012,12,31)-1332</f>
        <v>39942</v>
      </c>
      <c r="B695" s="15">
        <v>159.43</v>
      </c>
    </row>
    <row r="696" s="6" customFormat="1" spans="1:2">
      <c r="A696" s="12">
        <f>DATE(2012,12,31)-51</f>
        <v>41223</v>
      </c>
      <c r="B696" s="13">
        <v>4901.99</v>
      </c>
    </row>
    <row r="697" s="6" customFormat="1" spans="1:2">
      <c r="A697" s="12">
        <f>DATE(2012,12,31)-1244</f>
        <v>40030</v>
      </c>
      <c r="B697" s="13">
        <v>17248.09</v>
      </c>
    </row>
    <row r="698" s="6" customFormat="1" spans="1:2">
      <c r="A698" s="12">
        <f>DATE(2012,12,31)-569</f>
        <v>40705</v>
      </c>
      <c r="B698" s="13">
        <v>775.74</v>
      </c>
    </row>
    <row r="699" spans="1:2">
      <c r="A699" s="14">
        <f>DATE(2012,12,31)-569</f>
        <v>40705</v>
      </c>
      <c r="B699" s="15">
        <v>238.34</v>
      </c>
    </row>
    <row r="700" s="6" customFormat="1" spans="1:2">
      <c r="A700" s="12">
        <f>DATE(2012,12,31)-132</f>
        <v>41142</v>
      </c>
      <c r="B700" s="13">
        <v>831.52</v>
      </c>
    </row>
    <row r="701" s="6" customFormat="1" spans="1:2">
      <c r="A701" s="12">
        <f>DATE(2012,12,31)-132</f>
        <v>41142</v>
      </c>
      <c r="B701" s="13">
        <v>1089.87</v>
      </c>
    </row>
    <row r="702" spans="1:2">
      <c r="A702" s="14">
        <f>DATE(2012,12,31)-132</f>
        <v>41142</v>
      </c>
      <c r="B702" s="15">
        <v>121.3</v>
      </c>
    </row>
    <row r="703" s="6" customFormat="1" spans="1:2">
      <c r="A703" s="12">
        <f>DATE(2012,12,31)-1141</f>
        <v>40133</v>
      </c>
      <c r="B703" s="13">
        <v>168.31</v>
      </c>
    </row>
    <row r="704" s="6" customFormat="1" spans="1:2">
      <c r="A704" s="12">
        <f>DATE(2012,12,31)-1141</f>
        <v>40133</v>
      </c>
      <c r="B704" s="13">
        <v>4282.725</v>
      </c>
    </row>
    <row r="705" spans="1:2">
      <c r="A705" s="14">
        <f>DATE(2012,12,31)-875</f>
        <v>40399</v>
      </c>
      <c r="B705" s="15">
        <v>109.37</v>
      </c>
    </row>
    <row r="706" spans="1:2">
      <c r="A706" s="14">
        <f>DATE(2012,12,31)-952</f>
        <v>40322</v>
      </c>
      <c r="B706" s="15">
        <v>106.64</v>
      </c>
    </row>
    <row r="707" spans="1:2">
      <c r="A707" s="14">
        <f>DATE(2012,12,31)-675</f>
        <v>40599</v>
      </c>
      <c r="B707" s="15">
        <v>40.87</v>
      </c>
    </row>
    <row r="708" s="6" customFormat="1" spans="1:2">
      <c r="A708" s="12">
        <f>DATE(2012,12,31)-675</f>
        <v>40599</v>
      </c>
      <c r="B708" s="13">
        <v>8363.65</v>
      </c>
    </row>
    <row r="709" s="6" customFormat="1" spans="1:2">
      <c r="A709" s="12">
        <f>DATE(2012,12,31)-803</f>
        <v>40471</v>
      </c>
      <c r="B709" s="13">
        <v>1068.79</v>
      </c>
    </row>
    <row r="710" s="6" customFormat="1" spans="1:2">
      <c r="A710" s="12">
        <f>DATE(2012,12,31)-803</f>
        <v>40471</v>
      </c>
      <c r="B710" s="13">
        <v>287.13</v>
      </c>
    </row>
    <row r="711" s="6" customFormat="1" spans="1:2">
      <c r="A711" s="12">
        <f>DATE(2012,12,31)-109</f>
        <v>41165</v>
      </c>
      <c r="B711" s="13">
        <v>4305.79</v>
      </c>
    </row>
    <row r="712" s="6" customFormat="1" spans="1:2">
      <c r="A712" s="12">
        <f>DATE(2012,12,31)-259</f>
        <v>41015</v>
      </c>
      <c r="B712" s="13">
        <v>79.68</v>
      </c>
    </row>
    <row r="713" s="6" customFormat="1" spans="1:2">
      <c r="A713" s="12">
        <f>DATE(2012,12,31)-783</f>
        <v>40491</v>
      </c>
      <c r="B713" s="13">
        <v>41.18</v>
      </c>
    </row>
    <row r="714" s="6" customFormat="1" spans="1:2">
      <c r="A714" s="12">
        <f>DATE(2012,12,31)-871</f>
        <v>40403</v>
      </c>
      <c r="B714" s="13">
        <v>12.8</v>
      </c>
    </row>
    <row r="715" s="6" customFormat="1" spans="1:2">
      <c r="A715" s="12">
        <f>DATE(2012,12,31)-429</f>
        <v>40845</v>
      </c>
      <c r="B715" s="13">
        <v>709.04</v>
      </c>
    </row>
    <row r="716" s="6" customFormat="1" spans="1:2">
      <c r="A716" s="12">
        <f>DATE(2012,12,31)-429</f>
        <v>40845</v>
      </c>
      <c r="B716" s="13">
        <v>978.77</v>
      </c>
    </row>
    <row r="717" s="6" customFormat="1" spans="1:2">
      <c r="A717" s="12">
        <f>DATE(2012,12,31)-1009</f>
        <v>40265</v>
      </c>
      <c r="B717" s="13">
        <v>79.58</v>
      </c>
    </row>
    <row r="718" s="6" customFormat="1" spans="1:2">
      <c r="A718" s="12">
        <f>DATE(2012,12,31)-254</f>
        <v>41020</v>
      </c>
      <c r="B718" s="13">
        <v>786.675</v>
      </c>
    </row>
    <row r="719" s="6" customFormat="1" spans="1:2">
      <c r="A719" s="12">
        <f>DATE(2012,12,31)-235</f>
        <v>41039</v>
      </c>
      <c r="B719" s="13">
        <v>1991.703</v>
      </c>
    </row>
    <row r="720" s="6" customFormat="1" spans="1:2">
      <c r="A720" s="12">
        <f>DATE(2012,12,31)-494</f>
        <v>40780</v>
      </c>
      <c r="B720" s="13">
        <v>4896.93</v>
      </c>
    </row>
    <row r="721" s="6" customFormat="1" spans="1:2">
      <c r="A721" s="12">
        <f>DATE(2012,12,31)-1299</f>
        <v>39975</v>
      </c>
      <c r="B721" s="13">
        <v>569.21</v>
      </c>
    </row>
    <row r="722" s="6" customFormat="1" spans="1:2">
      <c r="A722" s="12">
        <f>DATE(2012,12,31)-671</f>
        <v>40603</v>
      </c>
      <c r="B722" s="13">
        <v>192.8</v>
      </c>
    </row>
    <row r="723" s="6" customFormat="1" spans="1:2">
      <c r="A723" s="12">
        <f>DATE(2012,12,31)-767</f>
        <v>40507</v>
      </c>
      <c r="B723" s="13">
        <v>900.06</v>
      </c>
    </row>
    <row r="724" spans="1:2">
      <c r="A724" s="14">
        <f>DATE(2012,12,31)-767</f>
        <v>40507</v>
      </c>
      <c r="B724" s="15">
        <v>2066.63</v>
      </c>
    </row>
    <row r="725" s="6" customFormat="1" spans="1:2">
      <c r="A725" s="12">
        <f>DATE(2012,12,31)-767</f>
        <v>40507</v>
      </c>
      <c r="B725" s="13">
        <v>24.72</v>
      </c>
    </row>
    <row r="726" s="6" customFormat="1" spans="1:2">
      <c r="A726" s="12">
        <f>DATE(2012,12,31)-446</f>
        <v>40828</v>
      </c>
      <c r="B726" s="13">
        <v>339.35</v>
      </c>
    </row>
    <row r="727" s="6" customFormat="1" spans="1:2">
      <c r="A727" s="12">
        <f>DATE(2012,12,31)-446</f>
        <v>40828</v>
      </c>
      <c r="B727" s="13">
        <v>33.67</v>
      </c>
    </row>
    <row r="728" s="6" customFormat="1" spans="1:2">
      <c r="A728" s="12">
        <f>DATE(2012,12,31)-572</f>
        <v>40702</v>
      </c>
      <c r="B728" s="13">
        <v>1347.63</v>
      </c>
    </row>
    <row r="729" s="6" customFormat="1" spans="1:2">
      <c r="A729" s="12">
        <f>DATE(2012,12,31)-1315</f>
        <v>39959</v>
      </c>
      <c r="B729" s="13">
        <v>14451.75</v>
      </c>
    </row>
    <row r="730" s="6" customFormat="1" spans="1:2">
      <c r="A730" s="12">
        <f>DATE(2012,12,31)-630</f>
        <v>40644</v>
      </c>
      <c r="B730" s="13">
        <v>3821.039</v>
      </c>
    </row>
    <row r="731" s="6" customFormat="1" spans="1:2">
      <c r="A731" s="12">
        <f>DATE(2012,12,31)-159</f>
        <v>41115</v>
      </c>
      <c r="B731" s="13">
        <v>1735.3515</v>
      </c>
    </row>
    <row r="732" s="6" customFormat="1" spans="1:2">
      <c r="A732" s="12">
        <f>DATE(2012,12,31)-426</f>
        <v>40848</v>
      </c>
      <c r="B732" s="13">
        <v>4733.7</v>
      </c>
    </row>
    <row r="733" s="6" customFormat="1" spans="1:2">
      <c r="A733" s="12">
        <f>DATE(2012,12,31)-426</f>
        <v>40848</v>
      </c>
      <c r="B733" s="13">
        <v>2718.07</v>
      </c>
    </row>
    <row r="734" s="6" customFormat="1" spans="1:2">
      <c r="A734" s="12">
        <f>DATE(2012,12,31)-1307</f>
        <v>39967</v>
      </c>
      <c r="B734" s="13">
        <v>2508.673</v>
      </c>
    </row>
    <row r="735" s="6" customFormat="1" spans="1:2">
      <c r="A735" s="12">
        <f>DATE(2012,12,31)-542</f>
        <v>40732</v>
      </c>
      <c r="B735" s="13">
        <v>59.38</v>
      </c>
    </row>
    <row r="736" s="6" customFormat="1" spans="1:2">
      <c r="A736" s="12">
        <f>DATE(2012,12,31)-1431</f>
        <v>39843</v>
      </c>
      <c r="B736" s="13">
        <v>1285.37</v>
      </c>
    </row>
    <row r="737" s="6" customFormat="1" spans="1:2">
      <c r="A737" s="12">
        <f>DATE(2012,12,31)-1210</f>
        <v>40064</v>
      </c>
      <c r="B737" s="13">
        <v>212.57</v>
      </c>
    </row>
    <row r="738" s="6" customFormat="1" spans="1:2">
      <c r="A738" s="12">
        <f>DATE(2012,12,31)-1210</f>
        <v>40064</v>
      </c>
      <c r="B738" s="13">
        <v>1469.48</v>
      </c>
    </row>
    <row r="739" s="6" customFormat="1" spans="1:2">
      <c r="A739" s="12">
        <f>DATE(2012,12,31)-1210</f>
        <v>40064</v>
      </c>
      <c r="B739" s="13">
        <v>4279.24</v>
      </c>
    </row>
    <row r="740" s="6" customFormat="1" spans="1:2">
      <c r="A740" s="12">
        <f>DATE(2012,12,31)-1003</f>
        <v>40271</v>
      </c>
      <c r="B740" s="13">
        <v>1042.25</v>
      </c>
    </row>
    <row r="741" s="6" customFormat="1" spans="1:2">
      <c r="A741" s="12">
        <f>DATE(2012,12,31)-1003</f>
        <v>40271</v>
      </c>
      <c r="B741" s="13">
        <v>5010.7415</v>
      </c>
    </row>
    <row r="742" s="6" customFormat="1" spans="1:2">
      <c r="A742" s="12">
        <f>DATE(2012,12,31)-737</f>
        <v>40537</v>
      </c>
      <c r="B742" s="13">
        <v>2932.99</v>
      </c>
    </row>
    <row r="743" s="6" customFormat="1" spans="1:2">
      <c r="A743" s="12">
        <f>DATE(2012,12,31)-737</f>
        <v>40537</v>
      </c>
      <c r="B743" s="13">
        <v>9194.8</v>
      </c>
    </row>
    <row r="744" s="6" customFormat="1" spans="1:2">
      <c r="A744" s="12">
        <f>DATE(2012,12,31)-737</f>
        <v>40537</v>
      </c>
      <c r="B744" s="13">
        <v>2285.12</v>
      </c>
    </row>
    <row r="745" s="6" customFormat="1" spans="1:2">
      <c r="A745" s="12">
        <f>DATE(2012,12,31)-679</f>
        <v>40595</v>
      </c>
      <c r="B745" s="13">
        <v>525.555</v>
      </c>
    </row>
    <row r="746" s="6" customFormat="1" spans="1:2">
      <c r="A746" s="12">
        <f>DATE(2012,12,31)-679</f>
        <v>40595</v>
      </c>
      <c r="B746" s="13">
        <v>276.029</v>
      </c>
    </row>
    <row r="747" s="6" customFormat="1" spans="1:2">
      <c r="A747" s="12">
        <f>DATE(2012,12,31)-679</f>
        <v>40595</v>
      </c>
      <c r="B747" s="13">
        <v>187.204</v>
      </c>
    </row>
    <row r="748" s="6" customFormat="1" spans="1:2">
      <c r="A748" s="12">
        <f>DATE(2012,12,31)-814</f>
        <v>40460</v>
      </c>
      <c r="B748" s="13">
        <v>434.73</v>
      </c>
    </row>
    <row r="749" s="6" customFormat="1" spans="1:2">
      <c r="A749" s="12">
        <f>DATE(2012,12,31)-814</f>
        <v>40460</v>
      </c>
      <c r="B749" s="13">
        <v>7017.42</v>
      </c>
    </row>
    <row r="750" s="6" customFormat="1" spans="1:2">
      <c r="A750" s="12">
        <f>DATE(2012,12,31)-68</f>
        <v>41206</v>
      </c>
      <c r="B750" s="13">
        <v>54.28</v>
      </c>
    </row>
    <row r="751" s="6" customFormat="1" spans="1:2">
      <c r="A751" s="12">
        <f>DATE(2012,12,31)-1068</f>
        <v>40206</v>
      </c>
      <c r="B751" s="13">
        <v>4888.14</v>
      </c>
    </row>
    <row r="752" s="6" customFormat="1" spans="1:2">
      <c r="A752" s="12">
        <f>DATE(2012,12,31)-1068</f>
        <v>40206</v>
      </c>
      <c r="B752" s="13">
        <v>63.87</v>
      </c>
    </row>
    <row r="753" s="6" customFormat="1" spans="1:2">
      <c r="A753" s="12">
        <f>DATE(2012,12,31)-354</f>
        <v>40920</v>
      </c>
      <c r="B753" s="13">
        <v>260.12</v>
      </c>
    </row>
    <row r="754" s="6" customFormat="1" spans="1:2">
      <c r="A754" s="12">
        <f>DATE(2012,12,31)-164</f>
        <v>41110</v>
      </c>
      <c r="B754" s="13">
        <v>88.82</v>
      </c>
    </row>
    <row r="755" s="6" customFormat="1" spans="1:2">
      <c r="A755" s="12">
        <f>DATE(2012,12,31)-164</f>
        <v>41110</v>
      </c>
      <c r="B755" s="13">
        <v>2392.23</v>
      </c>
    </row>
    <row r="756" s="6" customFormat="1" spans="1:2">
      <c r="A756" s="12">
        <f>DATE(2012,12,31)-358</f>
        <v>40916</v>
      </c>
      <c r="B756" s="13">
        <v>48.91</v>
      </c>
    </row>
    <row r="757" s="6" customFormat="1" spans="1:2">
      <c r="A757" s="12">
        <f>DATE(2012,12,31)-1013</f>
        <v>40261</v>
      </c>
      <c r="B757" s="13">
        <v>284.62</v>
      </c>
    </row>
    <row r="758" s="6" customFormat="1" spans="1:2">
      <c r="A758" s="12">
        <f>DATE(2012,12,31)-1260</f>
        <v>40014</v>
      </c>
      <c r="B758" s="13">
        <v>226.83</v>
      </c>
    </row>
    <row r="759" s="6" customFormat="1" spans="1:2">
      <c r="A759" s="12">
        <f>DATE(2012,12,31)-1260</f>
        <v>40014</v>
      </c>
      <c r="B759" s="13">
        <v>278.92</v>
      </c>
    </row>
    <row r="760" s="6" customFormat="1" spans="1:2">
      <c r="A760" s="12">
        <f>DATE(2012,12,31)-655</f>
        <v>40619</v>
      </c>
      <c r="B760" s="13">
        <v>885.94</v>
      </c>
    </row>
    <row r="761" s="6" customFormat="1" spans="1:2">
      <c r="A761" s="12">
        <f>DATE(2012,12,31)-890</f>
        <v>40384</v>
      </c>
      <c r="B761" s="13">
        <v>29.42</v>
      </c>
    </row>
    <row r="762" s="6" customFormat="1" spans="1:2">
      <c r="A762" s="12">
        <f>DATE(2012,12,31)-890</f>
        <v>40384</v>
      </c>
      <c r="B762" s="13">
        <v>46.48</v>
      </c>
    </row>
    <row r="763" spans="1:2">
      <c r="A763" s="14">
        <f>DATE(2012,12,31)-1290</f>
        <v>39984</v>
      </c>
      <c r="B763" s="15">
        <v>433.68</v>
      </c>
    </row>
    <row r="764" s="6" customFormat="1" spans="1:2">
      <c r="A764" s="12">
        <f>DATE(2012,12,31)-996</f>
        <v>40278</v>
      </c>
      <c r="B764" s="13">
        <v>216.08</v>
      </c>
    </row>
    <row r="765" s="6" customFormat="1" spans="1:2">
      <c r="A765" s="12">
        <f>DATE(2012,12,31)-996</f>
        <v>40278</v>
      </c>
      <c r="B765" s="13">
        <v>339.03</v>
      </c>
    </row>
    <row r="766" s="6" customFormat="1" spans="1:2">
      <c r="A766" s="12">
        <f>DATE(2012,12,31)-996</f>
        <v>40278</v>
      </c>
      <c r="B766" s="13">
        <v>1098.149</v>
      </c>
    </row>
    <row r="767" s="6" customFormat="1" spans="1:2">
      <c r="A767" s="12">
        <f>DATE(2012,12,31)-282</f>
        <v>40992</v>
      </c>
      <c r="B767" s="13">
        <v>355.69</v>
      </c>
    </row>
    <row r="768" s="6" customFormat="1" spans="1:2">
      <c r="A768" s="12">
        <f>DATE(2012,12,31)-1091</f>
        <v>40183</v>
      </c>
      <c r="B768" s="13">
        <v>49.55</v>
      </c>
    </row>
    <row r="769" s="6" customFormat="1" spans="1:2">
      <c r="A769" s="12">
        <f>DATE(2012,12,31)-1091</f>
        <v>40183</v>
      </c>
      <c r="B769" s="13">
        <v>606.56</v>
      </c>
    </row>
    <row r="770" s="6" customFormat="1" spans="1:2">
      <c r="A770" s="12">
        <f>DATE(2012,12,31)-785</f>
        <v>40489</v>
      </c>
      <c r="B770" s="13">
        <v>129.62</v>
      </c>
    </row>
    <row r="771" s="6" customFormat="1" spans="1:2">
      <c r="A771" s="12">
        <f>DATE(2012,12,31)-1364</f>
        <v>39910</v>
      </c>
      <c r="B771" s="13">
        <v>68.46</v>
      </c>
    </row>
    <row r="772" s="6" customFormat="1" spans="1:2">
      <c r="A772" s="12">
        <f>DATE(2012,12,31)-1364</f>
        <v>39910</v>
      </c>
      <c r="B772" s="13">
        <v>885.23</v>
      </c>
    </row>
    <row r="773" s="6" customFormat="1" spans="1:2">
      <c r="A773" s="12">
        <f>DATE(2012,12,31)-1089</f>
        <v>40185</v>
      </c>
      <c r="B773" s="13">
        <v>116.38</v>
      </c>
    </row>
    <row r="774" s="6" customFormat="1" spans="1:2">
      <c r="A774" s="12">
        <f>DATE(2012,12,31)-1129</f>
        <v>40145</v>
      </c>
      <c r="B774" s="13">
        <v>129.44</v>
      </c>
    </row>
    <row r="775" s="6" customFormat="1" spans="1:2">
      <c r="A775" s="12">
        <f>DATE(2012,12,31)-1129</f>
        <v>40145</v>
      </c>
      <c r="B775" s="13">
        <v>1829.387</v>
      </c>
    </row>
    <row r="776" s="6" customFormat="1" spans="1:2">
      <c r="A776" s="12">
        <f>DATE(2012,12,31)-738</f>
        <v>40536</v>
      </c>
      <c r="B776" s="13">
        <v>1281.28</v>
      </c>
    </row>
    <row r="777" s="6" customFormat="1" spans="1:2">
      <c r="A777" s="12">
        <f>DATE(2012,12,31)-738</f>
        <v>40536</v>
      </c>
      <c r="B777" s="13">
        <v>1940.31</v>
      </c>
    </row>
    <row r="778" s="6" customFormat="1" spans="1:2">
      <c r="A778" s="12">
        <f>DATE(2012,12,31)-738</f>
        <v>40536</v>
      </c>
      <c r="B778" s="13">
        <v>430.848</v>
      </c>
    </row>
    <row r="779" s="6" customFormat="1" spans="1:2">
      <c r="A779" s="12">
        <f>DATE(2012,12,31)-829</f>
        <v>40445</v>
      </c>
      <c r="B779" s="13">
        <v>703.54</v>
      </c>
    </row>
    <row r="780" s="6" customFormat="1" spans="1:2">
      <c r="A780" s="12">
        <f>DATE(2012,12,31)-829</f>
        <v>40445</v>
      </c>
      <c r="B780" s="13">
        <v>65.93</v>
      </c>
    </row>
    <row r="781" s="6" customFormat="1" spans="1:2">
      <c r="A781" s="12">
        <f>DATE(2012,12,31)-829</f>
        <v>40445</v>
      </c>
      <c r="B781" s="13">
        <v>67.3</v>
      </c>
    </row>
    <row r="782" s="6" customFormat="1" spans="1:2">
      <c r="A782" s="12">
        <f>DATE(2012,12,31)-574</f>
        <v>40700</v>
      </c>
      <c r="B782" s="13">
        <v>120.22</v>
      </c>
    </row>
    <row r="783" s="6" customFormat="1" spans="1:2">
      <c r="A783" s="12">
        <f>DATE(2012,12,31)-977</f>
        <v>40297</v>
      </c>
      <c r="B783" s="13">
        <v>118.97</v>
      </c>
    </row>
    <row r="784" s="6" customFormat="1" spans="1:2">
      <c r="A784" s="12">
        <f>DATE(2012,12,31)-1264</f>
        <v>40010</v>
      </c>
      <c r="B784" s="13">
        <v>288.55</v>
      </c>
    </row>
    <row r="785" s="6" customFormat="1" spans="1:2">
      <c r="A785" s="12">
        <f>DATE(2012,12,31)-527</f>
        <v>40747</v>
      </c>
      <c r="B785" s="13">
        <v>254.69</v>
      </c>
    </row>
    <row r="786" s="6" customFormat="1" spans="1:2">
      <c r="A786" s="12">
        <f>DATE(2012,12,31)-361</f>
        <v>40913</v>
      </c>
      <c r="B786" s="13">
        <v>120.53</v>
      </c>
    </row>
    <row r="787" s="6" customFormat="1" spans="1:2">
      <c r="A787" s="12">
        <f>DATE(2012,12,31)-366</f>
        <v>40908</v>
      </c>
      <c r="B787" s="13">
        <v>61.8715</v>
      </c>
    </row>
    <row r="788" s="6" customFormat="1" spans="1:2">
      <c r="A788" s="12">
        <f>DATE(2012,12,31)-138</f>
        <v>41136</v>
      </c>
      <c r="B788" s="13">
        <v>198.78</v>
      </c>
    </row>
    <row r="789" s="6" customFormat="1" spans="1:2">
      <c r="A789" s="12">
        <f>DATE(2012,12,31)-138</f>
        <v>41136</v>
      </c>
      <c r="B789" s="13">
        <v>281.58</v>
      </c>
    </row>
    <row r="790" s="6" customFormat="1" spans="1:2">
      <c r="A790" s="12">
        <f>DATE(2012,12,31)-685</f>
        <v>40589</v>
      </c>
      <c r="B790" s="13">
        <v>138.17</v>
      </c>
    </row>
    <row r="791" s="6" customFormat="1" spans="1:2">
      <c r="A791" s="12">
        <f>DATE(2012,12,31)-1309</f>
        <v>39965</v>
      </c>
      <c r="B791" s="13">
        <v>501.38</v>
      </c>
    </row>
    <row r="792" s="6" customFormat="1" spans="1:2">
      <c r="A792" s="12">
        <f>DATE(2012,12,31)-608</f>
        <v>40666</v>
      </c>
      <c r="B792" s="13">
        <v>2206.17</v>
      </c>
    </row>
    <row r="793" s="6" customFormat="1" spans="1:2">
      <c r="A793" s="12">
        <f>DATE(2012,12,31)-608</f>
        <v>40666</v>
      </c>
      <c r="B793" s="13">
        <v>621.12</v>
      </c>
    </row>
    <row r="794" s="6" customFormat="1" spans="1:2">
      <c r="A794" s="12">
        <f>DATE(2012,12,31)-608</f>
        <v>40666</v>
      </c>
      <c r="B794" s="13">
        <v>175.92</v>
      </c>
    </row>
    <row r="795" spans="1:2">
      <c r="A795" s="14">
        <f>DATE(2012,12,31)-88</f>
        <v>41186</v>
      </c>
      <c r="B795" s="15">
        <v>371.68</v>
      </c>
    </row>
    <row r="796" s="6" customFormat="1" spans="1:2">
      <c r="A796" s="12">
        <f>DATE(2012,12,31)-1321</f>
        <v>39953</v>
      </c>
      <c r="B796" s="13">
        <v>297.05</v>
      </c>
    </row>
    <row r="797" s="6" customFormat="1" spans="1:2">
      <c r="A797" s="12">
        <f>DATE(2012,12,31)-1321</f>
        <v>39953</v>
      </c>
      <c r="B797" s="13">
        <v>108.26</v>
      </c>
    </row>
    <row r="798" s="6" customFormat="1" spans="1:2">
      <c r="A798" s="12">
        <f>DATE(2012,12,31)-155</f>
        <v>41119</v>
      </c>
      <c r="B798" s="13">
        <v>9.25</v>
      </c>
    </row>
    <row r="799" s="6" customFormat="1" spans="1:2">
      <c r="A799" s="12">
        <f>DATE(2012,12,31)-155</f>
        <v>41119</v>
      </c>
      <c r="B799" s="13">
        <v>573.89</v>
      </c>
    </row>
    <row r="800" s="6" customFormat="1" spans="1:2">
      <c r="A800" s="12">
        <f>DATE(2012,12,31)-847</f>
        <v>40427</v>
      </c>
      <c r="B800" s="13">
        <v>2039.39</v>
      </c>
    </row>
    <row r="801" s="6" customFormat="1" spans="1:2">
      <c r="A801" s="12">
        <f>DATE(2012,12,31)-961</f>
        <v>40313</v>
      </c>
      <c r="B801" s="13">
        <v>357.96</v>
      </c>
    </row>
    <row r="802" s="6" customFormat="1" spans="1:2">
      <c r="A802" s="12">
        <f>DATE(2012,12,31)-1117</f>
        <v>40157</v>
      </c>
      <c r="B802" s="13">
        <v>2665.64</v>
      </c>
    </row>
    <row r="803" s="6" customFormat="1" spans="1:2">
      <c r="A803" s="12">
        <f>DATE(2012,12,31)-1317</f>
        <v>39957</v>
      </c>
      <c r="B803" s="13">
        <v>5261.73</v>
      </c>
    </row>
    <row r="804" s="6" customFormat="1" spans="1:2">
      <c r="A804" s="12">
        <f>DATE(2012,12,31)-821</f>
        <v>40453</v>
      </c>
      <c r="B804" s="13">
        <v>193.79</v>
      </c>
    </row>
    <row r="805" s="6" customFormat="1" spans="1:2">
      <c r="A805" s="12">
        <f>DATE(2012,12,31)-1113</f>
        <v>40161</v>
      </c>
      <c r="B805" s="13">
        <v>849.46</v>
      </c>
    </row>
    <row r="806" s="6" customFormat="1" spans="1:2">
      <c r="A806" s="12">
        <f>DATE(2012,12,31)-247</f>
        <v>41027</v>
      </c>
      <c r="B806" s="13">
        <v>163.54</v>
      </c>
    </row>
    <row r="807" s="6" customFormat="1" spans="1:2">
      <c r="A807" s="12">
        <f>DATE(2012,12,31)-247</f>
        <v>41027</v>
      </c>
      <c r="B807" s="13">
        <v>2390.54</v>
      </c>
    </row>
    <row r="808" s="6" customFormat="1" spans="1:2">
      <c r="A808" s="12">
        <f>DATE(2012,12,31)-517</f>
        <v>40757</v>
      </c>
      <c r="B808" s="13">
        <v>9626.86</v>
      </c>
    </row>
    <row r="809" s="6" customFormat="1" spans="1:2">
      <c r="A809" s="12">
        <f>DATE(2012,12,31)-1397</f>
        <v>39877</v>
      </c>
      <c r="B809" s="13">
        <v>6005.21</v>
      </c>
    </row>
    <row r="810" s="6" customFormat="1" spans="1:2">
      <c r="A810" s="12">
        <f>DATE(2012,12,31)-1013</f>
        <v>40261</v>
      </c>
      <c r="B810" s="13">
        <v>2012.14</v>
      </c>
    </row>
    <row r="811" s="6" customFormat="1" spans="1:2">
      <c r="A811" s="12">
        <f>DATE(2012,12,31)-1152</f>
        <v>40122</v>
      </c>
      <c r="B811" s="13">
        <v>10307.01</v>
      </c>
    </row>
    <row r="812" s="6" customFormat="1" spans="1:2">
      <c r="A812" s="12">
        <f>DATE(2012,12,31)-171</f>
        <v>41103</v>
      </c>
      <c r="B812" s="13">
        <v>2531.66</v>
      </c>
    </row>
    <row r="813" s="6" customFormat="1" spans="1:2">
      <c r="A813" s="12">
        <f>DATE(2012,12,31)-171</f>
        <v>41103</v>
      </c>
      <c r="B813" s="13">
        <v>5382.3105</v>
      </c>
    </row>
    <row r="814" s="6" customFormat="1" spans="1:2">
      <c r="A814" s="12">
        <f>DATE(2012,12,31)-316</f>
        <v>40958</v>
      </c>
      <c r="B814" s="13">
        <v>56.73</v>
      </c>
    </row>
    <row r="815" s="6" customFormat="1" spans="1:2">
      <c r="A815" s="12">
        <f>DATE(2012,12,31)-771</f>
        <v>40503</v>
      </c>
      <c r="B815" s="13">
        <v>933.21</v>
      </c>
    </row>
    <row r="816" s="6" customFormat="1" spans="1:2">
      <c r="A816" s="12">
        <f>DATE(2012,12,31)-58</f>
        <v>41216</v>
      </c>
      <c r="B816" s="13">
        <v>813.535</v>
      </c>
    </row>
    <row r="817" s="6" customFormat="1" spans="1:2">
      <c r="A817" s="12">
        <f>DATE(2012,12,31)-3</f>
        <v>41271</v>
      </c>
      <c r="B817" s="13">
        <v>44.45</v>
      </c>
    </row>
    <row r="818" s="6" customFormat="1" spans="1:2">
      <c r="A818" s="12">
        <f>DATE(2012,12,31)-1237</f>
        <v>40037</v>
      </c>
      <c r="B818" s="13">
        <v>384.33</v>
      </c>
    </row>
    <row r="819" s="6" customFormat="1" spans="1:2">
      <c r="A819" s="12">
        <f>DATE(2012,12,31)-1237</f>
        <v>40037</v>
      </c>
      <c r="B819" s="13">
        <v>239.03</v>
      </c>
    </row>
    <row r="820" s="6" customFormat="1" spans="1:2">
      <c r="A820" s="12">
        <f>DATE(2012,12,31)-1138</f>
        <v>40136</v>
      </c>
      <c r="B820" s="13">
        <v>582.59</v>
      </c>
    </row>
    <row r="821" s="6" customFormat="1" spans="1:2">
      <c r="A821" s="12">
        <f>DATE(2012,12,31)-1365</f>
        <v>39909</v>
      </c>
      <c r="B821" s="13">
        <v>384.74</v>
      </c>
    </row>
    <row r="822" s="6" customFormat="1" spans="1:2">
      <c r="A822" s="12">
        <f>DATE(2012,12,31)-415</f>
        <v>40859</v>
      </c>
      <c r="B822" s="13">
        <v>3922.42</v>
      </c>
    </row>
    <row r="823" s="6" customFormat="1" spans="1:2">
      <c r="A823" s="12">
        <f>DATE(2012,12,31)-415</f>
        <v>40859</v>
      </c>
      <c r="B823" s="13">
        <v>1733.3625</v>
      </c>
    </row>
    <row r="824" s="6" customFormat="1" spans="1:2">
      <c r="A824" s="12">
        <f>DATE(2012,12,31)-29</f>
        <v>41245</v>
      </c>
      <c r="B824" s="13">
        <v>18316.3</v>
      </c>
    </row>
    <row r="825" spans="1:2">
      <c r="A825" s="14">
        <f>DATE(2012,12,31)-736</f>
        <v>40538</v>
      </c>
      <c r="B825" s="15">
        <v>68.32</v>
      </c>
    </row>
    <row r="826" s="6" customFormat="1" spans="1:2">
      <c r="A826" s="12">
        <f>DATE(2012,12,31)-736</f>
        <v>40538</v>
      </c>
      <c r="B826" s="13">
        <v>536.38</v>
      </c>
    </row>
    <row r="827" s="6" customFormat="1" spans="1:2">
      <c r="A827" s="12">
        <f>DATE(2012,12,31)-736</f>
        <v>40538</v>
      </c>
      <c r="B827" s="13">
        <v>391.8755</v>
      </c>
    </row>
    <row r="828" s="6" customFormat="1" spans="1:2">
      <c r="A828" s="12">
        <f>DATE(2012,12,31)-473</f>
        <v>40801</v>
      </c>
      <c r="B828" s="13">
        <v>2036.97</v>
      </c>
    </row>
    <row r="829" s="6" customFormat="1" spans="1:2">
      <c r="A829" s="12">
        <f>DATE(2012,12,31)-473</f>
        <v>40801</v>
      </c>
      <c r="B829" s="13">
        <v>2629.664</v>
      </c>
    </row>
    <row r="830" s="6" customFormat="1" spans="1:2">
      <c r="A830" s="12">
        <f>DATE(2012,12,31)-1293</f>
        <v>39981</v>
      </c>
      <c r="B830" s="13">
        <v>394.62</v>
      </c>
    </row>
    <row r="831" s="6" customFormat="1" spans="1:2">
      <c r="A831" s="12">
        <f>DATE(2012,12,31)-1293</f>
        <v>39981</v>
      </c>
      <c r="B831" s="13">
        <v>464.64</v>
      </c>
    </row>
    <row r="832" s="6" customFormat="1" spans="1:2">
      <c r="A832" s="12">
        <f>DATE(2012,12,31)-1293</f>
        <v>39981</v>
      </c>
      <c r="B832" s="13">
        <v>96.68</v>
      </c>
    </row>
    <row r="833" spans="1:2">
      <c r="A833" s="14">
        <f>DATE(2012,12,31)-254</f>
        <v>41020</v>
      </c>
      <c r="B833" s="15">
        <v>5556.18</v>
      </c>
    </row>
    <row r="834" s="6" customFormat="1" spans="1:2">
      <c r="A834" s="12">
        <f>DATE(2012,12,31)-254</f>
        <v>41020</v>
      </c>
      <c r="B834" s="13">
        <v>1021.55</v>
      </c>
    </row>
    <row r="835" s="6" customFormat="1" spans="1:2">
      <c r="A835" s="12">
        <f>DATE(2012,12,31)-254</f>
        <v>41020</v>
      </c>
      <c r="B835" s="13">
        <v>205.24</v>
      </c>
    </row>
    <row r="836" s="6" customFormat="1" spans="1:2">
      <c r="A836" s="12">
        <f>DATE(2012,12,31)-771</f>
        <v>40503</v>
      </c>
      <c r="B836" s="13">
        <v>19109.61</v>
      </c>
    </row>
    <row r="837" s="6" customFormat="1" spans="1:2">
      <c r="A837" s="12">
        <f>DATE(2012,12,31)-444</f>
        <v>40830</v>
      </c>
      <c r="B837" s="13">
        <v>155.48</v>
      </c>
    </row>
    <row r="838" s="6" customFormat="1" spans="1:2">
      <c r="A838" s="12">
        <f>DATE(2012,12,31)-444</f>
        <v>40830</v>
      </c>
      <c r="B838" s="13">
        <v>56.77</v>
      </c>
    </row>
    <row r="839" s="6" customFormat="1" spans="1:2">
      <c r="A839" s="12">
        <f>DATE(2012,12,31)-999</f>
        <v>40275</v>
      </c>
      <c r="B839" s="13">
        <v>63.91</v>
      </c>
    </row>
    <row r="840" s="6" customFormat="1" spans="1:2">
      <c r="A840" s="12">
        <f>DATE(2012,12,31)-346</f>
        <v>40928</v>
      </c>
      <c r="B840" s="13">
        <v>208.28</v>
      </c>
    </row>
    <row r="841" s="6" customFormat="1" spans="1:2">
      <c r="A841" s="12">
        <f>DATE(2012,12,31)-135</f>
        <v>41139</v>
      </c>
      <c r="B841" s="13">
        <v>206.09</v>
      </c>
    </row>
    <row r="842" s="6" customFormat="1" spans="1:2">
      <c r="A842" s="12">
        <f>DATE(2012,12,31)-135</f>
        <v>41139</v>
      </c>
      <c r="B842" s="13">
        <v>124.25</v>
      </c>
    </row>
    <row r="843" s="6" customFormat="1" spans="1:2">
      <c r="A843" s="12">
        <f>DATE(2012,12,31)-1197</f>
        <v>40077</v>
      </c>
      <c r="B843" s="13">
        <v>66.09</v>
      </c>
    </row>
    <row r="844" s="6" customFormat="1" spans="1:2">
      <c r="A844" s="12">
        <f>DATE(2012,12,31)-1009</f>
        <v>40265</v>
      </c>
      <c r="B844" s="13">
        <v>261.94</v>
      </c>
    </row>
    <row r="845" s="6" customFormat="1" spans="1:2">
      <c r="A845" s="12">
        <f>DATE(2012,12,31)-1009</f>
        <v>40265</v>
      </c>
      <c r="B845" s="13">
        <v>9574.82</v>
      </c>
    </row>
    <row r="846" spans="1:2">
      <c r="A846" s="14">
        <f>DATE(2012,12,31)-751</f>
        <v>40523</v>
      </c>
      <c r="B846" s="15">
        <v>16.08</v>
      </c>
    </row>
    <row r="847" s="6" customFormat="1" spans="1:2">
      <c r="A847" s="12">
        <f>DATE(2012,12,31)-480</f>
        <v>40794</v>
      </c>
      <c r="B847" s="13">
        <v>27.32</v>
      </c>
    </row>
    <row r="848" s="6" customFormat="1" spans="1:2">
      <c r="A848" s="12">
        <f>DATE(2012,12,31)-480</f>
        <v>40794</v>
      </c>
      <c r="B848" s="13">
        <v>643.31</v>
      </c>
    </row>
    <row r="849" spans="1:2">
      <c r="A849" s="14">
        <f>DATE(2012,12,31)-466</f>
        <v>40808</v>
      </c>
      <c r="B849" s="15">
        <v>1734.72</v>
      </c>
    </row>
    <row r="850" s="6" customFormat="1" spans="1:2">
      <c r="A850" s="12">
        <f>DATE(2012,12,31)-1226</f>
        <v>40048</v>
      </c>
      <c r="B850" s="13">
        <v>1597.37</v>
      </c>
    </row>
    <row r="851" s="6" customFormat="1" spans="1:2">
      <c r="A851" s="12">
        <f>DATE(2012,12,31)-1226</f>
        <v>40048</v>
      </c>
      <c r="B851" s="13">
        <v>1753.958</v>
      </c>
    </row>
    <row r="852" s="6" customFormat="1" spans="1:2">
      <c r="A852" s="12">
        <f>DATE(2012,12,31)-842</f>
        <v>40432</v>
      </c>
      <c r="B852" s="13">
        <v>409.08</v>
      </c>
    </row>
    <row r="853" s="6" customFormat="1" spans="1:2">
      <c r="A853" s="12">
        <f>DATE(2012,12,31)-1382</f>
        <v>39892</v>
      </c>
      <c r="B853" s="13">
        <v>150.77</v>
      </c>
    </row>
    <row r="854" s="6" customFormat="1" spans="1:2">
      <c r="A854" s="12">
        <f>DATE(2012,12,31)-1382</f>
        <v>39892</v>
      </c>
      <c r="B854" s="13">
        <v>9620.82</v>
      </c>
    </row>
    <row r="855" s="6" customFormat="1" spans="1:2">
      <c r="A855" s="12">
        <f>DATE(2012,12,31)-10</f>
        <v>41264</v>
      </c>
      <c r="B855" s="13">
        <v>157.03</v>
      </c>
    </row>
    <row r="856" s="6" customFormat="1" spans="1:2">
      <c r="A856" s="12">
        <f>DATE(2012,12,31)-1289</f>
        <v>39985</v>
      </c>
      <c r="B856" s="13">
        <v>67.35</v>
      </c>
    </row>
    <row r="857" s="6" customFormat="1" spans="1:2">
      <c r="A857" s="12">
        <f>DATE(2012,12,31)-1289</f>
        <v>39985</v>
      </c>
      <c r="B857" s="13">
        <v>1472.31</v>
      </c>
    </row>
    <row r="858" s="6" customFormat="1" spans="1:2">
      <c r="A858" s="12">
        <f>DATE(2012,12,31)-373</f>
        <v>40901</v>
      </c>
      <c r="B858" s="13">
        <v>510.56</v>
      </c>
    </row>
    <row r="859" s="6" customFormat="1" spans="1:2">
      <c r="A859" s="12">
        <f>DATE(2012,12,31)-373</f>
        <v>40901</v>
      </c>
      <c r="B859" s="13">
        <v>389.52</v>
      </c>
    </row>
    <row r="860" s="6" customFormat="1" spans="1:2">
      <c r="A860" s="12">
        <f>DATE(2012,12,31)-91</f>
        <v>41183</v>
      </c>
      <c r="B860" s="13">
        <v>191.14</v>
      </c>
    </row>
    <row r="861" s="6" customFormat="1" spans="1:2">
      <c r="A861" s="12">
        <f>DATE(2012,12,31)-1308</f>
        <v>39966</v>
      </c>
      <c r="B861" s="13">
        <v>477.53</v>
      </c>
    </row>
    <row r="862" s="6" customFormat="1" spans="1:2">
      <c r="A862" s="12">
        <f>DATE(2012,12,31)-1308</f>
        <v>39966</v>
      </c>
      <c r="B862" s="13">
        <v>2690.7515</v>
      </c>
    </row>
    <row r="863" s="6" customFormat="1" spans="1:2">
      <c r="A863" s="12">
        <f>DATE(2012,12,31)-630</f>
        <v>40644</v>
      </c>
      <c r="B863" s="13">
        <v>2443.342</v>
      </c>
    </row>
    <row r="864" s="6" customFormat="1" spans="1:2">
      <c r="A864" s="12">
        <f>DATE(2012,12,31)-163</f>
        <v>41111</v>
      </c>
      <c r="B864" s="13">
        <v>255.48</v>
      </c>
    </row>
    <row r="865" s="6" customFormat="1" spans="1:2">
      <c r="A865" s="12">
        <f>DATE(2012,12,31)-163</f>
        <v>41111</v>
      </c>
      <c r="B865" s="13">
        <v>130.32</v>
      </c>
    </row>
    <row r="866" spans="1:2">
      <c r="A866" s="14">
        <f>DATE(2012,12,31)-199</f>
        <v>41075</v>
      </c>
      <c r="B866" s="15">
        <v>1991.93</v>
      </c>
    </row>
    <row r="867" spans="1:2">
      <c r="A867" s="14">
        <f>DATE(2012,12,31)-1134</f>
        <v>40140</v>
      </c>
      <c r="B867" s="15">
        <v>67.72</v>
      </c>
    </row>
    <row r="868" spans="1:2">
      <c r="A868" s="14">
        <f>DATE(2012,12,31)-1134</f>
        <v>40140</v>
      </c>
      <c r="B868" s="15">
        <v>68.64</v>
      </c>
    </row>
    <row r="869" s="6" customFormat="1" spans="1:2">
      <c r="A869" s="12">
        <f>DATE(2012,12,31)-1098</f>
        <v>40176</v>
      </c>
      <c r="B869" s="13">
        <v>133.94</v>
      </c>
    </row>
    <row r="870" s="6" customFormat="1" spans="1:2">
      <c r="A870" s="12">
        <f>DATE(2012,12,31)-1098</f>
        <v>40176</v>
      </c>
      <c r="B870" s="13">
        <v>5433.0895</v>
      </c>
    </row>
    <row r="871" s="6" customFormat="1" spans="1:2">
      <c r="A871" s="12">
        <f>DATE(2012,12,31)-1167</f>
        <v>40107</v>
      </c>
      <c r="B871" s="13">
        <v>52.38</v>
      </c>
    </row>
    <row r="872" s="6" customFormat="1" spans="1:2">
      <c r="A872" s="12">
        <f>DATE(2012,12,31)-1038</f>
        <v>40236</v>
      </c>
      <c r="B872" s="13">
        <v>497.4</v>
      </c>
    </row>
    <row r="873" s="6" customFormat="1" spans="1:2">
      <c r="A873" s="12">
        <f>DATE(2012,12,31)-1038</f>
        <v>40236</v>
      </c>
      <c r="B873" s="13">
        <v>4965.384</v>
      </c>
    </row>
    <row r="874" s="6" customFormat="1" spans="1:2">
      <c r="A874" s="12">
        <f>DATE(2012,12,31)-1038</f>
        <v>40236</v>
      </c>
      <c r="B874" s="13">
        <v>358.4195</v>
      </c>
    </row>
    <row r="875" s="6" customFormat="1" spans="1:2">
      <c r="A875" s="12">
        <f>DATE(2012,12,31)-1038</f>
        <v>40236</v>
      </c>
      <c r="B875" s="13">
        <v>3232.68</v>
      </c>
    </row>
    <row r="876" s="6" customFormat="1" spans="1:2">
      <c r="A876" s="12">
        <f>DATE(2012,12,31)-536</f>
        <v>40738</v>
      </c>
      <c r="B876" s="13">
        <v>46.36</v>
      </c>
    </row>
    <row r="877" spans="1:2">
      <c r="A877" s="14">
        <f>DATE(2012,12,31)-1067</f>
        <v>40207</v>
      </c>
      <c r="B877" s="15">
        <v>3283.74</v>
      </c>
    </row>
    <row r="878" s="6" customFormat="1" spans="1:2">
      <c r="A878" s="12">
        <f>DATE(2012,12,31)-508</f>
        <v>40766</v>
      </c>
      <c r="B878" s="13">
        <v>199.11</v>
      </c>
    </row>
    <row r="879" s="6" customFormat="1" spans="1:2">
      <c r="A879" s="12">
        <f>DATE(2012,12,31)-936</f>
        <v>40338</v>
      </c>
      <c r="B879" s="13">
        <v>29.79</v>
      </c>
    </row>
    <row r="880" s="6" customFormat="1" spans="1:2">
      <c r="A880" s="12">
        <f>DATE(2012,12,31)-1338</f>
        <v>39936</v>
      </c>
      <c r="B880" s="13">
        <v>216.95</v>
      </c>
    </row>
    <row r="881" s="6" customFormat="1" spans="1:2">
      <c r="A881" s="12">
        <f>DATE(2012,12,31)-1055</f>
        <v>40219</v>
      </c>
      <c r="B881" s="13">
        <v>1297.4485</v>
      </c>
    </row>
    <row r="882" s="6" customFormat="1" spans="1:2">
      <c r="A882" s="12">
        <f>DATE(2012,12,31)-491</f>
        <v>40783</v>
      </c>
      <c r="B882" s="13">
        <v>320.26</v>
      </c>
    </row>
    <row r="883" s="6" customFormat="1" spans="1:2">
      <c r="A883" s="12">
        <f>DATE(2012,12,31)-488</f>
        <v>40786</v>
      </c>
      <c r="B883" s="13">
        <v>3397.72</v>
      </c>
    </row>
    <row r="884" s="6" customFormat="1" spans="1:2">
      <c r="A884" s="12">
        <f>DATE(2012,12,31)-488</f>
        <v>40786</v>
      </c>
      <c r="B884" s="13">
        <v>449.42</v>
      </c>
    </row>
    <row r="885" s="6" customFormat="1" spans="1:2">
      <c r="A885" s="12">
        <f>DATE(2012,12,31)-20</f>
        <v>41254</v>
      </c>
      <c r="B885" s="13">
        <v>303.69</v>
      </c>
    </row>
    <row r="886" s="6" customFormat="1" spans="1:2">
      <c r="A886" s="12">
        <f>DATE(2012,12,31)-1408</f>
        <v>39866</v>
      </c>
      <c r="B886" s="13">
        <v>19100.45</v>
      </c>
    </row>
    <row r="887" s="6" customFormat="1" spans="1:2">
      <c r="A887" s="12">
        <f>DATE(2012,12,31)-1108</f>
        <v>40166</v>
      </c>
      <c r="B887" s="13">
        <v>14922.16</v>
      </c>
    </row>
    <row r="888" s="6" customFormat="1" spans="1:2">
      <c r="A888" s="12">
        <f>DATE(2012,12,31)-343</f>
        <v>40931</v>
      </c>
      <c r="B888" s="13">
        <v>62.77</v>
      </c>
    </row>
    <row r="889" s="6" customFormat="1" spans="1:2">
      <c r="A889" s="12">
        <f>DATE(2012,12,31)-512</f>
        <v>40762</v>
      </c>
      <c r="B889" s="13">
        <v>857.42</v>
      </c>
    </row>
    <row r="890" s="6" customFormat="1" spans="1:2">
      <c r="A890" s="12">
        <f>DATE(2012,12,31)-512</f>
        <v>40762</v>
      </c>
      <c r="B890" s="13">
        <v>2.24</v>
      </c>
    </row>
    <row r="891" spans="1:2">
      <c r="A891" s="14">
        <f>DATE(2012,12,31)-618</f>
        <v>40656</v>
      </c>
      <c r="B891" s="15">
        <v>373.33</v>
      </c>
    </row>
    <row r="892" spans="1:2">
      <c r="A892" s="14">
        <f>DATE(2012,12,31)-689</f>
        <v>40585</v>
      </c>
      <c r="B892" s="15">
        <v>17874.26</v>
      </c>
    </row>
    <row r="893" s="6" customFormat="1" spans="1:2">
      <c r="A893" s="12">
        <f>DATE(2012,12,31)-1235</f>
        <v>40039</v>
      </c>
      <c r="B893" s="13">
        <v>92.63</v>
      </c>
    </row>
    <row r="894" spans="1:2">
      <c r="A894" s="14">
        <f>DATE(2012,12,31)-417</f>
        <v>40857</v>
      </c>
      <c r="B894" s="15">
        <v>311.08</v>
      </c>
    </row>
    <row r="895" s="6" customFormat="1" spans="1:2">
      <c r="A895" s="12">
        <f>DATE(2012,12,31)-405</f>
        <v>40869</v>
      </c>
      <c r="B895" s="13">
        <v>159.26</v>
      </c>
    </row>
    <row r="896" s="6" customFormat="1" spans="1:2">
      <c r="A896" s="12">
        <f>DATE(2012,12,31)-1303</f>
        <v>39971</v>
      </c>
      <c r="B896" s="13">
        <v>59.58</v>
      </c>
    </row>
    <row r="897" s="6" customFormat="1" spans="1:2">
      <c r="A897" s="12">
        <f>DATE(2012,12,31)-960</f>
        <v>40314</v>
      </c>
      <c r="B897" s="13">
        <v>75.72</v>
      </c>
    </row>
    <row r="898" s="6" customFormat="1" spans="1:2">
      <c r="A898" s="12">
        <f>DATE(2012,12,31)-960</f>
        <v>40314</v>
      </c>
      <c r="B898" s="13">
        <v>225.21</v>
      </c>
    </row>
    <row r="899" s="6" customFormat="1" spans="1:2">
      <c r="A899" s="12">
        <f>DATE(2012,12,31)-1313</f>
        <v>39961</v>
      </c>
      <c r="B899" s="13">
        <v>57.84</v>
      </c>
    </row>
    <row r="900" s="6" customFormat="1" spans="1:2">
      <c r="A900" s="12">
        <f>DATE(2012,12,31)-1313</f>
        <v>39961</v>
      </c>
      <c r="B900" s="13">
        <v>3991.99</v>
      </c>
    </row>
    <row r="901" s="6" customFormat="1" spans="1:2">
      <c r="A901" s="12">
        <f>DATE(2012,12,31)-507</f>
        <v>40767</v>
      </c>
      <c r="B901" s="13">
        <v>240.14</v>
      </c>
    </row>
    <row r="902" s="6" customFormat="1" spans="1:2">
      <c r="A902" s="12">
        <f>DATE(2012,12,31)-1385</f>
        <v>39889</v>
      </c>
      <c r="B902" s="13">
        <v>336.85</v>
      </c>
    </row>
    <row r="903" s="6" customFormat="1" spans="1:2">
      <c r="A903" s="12">
        <f>DATE(2012,12,31)-80</f>
        <v>41194</v>
      </c>
      <c r="B903" s="13">
        <v>448.07</v>
      </c>
    </row>
    <row r="904" s="6" customFormat="1" spans="1:2">
      <c r="A904" s="12">
        <f>DATE(2012,12,31)-80</f>
        <v>41194</v>
      </c>
      <c r="B904" s="13">
        <v>38.29</v>
      </c>
    </row>
    <row r="905" s="6" customFormat="1" spans="1:2">
      <c r="A905" s="12">
        <f>DATE(2012,12,31)-353</f>
        <v>40921</v>
      </c>
      <c r="B905" s="13">
        <v>236.99</v>
      </c>
    </row>
    <row r="906" s="6" customFormat="1" spans="1:2">
      <c r="A906" s="12">
        <f>DATE(2012,12,31)-353</f>
        <v>40921</v>
      </c>
      <c r="B906" s="13">
        <v>4617.336</v>
      </c>
    </row>
    <row r="907" spans="1:2">
      <c r="A907" s="14">
        <f>DATE(2012,12,31)-499</f>
        <v>40775</v>
      </c>
      <c r="B907" s="15">
        <v>116.11</v>
      </c>
    </row>
    <row r="908" spans="1:2">
      <c r="A908" s="14">
        <f>DATE(2012,12,31)-499</f>
        <v>40775</v>
      </c>
      <c r="B908" s="15">
        <v>306.92</v>
      </c>
    </row>
    <row r="909" s="6" customFormat="1" spans="1:2">
      <c r="A909" s="12">
        <f>DATE(2012,12,31)-35</f>
        <v>41239</v>
      </c>
      <c r="B909" s="13">
        <v>89.71</v>
      </c>
    </row>
    <row r="910" s="6" customFormat="1" spans="1:2">
      <c r="A910" s="12">
        <f>DATE(2012,12,31)-898</f>
        <v>40376</v>
      </c>
      <c r="B910" s="13">
        <v>188.23</v>
      </c>
    </row>
    <row r="911" s="6" customFormat="1" spans="1:2">
      <c r="A911" s="12">
        <f>DATE(2012,12,31)-898</f>
        <v>40376</v>
      </c>
      <c r="B911" s="13">
        <v>541.95</v>
      </c>
    </row>
    <row r="912" s="6" customFormat="1" spans="1:2">
      <c r="A912" s="12">
        <f>DATE(2012,12,31)-202</f>
        <v>41072</v>
      </c>
      <c r="B912" s="13">
        <v>312.36</v>
      </c>
    </row>
    <row r="913" s="6" customFormat="1" spans="1:2">
      <c r="A913" s="12">
        <f>DATE(2012,12,31)-727</f>
        <v>40547</v>
      </c>
      <c r="B913" s="13">
        <v>169.18</v>
      </c>
    </row>
    <row r="914" s="6" customFormat="1" spans="1:2">
      <c r="A914" s="12">
        <f>DATE(2012,12,31)-727</f>
        <v>40547</v>
      </c>
      <c r="B914" s="13">
        <v>8252.392</v>
      </c>
    </row>
    <row r="915" s="6" customFormat="1" spans="1:2">
      <c r="A915" s="12">
        <f>DATE(2012,12,31)-1107</f>
        <v>40167</v>
      </c>
      <c r="B915" s="13">
        <v>17274.87</v>
      </c>
    </row>
    <row r="916" s="6" customFormat="1" spans="1:2">
      <c r="A916" s="12">
        <f>DATE(2012,12,31)-710</f>
        <v>40564</v>
      </c>
      <c r="B916" s="13">
        <v>448.23</v>
      </c>
    </row>
    <row r="917" s="6" customFormat="1" spans="1:2">
      <c r="A917" s="12">
        <f>DATE(2012,12,31)-590</f>
        <v>40684</v>
      </c>
      <c r="B917" s="13">
        <v>748.83</v>
      </c>
    </row>
    <row r="918" s="6" customFormat="1" spans="1:2">
      <c r="A918" s="12">
        <f>DATE(2012,12,31)-1126</f>
        <v>40148</v>
      </c>
      <c r="B918" s="13">
        <v>194.29</v>
      </c>
    </row>
    <row r="919" s="6" customFormat="1" spans="1:2">
      <c r="A919" s="12">
        <f>DATE(2012,12,31)-1126</f>
        <v>40148</v>
      </c>
      <c r="B919" s="13">
        <v>1621.1</v>
      </c>
    </row>
    <row r="920" s="6" customFormat="1" spans="1:2">
      <c r="A920" s="12">
        <f>DATE(2012,12,31)-529</f>
        <v>40745</v>
      </c>
      <c r="B920" s="13">
        <v>18028.07</v>
      </c>
    </row>
    <row r="921" s="6" customFormat="1" spans="1:2">
      <c r="A921" s="12">
        <f>DATE(2012,12,31)-869</f>
        <v>40405</v>
      </c>
      <c r="B921" s="13">
        <v>21062.91</v>
      </c>
    </row>
    <row r="922" spans="1:2">
      <c r="A922" s="14">
        <f>DATE(2012,12,31)-1326</f>
        <v>39948</v>
      </c>
      <c r="B922" s="15">
        <v>1802</v>
      </c>
    </row>
    <row r="923" spans="1:2">
      <c r="A923" s="14">
        <f>DATE(2012,12,31)-1326</f>
        <v>39948</v>
      </c>
      <c r="B923" s="15">
        <v>1832.22</v>
      </c>
    </row>
    <row r="924" s="6" customFormat="1" spans="1:2">
      <c r="A924" s="12">
        <f>DATE(2012,12,31)-990</f>
        <v>40284</v>
      </c>
      <c r="B924" s="13">
        <v>19224.92</v>
      </c>
    </row>
    <row r="925" s="6" customFormat="1" spans="1:2">
      <c r="A925" s="12">
        <f>DATE(2012,12,31)-990</f>
        <v>40284</v>
      </c>
      <c r="B925" s="13">
        <v>778.62</v>
      </c>
    </row>
    <row r="926" s="6" customFormat="1" spans="1:2">
      <c r="A926" s="12">
        <f>DATE(2012,12,31)-221</f>
        <v>41053</v>
      </c>
      <c r="B926" s="13">
        <v>40.85</v>
      </c>
    </row>
    <row r="927" s="6" customFormat="1" spans="1:2">
      <c r="A927" s="12">
        <f>DATE(2012,12,31)-187</f>
        <v>41087</v>
      </c>
      <c r="B927" s="13">
        <v>295.24</v>
      </c>
    </row>
    <row r="928" spans="1:2">
      <c r="A928" s="14">
        <f>DATE(2012,12,31)-844</f>
        <v>40430</v>
      </c>
      <c r="B928" s="15">
        <v>164.62</v>
      </c>
    </row>
    <row r="929" s="6" customFormat="1" spans="1:2">
      <c r="A929" s="12">
        <f>DATE(2012,12,31)-844</f>
        <v>40430</v>
      </c>
      <c r="B929" s="13">
        <v>4225.77</v>
      </c>
    </row>
    <row r="930" spans="1:2">
      <c r="A930" s="14">
        <f>DATE(2012,12,31)-844</f>
        <v>40430</v>
      </c>
      <c r="B930" s="15">
        <v>53.89</v>
      </c>
    </row>
    <row r="931" s="6" customFormat="1" spans="1:2">
      <c r="A931" s="12">
        <f>DATE(2012,12,31)-1220</f>
        <v>40054</v>
      </c>
      <c r="B931" s="13">
        <v>33.43</v>
      </c>
    </row>
    <row r="932" s="6" customFormat="1" spans="1:2">
      <c r="A932" s="12">
        <f>DATE(2012,12,31)-827</f>
        <v>40447</v>
      </c>
      <c r="B932" s="13">
        <v>53.14</v>
      </c>
    </row>
    <row r="933" s="6" customFormat="1" spans="1:2">
      <c r="A933" s="12">
        <f>DATE(2012,12,31)-508</f>
        <v>40766</v>
      </c>
      <c r="B933" s="13">
        <v>2388.636</v>
      </c>
    </row>
    <row r="934" s="6" customFormat="1" spans="1:2">
      <c r="A934" s="12">
        <f>DATE(2012,12,31)-610</f>
        <v>40664</v>
      </c>
      <c r="B934" s="13">
        <v>156.47</v>
      </c>
    </row>
    <row r="935" s="6" customFormat="1" spans="1:2">
      <c r="A935" s="12">
        <f>DATE(2012,12,31)-334</f>
        <v>40940</v>
      </c>
      <c r="B935" s="13">
        <v>869.78</v>
      </c>
    </row>
    <row r="936" s="6" customFormat="1" spans="1:2">
      <c r="A936" s="12">
        <f>DATE(2012,12,31)-334</f>
        <v>40940</v>
      </c>
      <c r="B936" s="13">
        <v>2503.008</v>
      </c>
    </row>
    <row r="937" s="6" customFormat="1" spans="1:2">
      <c r="A937" s="12">
        <f>DATE(2012,12,31)-239</f>
        <v>41035</v>
      </c>
      <c r="B937" s="13">
        <v>181.32</v>
      </c>
    </row>
    <row r="938" s="6" customFormat="1" spans="1:2">
      <c r="A938" s="12">
        <f>DATE(2012,12,31)-515</f>
        <v>40759</v>
      </c>
      <c r="B938" s="13">
        <v>127.84</v>
      </c>
    </row>
    <row r="939" s="6" customFormat="1" spans="1:2">
      <c r="A939" s="12">
        <f>DATE(2012,12,31)-515</f>
        <v>40759</v>
      </c>
      <c r="B939" s="13">
        <v>11.15</v>
      </c>
    </row>
    <row r="940" s="6" customFormat="1" spans="1:2">
      <c r="A940" s="12">
        <f>DATE(2012,12,31)-699</f>
        <v>40575</v>
      </c>
      <c r="B940" s="13">
        <v>730.33</v>
      </c>
    </row>
    <row r="941" s="6" customFormat="1" spans="1:2">
      <c r="A941" s="12">
        <f>DATE(2012,12,31)-1259</f>
        <v>40015</v>
      </c>
      <c r="B941" s="13">
        <v>1262.72</v>
      </c>
    </row>
    <row r="942" s="6" customFormat="1" spans="1:2">
      <c r="A942" s="12">
        <f>DATE(2012,12,31)-1259</f>
        <v>40015</v>
      </c>
      <c r="B942" s="13">
        <v>524.19</v>
      </c>
    </row>
    <row r="943" s="6" customFormat="1" spans="1:2">
      <c r="A943" s="12">
        <f>DATE(2012,12,31)-840</f>
        <v>40434</v>
      </c>
      <c r="B943" s="13">
        <v>116.84</v>
      </c>
    </row>
    <row r="944" s="6" customFormat="1" spans="1:2">
      <c r="A944" s="12">
        <f>DATE(2012,12,31)-1054</f>
        <v>40220</v>
      </c>
      <c r="B944" s="13">
        <v>81.56</v>
      </c>
    </row>
    <row r="945" s="6" customFormat="1" spans="1:2">
      <c r="A945" s="12">
        <f>DATE(2012,12,31)-1054</f>
        <v>40220</v>
      </c>
      <c r="B945" s="13">
        <v>2088.5</v>
      </c>
    </row>
    <row r="946" s="6" customFormat="1" spans="1:2">
      <c r="A946" s="12">
        <f>DATE(2012,12,31)-1054</f>
        <v>40220</v>
      </c>
      <c r="B946" s="13">
        <v>2126.72</v>
      </c>
    </row>
    <row r="947" s="6" customFormat="1" spans="1:2">
      <c r="A947" s="12">
        <f>DATE(2012,12,31)-1054</f>
        <v>40220</v>
      </c>
      <c r="B947" s="13">
        <v>3753.72</v>
      </c>
    </row>
    <row r="948" s="6" customFormat="1" spans="1:2">
      <c r="A948" s="12">
        <f>DATE(2012,12,31)-1455</f>
        <v>39819</v>
      </c>
      <c r="B948" s="13">
        <v>22.13</v>
      </c>
    </row>
    <row r="949" s="6" customFormat="1" spans="1:2">
      <c r="A949" s="12">
        <f>DATE(2012,12,31)-1455</f>
        <v>39819</v>
      </c>
      <c r="B949" s="13">
        <v>129.84</v>
      </c>
    </row>
    <row r="950" s="6" customFormat="1" spans="1:2">
      <c r="A950" s="12">
        <f>DATE(2012,12,31)-1316</f>
        <v>39958</v>
      </c>
      <c r="B950" s="13">
        <v>235.49</v>
      </c>
    </row>
    <row r="951" s="6" customFormat="1" spans="1:2">
      <c r="A951" s="12">
        <f>DATE(2012,12,31)-1446</f>
        <v>39828</v>
      </c>
      <c r="B951" s="13">
        <v>217</v>
      </c>
    </row>
    <row r="952" s="6" customFormat="1" spans="1:2">
      <c r="A952" s="12">
        <f>DATE(2012,12,31)-1446</f>
        <v>39828</v>
      </c>
      <c r="B952" s="13">
        <v>296.13</v>
      </c>
    </row>
    <row r="953" s="6" customFormat="1" spans="1:2">
      <c r="A953" s="12">
        <f>DATE(2012,12,31)-195</f>
        <v>41079</v>
      </c>
      <c r="B953" s="13">
        <v>481.27</v>
      </c>
    </row>
    <row r="954" s="6" customFormat="1" spans="1:2">
      <c r="A954" s="12">
        <f>DATE(2012,12,31)-195</f>
        <v>41079</v>
      </c>
      <c r="B954" s="13">
        <v>879.54</v>
      </c>
    </row>
    <row r="955" s="6" customFormat="1" spans="1:2">
      <c r="A955" s="12">
        <f>DATE(2012,12,31)-347</f>
        <v>40927</v>
      </c>
      <c r="B955" s="13">
        <v>8177.07</v>
      </c>
    </row>
    <row r="956" spans="1:2">
      <c r="A956" s="14">
        <f>DATE(2012,12,31)-387</f>
        <v>40887</v>
      </c>
      <c r="B956" s="15">
        <v>294.52</v>
      </c>
    </row>
    <row r="957" s="6" customFormat="1" spans="1:2">
      <c r="A957" s="12">
        <f>DATE(2012,12,31)-941</f>
        <v>40333</v>
      </c>
      <c r="B957" s="13">
        <v>436.17</v>
      </c>
    </row>
    <row r="958" s="6" customFormat="1" spans="1:2">
      <c r="A958" s="12">
        <f>DATE(2012,12,31)-549</f>
        <v>40725</v>
      </c>
      <c r="B958" s="13">
        <v>1559.5</v>
      </c>
    </row>
    <row r="959" s="6" customFormat="1" spans="1:2">
      <c r="A959" s="12">
        <f>DATE(2012,12,31)-531</f>
        <v>40743</v>
      </c>
      <c r="B959" s="13">
        <v>520.49</v>
      </c>
    </row>
    <row r="960" s="6" customFormat="1" spans="1:2">
      <c r="A960" s="12">
        <f>DATE(2012,12,31)-753</f>
        <v>40521</v>
      </c>
      <c r="B960" s="13">
        <v>1143.88</v>
      </c>
    </row>
    <row r="961" s="6" customFormat="1" spans="1:2">
      <c r="A961" s="12">
        <f>DATE(2012,12,31)-280</f>
        <v>40994</v>
      </c>
      <c r="B961" s="13">
        <v>187.3995</v>
      </c>
    </row>
    <row r="962" s="6" customFormat="1" spans="1:2">
      <c r="A962" s="12">
        <f>DATE(2012,12,31)-753</f>
        <v>40521</v>
      </c>
      <c r="B962" s="13">
        <v>371.95</v>
      </c>
    </row>
    <row r="963" s="6" customFormat="1" spans="1:2">
      <c r="A963" s="12">
        <f>DATE(2012,12,31)-1403</f>
        <v>39871</v>
      </c>
      <c r="B963" s="13">
        <v>334.89</v>
      </c>
    </row>
    <row r="964" s="6" customFormat="1" spans="1:2">
      <c r="A964" s="12">
        <f>DATE(2012,12,31)-1047</f>
        <v>40227</v>
      </c>
      <c r="B964" s="13">
        <v>136.29</v>
      </c>
    </row>
    <row r="965" s="6" customFormat="1" spans="1:2">
      <c r="A965" s="12">
        <f>DATE(2012,12,31)-411</f>
        <v>40863</v>
      </c>
      <c r="B965" s="13">
        <v>1311.25</v>
      </c>
    </row>
    <row r="966" s="6" customFormat="1" spans="1:2">
      <c r="A966" s="12">
        <f>DATE(2012,12,31)-411</f>
        <v>40863</v>
      </c>
      <c r="B966" s="13">
        <v>544.41</v>
      </c>
    </row>
    <row r="967" s="6" customFormat="1" spans="1:2">
      <c r="A967" s="12">
        <f>DATE(2012,12,31)-411</f>
        <v>40863</v>
      </c>
      <c r="B967" s="13">
        <v>844.09</v>
      </c>
    </row>
    <row r="968" s="6" customFormat="1" spans="1:2">
      <c r="A968" s="12">
        <f>DATE(2012,12,31)-811</f>
        <v>40463</v>
      </c>
      <c r="B968" s="13">
        <v>1880.8</v>
      </c>
    </row>
    <row r="969" s="6" customFormat="1" spans="1:2">
      <c r="A969" s="12">
        <f>DATE(2012,12,31)-811</f>
        <v>40463</v>
      </c>
      <c r="B969" s="13">
        <v>7143.927</v>
      </c>
    </row>
    <row r="970" s="6" customFormat="1" spans="1:2">
      <c r="A970" s="12">
        <f>DATE(2012,12,31)-358</f>
        <v>40916</v>
      </c>
      <c r="B970" s="13">
        <v>1187.864</v>
      </c>
    </row>
    <row r="971" s="6" customFormat="1" spans="1:2">
      <c r="A971" s="12">
        <f>DATE(2012,12,31)-1436</f>
        <v>39838</v>
      </c>
      <c r="B971" s="13">
        <v>11.08</v>
      </c>
    </row>
    <row r="972" spans="1:2">
      <c r="A972" s="14">
        <f>DATE(2012,12,31)-331</f>
        <v>40943</v>
      </c>
      <c r="B972" s="15">
        <v>258.61</v>
      </c>
    </row>
    <row r="973" spans="1:2">
      <c r="A973" s="14">
        <f>DATE(2012,12,31)-448</f>
        <v>40826</v>
      </c>
      <c r="B973" s="15">
        <v>241.89</v>
      </c>
    </row>
    <row r="974" spans="1:2">
      <c r="A974" s="14">
        <f>DATE(2012,12,31)-448</f>
        <v>40826</v>
      </c>
      <c r="B974" s="15">
        <v>83.34</v>
      </c>
    </row>
    <row r="975" s="6" customFormat="1" spans="1:2">
      <c r="A975" s="12">
        <f>DATE(2012,12,31)-376</f>
        <v>40898</v>
      </c>
      <c r="B975" s="13">
        <v>304.52</v>
      </c>
    </row>
    <row r="976" s="6" customFormat="1" spans="1:2">
      <c r="A976" s="12">
        <f>DATE(2012,12,31)-995</f>
        <v>40279</v>
      </c>
      <c r="B976" s="13">
        <v>112.12</v>
      </c>
    </row>
    <row r="977" s="6" customFormat="1" spans="1:2">
      <c r="A977" s="12">
        <f>DATE(2012,12,31)-995</f>
        <v>40279</v>
      </c>
      <c r="B977" s="13">
        <v>49.58</v>
      </c>
    </row>
    <row r="978" s="6" customFormat="1" spans="1:2">
      <c r="A978" s="12">
        <f>DATE(2012,12,31)-995</f>
        <v>40279</v>
      </c>
      <c r="B978" s="13">
        <v>1939.65</v>
      </c>
    </row>
    <row r="979" s="6" customFormat="1" spans="1:2">
      <c r="A979" s="12">
        <f>DATE(2012,12,31)-995</f>
        <v>40279</v>
      </c>
      <c r="B979" s="13">
        <v>465.52</v>
      </c>
    </row>
    <row r="980" s="6" customFormat="1" spans="1:2">
      <c r="A980" s="12">
        <f>DATE(2012,12,31)-1057</f>
        <v>40217</v>
      </c>
      <c r="B980" s="13">
        <v>12296.49</v>
      </c>
    </row>
    <row r="981" s="6" customFormat="1" spans="1:2">
      <c r="A981" s="12">
        <f>DATE(2012,12,31)-1057</f>
        <v>40217</v>
      </c>
      <c r="B981" s="13">
        <v>128.13</v>
      </c>
    </row>
    <row r="982" s="6" customFormat="1" spans="1:2">
      <c r="A982" s="12">
        <f>DATE(2012,12,31)-924</f>
        <v>40350</v>
      </c>
      <c r="B982" s="13">
        <v>77.19</v>
      </c>
    </row>
    <row r="983" s="6" customFormat="1" spans="1:2">
      <c r="A983" s="12">
        <f>DATE(2012,12,31)-235</f>
        <v>41039</v>
      </c>
      <c r="B983" s="13">
        <v>118.98</v>
      </c>
    </row>
    <row r="984" s="6" customFormat="1" spans="1:2">
      <c r="A984" s="12">
        <f>DATE(2012,12,31)-235</f>
        <v>41039</v>
      </c>
      <c r="B984" s="13">
        <v>4910.09</v>
      </c>
    </row>
    <row r="985" s="6" customFormat="1" spans="1:2">
      <c r="A985" s="12">
        <f>DATE(2012,12,31)-235</f>
        <v>41039</v>
      </c>
      <c r="B985" s="13">
        <v>1058.45</v>
      </c>
    </row>
    <row r="986" s="6" customFormat="1" spans="1:2">
      <c r="A986" s="12">
        <f>DATE(2012,12,31)-362</f>
        <v>40912</v>
      </c>
      <c r="B986" s="13">
        <v>172.04</v>
      </c>
    </row>
    <row r="987" s="6" customFormat="1" spans="1:2">
      <c r="A987" s="12">
        <f>DATE(2012,12,31)-362</f>
        <v>40912</v>
      </c>
      <c r="B987" s="13">
        <v>113.14</v>
      </c>
    </row>
    <row r="988" s="6" customFormat="1" spans="1:2">
      <c r="A988" s="12">
        <f>DATE(2012,12,31)-362</f>
        <v>40912</v>
      </c>
      <c r="B988" s="13">
        <v>1724.82</v>
      </c>
    </row>
    <row r="989" s="6" customFormat="1" spans="1:2">
      <c r="A989" s="12">
        <f>DATE(2012,12,31)-512</f>
        <v>40762</v>
      </c>
      <c r="B989" s="13">
        <v>6396.2</v>
      </c>
    </row>
    <row r="990" s="6" customFormat="1" spans="1:2">
      <c r="A990" s="12">
        <f>DATE(2012,12,31)-1380</f>
        <v>39894</v>
      </c>
      <c r="B990" s="13">
        <v>642.9</v>
      </c>
    </row>
    <row r="991" s="6" customFormat="1" spans="1:2">
      <c r="A991" s="12">
        <f>DATE(2012,12,31)-1380</f>
        <v>39894</v>
      </c>
      <c r="B991" s="13">
        <v>47.28</v>
      </c>
    </row>
    <row r="992" s="6" customFormat="1" spans="1:2">
      <c r="A992" s="12">
        <f>DATE(2012,12,31)-529</f>
        <v>40745</v>
      </c>
      <c r="B992" s="13">
        <v>132.86</v>
      </c>
    </row>
    <row r="993" s="6" customFormat="1" spans="1:2">
      <c r="A993" s="12">
        <f>DATE(2012,12,31)-1011</f>
        <v>40263</v>
      </c>
      <c r="B993" s="13">
        <v>446.72</v>
      </c>
    </row>
    <row r="994" s="6" customFormat="1" spans="1:2">
      <c r="A994" s="12">
        <f>DATE(2012,12,31)-1011</f>
        <v>40263</v>
      </c>
      <c r="B994" s="13">
        <v>1580.6005</v>
      </c>
    </row>
    <row r="995" s="6" customFormat="1" spans="1:2">
      <c r="A995" s="12">
        <f>DATE(2012,12,31)-687</f>
        <v>40587</v>
      </c>
      <c r="B995" s="13">
        <v>1703.8505</v>
      </c>
    </row>
    <row r="996" s="6" customFormat="1" spans="1:2">
      <c r="A996" s="12">
        <f>DATE(2012,12,31)-687</f>
        <v>40587</v>
      </c>
      <c r="B996" s="13">
        <v>303.1865</v>
      </c>
    </row>
    <row r="997" s="6" customFormat="1" spans="1:2">
      <c r="A997" s="12">
        <f>DATE(2012,12,31)-296</f>
        <v>40978</v>
      </c>
      <c r="B997" s="13">
        <v>141.92</v>
      </c>
    </row>
    <row r="998" s="6" customFormat="1" spans="1:2">
      <c r="A998" s="12">
        <f>DATE(2012,12,31)-1058</f>
        <v>40216</v>
      </c>
      <c r="B998" s="13">
        <v>748.25</v>
      </c>
    </row>
    <row r="999" s="6" customFormat="1" spans="1:2">
      <c r="A999" s="12">
        <f>DATE(2012,12,31)-1453</f>
        <v>39821</v>
      </c>
      <c r="B999" s="13">
        <v>21752.01</v>
      </c>
    </row>
    <row r="1000" spans="1:2">
      <c r="A1000" s="14">
        <f>DATE(2012,12,31)-551</f>
        <v>40723</v>
      </c>
      <c r="B1000" s="15">
        <v>6206.16</v>
      </c>
    </row>
    <row r="1001" spans="1:2">
      <c r="A1001" s="14">
        <f>DATE(2012,12,31)-125</f>
        <v>41149</v>
      </c>
      <c r="B1001" s="15">
        <v>262.32</v>
      </c>
    </row>
    <row r="1002" s="6" customFormat="1" spans="1:2">
      <c r="A1002" s="12">
        <f>DATE(2012,12,31)-1204</f>
        <v>40070</v>
      </c>
      <c r="B1002" s="13">
        <v>1707.99</v>
      </c>
    </row>
    <row r="1003" s="6" customFormat="1" spans="1:2">
      <c r="A1003" s="12">
        <f>DATE(2012,12,31)-1204</f>
        <v>40070</v>
      </c>
      <c r="B1003" s="13">
        <v>936.95</v>
      </c>
    </row>
    <row r="1004" s="6" customFormat="1" spans="1:2">
      <c r="A1004" s="12">
        <f>DATE(2012,12,31)-1204</f>
        <v>40070</v>
      </c>
      <c r="B1004" s="13">
        <v>296.84</v>
      </c>
    </row>
    <row r="1005" s="6" customFormat="1" spans="1:2">
      <c r="A1005" s="12">
        <f>DATE(2012,12,31)-1204</f>
        <v>40070</v>
      </c>
      <c r="B1005" s="13">
        <v>1620.94</v>
      </c>
    </row>
    <row r="1006" s="6" customFormat="1" spans="1:2">
      <c r="A1006" s="12">
        <f>DATE(2012,12,31)-734</f>
        <v>40540</v>
      </c>
      <c r="B1006" s="13">
        <v>959.089</v>
      </c>
    </row>
    <row r="1007" s="6" customFormat="1" spans="1:2">
      <c r="A1007" s="12">
        <f>DATE(2012,12,31)-947</f>
        <v>40327</v>
      </c>
      <c r="B1007" s="13">
        <v>3681.7495</v>
      </c>
    </row>
    <row r="1008" s="6" customFormat="1" spans="1:2">
      <c r="A1008" s="12">
        <f>DATE(2012,12,31)-783</f>
        <v>40491</v>
      </c>
      <c r="B1008" s="13">
        <v>875.52</v>
      </c>
    </row>
    <row r="1009" s="6" customFormat="1" spans="1:2">
      <c r="A1009" s="12">
        <f>DATE(2012,12,31)-1333</f>
        <v>39941</v>
      </c>
      <c r="B1009" s="13">
        <v>260.39</v>
      </c>
    </row>
    <row r="1010" s="6" customFormat="1" spans="1:2">
      <c r="A1010" s="12">
        <f>DATE(2012,12,31)-575</f>
        <v>40699</v>
      </c>
      <c r="B1010" s="13">
        <v>269.93</v>
      </c>
    </row>
    <row r="1011" s="6" customFormat="1" spans="1:2">
      <c r="A1011" s="12">
        <f>DATE(2012,12,31)-575</f>
        <v>40699</v>
      </c>
      <c r="B1011" s="13">
        <v>303.62</v>
      </c>
    </row>
    <row r="1012" s="6" customFormat="1" spans="1:2">
      <c r="A1012" s="12">
        <f>DATE(2012,12,31)-1309</f>
        <v>39965</v>
      </c>
      <c r="B1012" s="13">
        <v>55.77</v>
      </c>
    </row>
    <row r="1013" s="6" customFormat="1" spans="1:2">
      <c r="A1013" s="12">
        <f>DATE(2012,12,31)-1309</f>
        <v>39965</v>
      </c>
      <c r="B1013" s="13">
        <v>2181.44</v>
      </c>
    </row>
    <row r="1014" s="6" customFormat="1" spans="1:2">
      <c r="A1014" s="12">
        <f>DATE(2012,12,31)-16</f>
        <v>41258</v>
      </c>
      <c r="B1014" s="13">
        <v>16002.29</v>
      </c>
    </row>
    <row r="1015" s="6" customFormat="1" spans="1:2">
      <c r="A1015" s="12">
        <f>DATE(2012,12,31)-16</f>
        <v>41258</v>
      </c>
      <c r="B1015" s="13">
        <v>182.26</v>
      </c>
    </row>
    <row r="1016" s="6" customFormat="1" spans="1:2">
      <c r="A1016" s="12">
        <f>DATE(2012,12,31)-950</f>
        <v>40324</v>
      </c>
      <c r="B1016" s="13">
        <v>1379.34</v>
      </c>
    </row>
    <row r="1017" s="6" customFormat="1" spans="1:2">
      <c r="A1017" s="12">
        <f>DATE(2012,12,31)-950</f>
        <v>40324</v>
      </c>
      <c r="B1017" s="13">
        <v>168.25</v>
      </c>
    </row>
    <row r="1018" s="6" customFormat="1" spans="1:2">
      <c r="A1018" s="12">
        <f>DATE(2012,12,31)-937</f>
        <v>40337</v>
      </c>
      <c r="B1018" s="13">
        <v>751.77</v>
      </c>
    </row>
    <row r="1019" s="6" customFormat="1" spans="1:2">
      <c r="A1019" s="12">
        <f>DATE(2012,12,31)-1340</f>
        <v>39934</v>
      </c>
      <c r="B1019" s="13">
        <v>78.81</v>
      </c>
    </row>
    <row r="1020" s="6" customFormat="1" spans="1:2">
      <c r="A1020" s="12">
        <f>DATE(2012,12,31)-823</f>
        <v>40451</v>
      </c>
      <c r="B1020" s="13">
        <v>2300.45</v>
      </c>
    </row>
    <row r="1021" s="6" customFormat="1" spans="1:2">
      <c r="A1021" s="12">
        <f>DATE(2012,12,31)-823</f>
        <v>40451</v>
      </c>
      <c r="B1021" s="13">
        <v>548.11</v>
      </c>
    </row>
    <row r="1022" s="6" customFormat="1" spans="1:2">
      <c r="A1022" s="12">
        <f>DATE(2012,12,31)-271</f>
        <v>41003</v>
      </c>
      <c r="B1022" s="13">
        <v>226.81</v>
      </c>
    </row>
    <row r="1023" s="6" customFormat="1" spans="1:2">
      <c r="A1023" s="12">
        <f>DATE(2012,12,31)-271</f>
        <v>41003</v>
      </c>
      <c r="B1023" s="13">
        <v>511.07</v>
      </c>
    </row>
    <row r="1024" s="6" customFormat="1" spans="1:2">
      <c r="A1024" s="12">
        <f>DATE(2012,12,31)-271</f>
        <v>41003</v>
      </c>
      <c r="B1024" s="13">
        <v>337.34</v>
      </c>
    </row>
    <row r="1025" s="6" customFormat="1" spans="1:2">
      <c r="A1025" s="12">
        <f>DATE(2012,12,31)-1449</f>
        <v>39825</v>
      </c>
      <c r="B1025" s="13">
        <v>4080.3</v>
      </c>
    </row>
    <row r="1026" s="6" customFormat="1" spans="1:2">
      <c r="A1026" s="12">
        <f>DATE(2012,12,31)-1449</f>
        <v>39825</v>
      </c>
      <c r="B1026" s="13">
        <v>260.79</v>
      </c>
    </row>
    <row r="1027" s="6" customFormat="1" spans="1:2">
      <c r="A1027" s="12">
        <f>DATE(2012,12,31)-1449</f>
        <v>39825</v>
      </c>
      <c r="B1027" s="13">
        <v>90.35</v>
      </c>
    </row>
    <row r="1028" s="6" customFormat="1" spans="1:2">
      <c r="A1028" s="12">
        <f>DATE(2012,12,31)-680</f>
        <v>40594</v>
      </c>
      <c r="B1028" s="13">
        <v>72.63</v>
      </c>
    </row>
    <row r="1029" s="6" customFormat="1" spans="1:2">
      <c r="A1029" s="12">
        <f>DATE(2012,12,31)-242</f>
        <v>41032</v>
      </c>
      <c r="B1029" s="13">
        <v>26.09</v>
      </c>
    </row>
    <row r="1030" s="6" customFormat="1" spans="1:2">
      <c r="A1030" s="12">
        <f>DATE(2012,12,31)-823</f>
        <v>40451</v>
      </c>
      <c r="B1030" s="13">
        <v>6900.13</v>
      </c>
    </row>
    <row r="1031" s="6" customFormat="1" spans="1:2">
      <c r="A1031" s="12">
        <f>DATE(2012,12,31)-673</f>
        <v>40601</v>
      </c>
      <c r="B1031" s="13">
        <v>1942.1735</v>
      </c>
    </row>
    <row r="1032" s="6" customFormat="1" spans="1:2">
      <c r="A1032" s="12">
        <f>DATE(2012,12,31)-1116</f>
        <v>40158</v>
      </c>
      <c r="B1032" s="13">
        <v>560.39</v>
      </c>
    </row>
    <row r="1033" s="6" customFormat="1" spans="1:2">
      <c r="A1033" s="12">
        <f>DATE(2012,12,31)-1116</f>
        <v>40158</v>
      </c>
      <c r="B1033" s="13">
        <v>7062.616</v>
      </c>
    </row>
    <row r="1034" s="6" customFormat="1" spans="1:2">
      <c r="A1034" s="12">
        <f>DATE(2012,12,31)-112</f>
        <v>41162</v>
      </c>
      <c r="B1034" s="13">
        <v>1406.49</v>
      </c>
    </row>
    <row r="1035" s="6" customFormat="1" spans="1:2">
      <c r="A1035" s="12">
        <f>DATE(2012,12,31)-112</f>
        <v>41162</v>
      </c>
      <c r="B1035" s="13">
        <v>587.71</v>
      </c>
    </row>
    <row r="1036" s="6" customFormat="1" spans="1:2">
      <c r="A1036" s="12">
        <f>DATE(2012,12,31)-969</f>
        <v>40305</v>
      </c>
      <c r="B1036" s="13">
        <v>1079.19</v>
      </c>
    </row>
    <row r="1037" s="6" customFormat="1" spans="1:2">
      <c r="A1037" s="12">
        <f>DATE(2012,12,31)-969</f>
        <v>40305</v>
      </c>
      <c r="B1037" s="13">
        <v>19.05</v>
      </c>
    </row>
    <row r="1038" s="6" customFormat="1" spans="1:2">
      <c r="A1038" s="12">
        <f>DATE(2012,12,31)-811</f>
        <v>40463</v>
      </c>
      <c r="B1038" s="13">
        <v>90.37</v>
      </c>
    </row>
    <row r="1039" s="6" customFormat="1" spans="1:2">
      <c r="A1039" s="12">
        <f>DATE(2012,12,31)-811</f>
        <v>40463</v>
      </c>
      <c r="B1039" s="13">
        <v>806.05</v>
      </c>
    </row>
    <row r="1040" s="6" customFormat="1" spans="1:2">
      <c r="A1040" s="12">
        <f>DATE(2012,12,31)-592</f>
        <v>40682</v>
      </c>
      <c r="B1040" s="13">
        <v>650.1395</v>
      </c>
    </row>
    <row r="1041" s="6" customFormat="1" spans="1:2">
      <c r="A1041" s="12">
        <f>DATE(2012,12,31)-815</f>
        <v>40459</v>
      </c>
      <c r="B1041" s="13">
        <v>141.77</v>
      </c>
    </row>
    <row r="1042" s="6" customFormat="1" spans="1:2">
      <c r="A1042" s="12">
        <f>DATE(2012,12,31)-1160</f>
        <v>40114</v>
      </c>
      <c r="B1042" s="13">
        <v>5459.32</v>
      </c>
    </row>
    <row r="1043" s="6" customFormat="1" spans="1:2">
      <c r="A1043" s="12">
        <f>DATE(2012,12,31)-1160</f>
        <v>40114</v>
      </c>
      <c r="B1043" s="13">
        <v>1793.42</v>
      </c>
    </row>
    <row r="1044" s="6" customFormat="1" spans="1:2">
      <c r="A1044" s="12">
        <f>DATE(2012,12,31)-1160</f>
        <v>40114</v>
      </c>
      <c r="B1044" s="13">
        <v>3080.07</v>
      </c>
    </row>
    <row r="1045" s="6" customFormat="1" spans="1:2">
      <c r="A1045" s="12">
        <f>DATE(2012,12,31)-308</f>
        <v>40966</v>
      </c>
      <c r="B1045" s="13">
        <v>1425.06</v>
      </c>
    </row>
    <row r="1046" s="6" customFormat="1" spans="1:2">
      <c r="A1046" s="12">
        <f>DATE(2012,12,31)-1055</f>
        <v>40219</v>
      </c>
      <c r="B1046" s="13">
        <v>19.47</v>
      </c>
    </row>
    <row r="1047" s="6" customFormat="1" spans="1:2">
      <c r="A1047" s="12">
        <f>DATE(2012,12,31)-633</f>
        <v>40641</v>
      </c>
      <c r="B1047" s="13">
        <v>1141.37</v>
      </c>
    </row>
    <row r="1048" s="6" customFormat="1" spans="1:2">
      <c r="A1048" s="12">
        <f>DATE(2012,12,31)-1381</f>
        <v>39893</v>
      </c>
      <c r="B1048" s="13">
        <v>522.62</v>
      </c>
    </row>
    <row r="1049" spans="1:2">
      <c r="A1049" s="14">
        <f>DATE(2012,12,31)-1140</f>
        <v>40134</v>
      </c>
      <c r="B1049" s="15">
        <v>4286.55</v>
      </c>
    </row>
    <row r="1050" spans="1:2">
      <c r="A1050" s="14">
        <f>DATE(2012,12,31)-1140</f>
        <v>40134</v>
      </c>
      <c r="B1050" s="15">
        <v>8.34</v>
      </c>
    </row>
    <row r="1051" s="6" customFormat="1" spans="1:2">
      <c r="A1051" s="12">
        <f>DATE(2012,12,31)-757</f>
        <v>40517</v>
      </c>
      <c r="B1051" s="13">
        <v>28.96</v>
      </c>
    </row>
    <row r="1052" s="6" customFormat="1" spans="1:2">
      <c r="A1052" s="12">
        <f>DATE(2012,12,31)-8</f>
        <v>41266</v>
      </c>
      <c r="B1052" s="13">
        <v>4547.9</v>
      </c>
    </row>
    <row r="1053" s="6" customFormat="1" spans="1:2">
      <c r="A1053" s="12">
        <f>DATE(2012,12,31)-1388</f>
        <v>39886</v>
      </c>
      <c r="B1053" s="13">
        <v>7223.59</v>
      </c>
    </row>
    <row r="1054" s="6" customFormat="1" spans="1:2">
      <c r="A1054" s="12">
        <f>DATE(2012,12,31)-1388</f>
        <v>39886</v>
      </c>
      <c r="B1054" s="13">
        <v>934.216</v>
      </c>
    </row>
    <row r="1055" s="6" customFormat="1" spans="1:2">
      <c r="A1055" s="12">
        <f>DATE(2012,12,31)-1278</f>
        <v>39996</v>
      </c>
      <c r="B1055" s="13">
        <v>1205.73</v>
      </c>
    </row>
    <row r="1056" s="6" customFormat="1" spans="1:2">
      <c r="A1056" s="12">
        <f>DATE(2012,12,31)-354</f>
        <v>40920</v>
      </c>
      <c r="B1056" s="13">
        <v>31.35</v>
      </c>
    </row>
    <row r="1057" s="6" customFormat="1" spans="1:2">
      <c r="A1057" s="12">
        <f>DATE(2012,12,31)-621</f>
        <v>40653</v>
      </c>
      <c r="B1057" s="13">
        <v>475.9</v>
      </c>
    </row>
    <row r="1058" s="6" customFormat="1" spans="1:2">
      <c r="A1058" s="12">
        <f>DATE(2012,12,31)-621</f>
        <v>40653</v>
      </c>
      <c r="B1058" s="13">
        <v>3635.63</v>
      </c>
    </row>
    <row r="1059" s="6" customFormat="1" spans="1:2">
      <c r="A1059" s="12">
        <f>DATE(2012,12,31)-1439</f>
        <v>39835</v>
      </c>
      <c r="B1059" s="13">
        <v>187.37</v>
      </c>
    </row>
    <row r="1060" s="6" customFormat="1" spans="1:2">
      <c r="A1060" s="12">
        <f>DATE(2012,12,31)-723</f>
        <v>40551</v>
      </c>
      <c r="B1060" s="13">
        <v>157.56</v>
      </c>
    </row>
    <row r="1061" s="6" customFormat="1" spans="1:2">
      <c r="A1061" s="12">
        <f>DATE(2012,12,31)-225</f>
        <v>41049</v>
      </c>
      <c r="B1061" s="13">
        <v>1002.77</v>
      </c>
    </row>
    <row r="1062" s="6" customFormat="1" spans="1:2">
      <c r="A1062" s="12">
        <f>DATE(2012,12,31)-225</f>
        <v>41049</v>
      </c>
      <c r="B1062" s="13">
        <v>178.14</v>
      </c>
    </row>
    <row r="1063" s="6" customFormat="1" spans="1:2">
      <c r="A1063" s="12">
        <f>DATE(2012,12,31)-1114</f>
        <v>40160</v>
      </c>
      <c r="B1063" s="13">
        <v>118.56</v>
      </c>
    </row>
    <row r="1064" s="6" customFormat="1" spans="1:2">
      <c r="A1064" s="12">
        <f>DATE(2012,12,31)-1114</f>
        <v>40160</v>
      </c>
      <c r="B1064" s="13">
        <v>2145.05</v>
      </c>
    </row>
    <row r="1065" s="6" customFormat="1" spans="1:2">
      <c r="A1065" s="12">
        <f>DATE(2012,12,31)-555</f>
        <v>40719</v>
      </c>
      <c r="B1065" s="13">
        <v>2926.33</v>
      </c>
    </row>
    <row r="1066" s="6" customFormat="1" spans="1:2">
      <c r="A1066" s="12">
        <f>DATE(2012,12,31)-555</f>
        <v>40719</v>
      </c>
      <c r="B1066" s="13">
        <v>40.05</v>
      </c>
    </row>
    <row r="1067" s="6" customFormat="1" spans="1:2">
      <c r="A1067" s="12">
        <f>DATE(2012,12,31)-555</f>
        <v>40719</v>
      </c>
      <c r="B1067" s="13">
        <v>552.87</v>
      </c>
    </row>
    <row r="1068" s="6" customFormat="1" spans="1:2">
      <c r="A1068" s="12">
        <f>DATE(2012,12,31)-555</f>
        <v>40719</v>
      </c>
      <c r="B1068" s="13">
        <v>26.33</v>
      </c>
    </row>
    <row r="1069" s="6" customFormat="1" spans="1:2">
      <c r="A1069" s="12">
        <f>DATE(2012,12,31)-610</f>
        <v>40664</v>
      </c>
      <c r="B1069" s="13">
        <v>3904.12</v>
      </c>
    </row>
    <row r="1070" s="6" customFormat="1" spans="1:2">
      <c r="A1070" s="12">
        <f>DATE(2012,12,31)-610</f>
        <v>40664</v>
      </c>
      <c r="B1070" s="13">
        <v>343.64</v>
      </c>
    </row>
    <row r="1071" s="6" customFormat="1" spans="1:2">
      <c r="A1071" s="12">
        <f>DATE(2012,12,31)-610</f>
        <v>40664</v>
      </c>
      <c r="B1071" s="13">
        <v>256.64</v>
      </c>
    </row>
    <row r="1072" s="6" customFormat="1" spans="1:2">
      <c r="A1072" s="12">
        <f>DATE(2012,12,31)-949</f>
        <v>40325</v>
      </c>
      <c r="B1072" s="13">
        <v>298.3</v>
      </c>
    </row>
    <row r="1073" s="6" customFormat="1" spans="1:2">
      <c r="A1073" s="12">
        <f>DATE(2012,12,31)-1307</f>
        <v>39967</v>
      </c>
      <c r="B1073" s="13">
        <v>11057.6</v>
      </c>
    </row>
    <row r="1074" s="6" customFormat="1" spans="1:2">
      <c r="A1074" s="12">
        <f>DATE(2012,12,31)-1171</f>
        <v>40103</v>
      </c>
      <c r="B1074" s="13">
        <v>1003.06</v>
      </c>
    </row>
    <row r="1075" s="6" customFormat="1" spans="1:2">
      <c r="A1075" s="12">
        <f>DATE(2012,12,31)-1458</f>
        <v>39816</v>
      </c>
      <c r="B1075" s="13">
        <v>122.23</v>
      </c>
    </row>
    <row r="1076" s="6" customFormat="1" spans="1:2">
      <c r="A1076" s="12">
        <f>DATE(2012,12,31)-986</f>
        <v>40288</v>
      </c>
      <c r="B1076" s="13">
        <v>1871.13</v>
      </c>
    </row>
    <row r="1077" spans="1:2">
      <c r="A1077" s="14">
        <f>DATE(2012,12,31)-986</f>
        <v>40288</v>
      </c>
      <c r="B1077" s="15">
        <v>729.57</v>
      </c>
    </row>
    <row r="1078" s="6" customFormat="1" spans="1:2">
      <c r="A1078" s="12">
        <f>DATE(2012,12,31)-1001</f>
        <v>40273</v>
      </c>
      <c r="B1078" s="13">
        <v>2851.17</v>
      </c>
    </row>
    <row r="1079" s="6" customFormat="1" spans="1:2">
      <c r="A1079" s="12">
        <f>DATE(2012,12,31)-1001</f>
        <v>40273</v>
      </c>
      <c r="B1079" s="13">
        <v>183.43</v>
      </c>
    </row>
    <row r="1080" spans="1:2">
      <c r="A1080" s="14">
        <f>DATE(2012,12,31)-1024</f>
        <v>40250</v>
      </c>
      <c r="B1080" s="15">
        <v>334.66</v>
      </c>
    </row>
    <row r="1081" spans="1:2">
      <c r="A1081" s="14">
        <f>DATE(2012,12,31)-1024</f>
        <v>40250</v>
      </c>
      <c r="B1081" s="15">
        <v>139.19</v>
      </c>
    </row>
    <row r="1082" s="6" customFormat="1" spans="1:2">
      <c r="A1082" s="12">
        <f>DATE(2012,12,31)-1024</f>
        <v>40250</v>
      </c>
      <c r="B1082" s="13">
        <v>2026.05</v>
      </c>
    </row>
    <row r="1083" s="6" customFormat="1" spans="1:2">
      <c r="A1083" s="12">
        <f>DATE(2012,12,31)-283</f>
        <v>40991</v>
      </c>
      <c r="B1083" s="13">
        <v>2796.67</v>
      </c>
    </row>
    <row r="1084" s="6" customFormat="1" spans="1:2">
      <c r="A1084" s="12">
        <f>DATE(2012,12,31)-838</f>
        <v>40436</v>
      </c>
      <c r="B1084" s="13">
        <v>1449.21</v>
      </c>
    </row>
    <row r="1085" s="6" customFormat="1" spans="1:2">
      <c r="A1085" s="12">
        <f>DATE(2012,12,31)-834</f>
        <v>40440</v>
      </c>
      <c r="B1085" s="13">
        <v>149.25</v>
      </c>
    </row>
    <row r="1086" s="6" customFormat="1" spans="1:2">
      <c r="A1086" s="12">
        <f>DATE(2012,12,31)-834</f>
        <v>40440</v>
      </c>
      <c r="B1086" s="13">
        <v>10.14</v>
      </c>
    </row>
    <row r="1087" s="6" customFormat="1" spans="1:2">
      <c r="A1087" s="12">
        <f>DATE(2012,12,31)-773</f>
        <v>40501</v>
      </c>
      <c r="B1087" s="13">
        <v>37.7</v>
      </c>
    </row>
    <row r="1088" s="6" customFormat="1" spans="1:2">
      <c r="A1088" s="12">
        <f>DATE(2012,12,31)-773</f>
        <v>40501</v>
      </c>
      <c r="B1088" s="13">
        <v>1059.72</v>
      </c>
    </row>
    <row r="1089" s="6" customFormat="1" spans="1:2">
      <c r="A1089" s="12">
        <f>DATE(2012,12,31)-270</f>
        <v>41004</v>
      </c>
      <c r="B1089" s="13">
        <v>790.63</v>
      </c>
    </row>
    <row r="1090" spans="1:2">
      <c r="A1090" s="14">
        <f>DATE(2012,12,31)-577</f>
        <v>40697</v>
      </c>
      <c r="B1090" s="15">
        <v>197.15</v>
      </c>
    </row>
    <row r="1091" s="6" customFormat="1" spans="1:2">
      <c r="A1091" s="12">
        <f>DATE(2012,12,31)-324</f>
        <v>40950</v>
      </c>
      <c r="B1091" s="13">
        <v>820.5645</v>
      </c>
    </row>
    <row r="1092" s="6" customFormat="1" spans="1:2">
      <c r="A1092" s="12">
        <f>DATE(2012,12,31)-324</f>
        <v>40950</v>
      </c>
      <c r="B1092" s="13">
        <v>3332.06</v>
      </c>
    </row>
    <row r="1093" s="6" customFormat="1" spans="1:2">
      <c r="A1093" s="12">
        <f>DATE(2012,12,31)-251</f>
        <v>41023</v>
      </c>
      <c r="B1093" s="13">
        <v>118.18</v>
      </c>
    </row>
    <row r="1094" s="6" customFormat="1" spans="1:2">
      <c r="A1094" s="12">
        <f>DATE(2012,12,31)-347</f>
        <v>40927</v>
      </c>
      <c r="B1094" s="13">
        <v>354.45</v>
      </c>
    </row>
    <row r="1095" s="6" customFormat="1" spans="1:2">
      <c r="A1095" s="12">
        <f>DATE(2012,12,31)-347</f>
        <v>40927</v>
      </c>
      <c r="B1095" s="13">
        <v>238.43</v>
      </c>
    </row>
    <row r="1096" s="6" customFormat="1" spans="1:2">
      <c r="A1096" s="12">
        <f>DATE(2012,12,31)-347</f>
        <v>40927</v>
      </c>
      <c r="B1096" s="13">
        <v>1606.4</v>
      </c>
    </row>
    <row r="1097" spans="1:2">
      <c r="A1097" s="14">
        <f>DATE(2012,12,31)-305</f>
        <v>40969</v>
      </c>
      <c r="B1097" s="15">
        <v>104.38</v>
      </c>
    </row>
    <row r="1098" s="6" customFormat="1" spans="1:2">
      <c r="A1098" s="12">
        <f>DATE(2012,12,31)-130</f>
        <v>41144</v>
      </c>
      <c r="B1098" s="13">
        <v>1199.7</v>
      </c>
    </row>
    <row r="1099" s="6" customFormat="1" spans="1:2">
      <c r="A1099" s="12">
        <f>DATE(2012,12,31)-599</f>
        <v>40675</v>
      </c>
      <c r="B1099" s="13">
        <v>10445.95</v>
      </c>
    </row>
    <row r="1100" s="6" customFormat="1" spans="1:2">
      <c r="A1100" s="12">
        <f>DATE(2012,12,31)-71</f>
        <v>41203</v>
      </c>
      <c r="B1100" s="13">
        <v>1125.76</v>
      </c>
    </row>
    <row r="1101" s="6" customFormat="1" spans="1:2">
      <c r="A1101" s="12">
        <f>DATE(2012,12,31)-338</f>
        <v>40936</v>
      </c>
      <c r="B1101" s="13">
        <v>622.72</v>
      </c>
    </row>
    <row r="1102" s="6" customFormat="1" spans="1:2">
      <c r="A1102" s="12">
        <f>DATE(2012,12,31)-753</f>
        <v>40521</v>
      </c>
      <c r="B1102" s="13">
        <v>7522.8</v>
      </c>
    </row>
    <row r="1103" s="6" customFormat="1" spans="1:2">
      <c r="A1103" s="12">
        <f>DATE(2012,12,31)-1033</f>
        <v>40241</v>
      </c>
      <c r="B1103" s="13">
        <v>3491.71</v>
      </c>
    </row>
    <row r="1104" s="6" customFormat="1" spans="1:2">
      <c r="A1104" s="12">
        <f>DATE(2012,12,31)-1033</f>
        <v>40241</v>
      </c>
      <c r="B1104" s="13">
        <v>485.16</v>
      </c>
    </row>
    <row r="1105" s="6" customFormat="1" spans="1:2">
      <c r="A1105" s="12">
        <f>DATE(2012,12,31)-1155</f>
        <v>40119</v>
      </c>
      <c r="B1105" s="13">
        <v>457.68</v>
      </c>
    </row>
    <row r="1106" s="6" customFormat="1" spans="1:2">
      <c r="A1106" s="12">
        <f>DATE(2012,12,31)-232</f>
        <v>41042</v>
      </c>
      <c r="B1106" s="13">
        <v>66.33</v>
      </c>
    </row>
    <row r="1107" s="6" customFormat="1" spans="1:2">
      <c r="A1107" s="12">
        <f>DATE(2012,12,31)-973</f>
        <v>40301</v>
      </c>
      <c r="B1107" s="13">
        <v>717.29</v>
      </c>
    </row>
    <row r="1108" s="6" customFormat="1" spans="1:2">
      <c r="A1108" s="12">
        <f>DATE(2012,12,31)-1327</f>
        <v>39947</v>
      </c>
      <c r="B1108" s="13">
        <v>229.35</v>
      </c>
    </row>
    <row r="1109" s="6" customFormat="1" spans="1:2">
      <c r="A1109" s="12">
        <f>DATE(2012,12,31)-1327</f>
        <v>39947</v>
      </c>
      <c r="B1109" s="13">
        <v>294.86</v>
      </c>
    </row>
    <row r="1110" spans="1:2">
      <c r="A1110" s="14">
        <f>DATE(2012,12,31)-674</f>
        <v>40600</v>
      </c>
      <c r="B1110" s="15">
        <v>405.53</v>
      </c>
    </row>
    <row r="1111" s="6" customFormat="1" spans="1:2">
      <c r="A1111" s="12">
        <f>DATE(2012,12,31)-554</f>
        <v>40720</v>
      </c>
      <c r="B1111" s="13">
        <v>772.412</v>
      </c>
    </row>
    <row r="1112" s="6" customFormat="1" spans="1:2">
      <c r="A1112" s="12">
        <f>DATE(2012,12,31)-1307</f>
        <v>39967</v>
      </c>
      <c r="B1112" s="13">
        <v>112.72</v>
      </c>
    </row>
    <row r="1113" s="6" customFormat="1" spans="1:2">
      <c r="A1113" s="12">
        <f>DATE(2012,12,31)-1181</f>
        <v>40093</v>
      </c>
      <c r="B1113" s="13">
        <v>670.39</v>
      </c>
    </row>
    <row r="1114" s="6" customFormat="1" spans="1:2">
      <c r="A1114" s="12">
        <f>DATE(2012,12,31)-1181</f>
        <v>40093</v>
      </c>
      <c r="B1114" s="13">
        <v>5618.4</v>
      </c>
    </row>
    <row r="1115" s="6" customFormat="1" spans="1:2">
      <c r="A1115" s="12">
        <f>DATE(2012,12,31)-1181</f>
        <v>40093</v>
      </c>
      <c r="B1115" s="13">
        <v>5450.6</v>
      </c>
    </row>
    <row r="1116" s="6" customFormat="1" spans="1:2">
      <c r="A1116" s="12">
        <f>DATE(2012,12,31)-1173</f>
        <v>40101</v>
      </c>
      <c r="B1116" s="13">
        <v>183.45</v>
      </c>
    </row>
    <row r="1117" s="6" customFormat="1" spans="1:2">
      <c r="A1117" s="12">
        <f>DATE(2012,12,31)-149</f>
        <v>41125</v>
      </c>
      <c r="B1117" s="13">
        <v>30.95</v>
      </c>
    </row>
    <row r="1118" s="6" customFormat="1" spans="1:2">
      <c r="A1118" s="12">
        <f>DATE(2012,12,31)-149</f>
        <v>41125</v>
      </c>
      <c r="B1118" s="13">
        <v>1449.301</v>
      </c>
    </row>
    <row r="1119" s="6" customFormat="1" spans="1:2">
      <c r="A1119" s="12">
        <f>DATE(2012,12,31)-725</f>
        <v>40549</v>
      </c>
      <c r="B1119" s="13">
        <v>51.3</v>
      </c>
    </row>
    <row r="1120" s="6" customFormat="1" spans="1:2">
      <c r="A1120" s="12">
        <f>DATE(2012,12,31)-725</f>
        <v>40549</v>
      </c>
      <c r="B1120" s="13">
        <v>8.48</v>
      </c>
    </row>
    <row r="1121" s="6" customFormat="1" spans="1:2">
      <c r="A1121" s="12">
        <f>DATE(2012,12,31)-725</f>
        <v>40549</v>
      </c>
      <c r="B1121" s="13">
        <v>87.52</v>
      </c>
    </row>
    <row r="1122" spans="1:2">
      <c r="A1122" s="14">
        <f>DATE(2012,12,31)-328</f>
        <v>40946</v>
      </c>
      <c r="B1122" s="15">
        <v>89.77</v>
      </c>
    </row>
    <row r="1123" s="6" customFormat="1" spans="1:2">
      <c r="A1123" s="12">
        <f>DATE(2012,12,31)-1086</f>
        <v>40188</v>
      </c>
      <c r="B1123" s="13">
        <v>162.25</v>
      </c>
    </row>
    <row r="1124" s="6" customFormat="1" spans="1:2">
      <c r="A1124" s="12">
        <f>DATE(2012,12,31)-1120</f>
        <v>40154</v>
      </c>
      <c r="B1124" s="13">
        <v>3565.27</v>
      </c>
    </row>
    <row r="1125" s="6" customFormat="1" spans="1:2">
      <c r="A1125" s="12">
        <f>DATE(2012,12,31)-1120</f>
        <v>40154</v>
      </c>
      <c r="B1125" s="13">
        <v>241.01</v>
      </c>
    </row>
    <row r="1126" s="6" customFormat="1" spans="1:2">
      <c r="A1126" s="12">
        <f>DATE(2012,12,31)-74</f>
        <v>41200</v>
      </c>
      <c r="B1126" s="13">
        <v>79.44</v>
      </c>
    </row>
    <row r="1127" s="6" customFormat="1" spans="1:2">
      <c r="A1127" s="12">
        <f>DATE(2012,12,31)-74</f>
        <v>41200</v>
      </c>
      <c r="B1127" s="13">
        <v>110.03</v>
      </c>
    </row>
    <row r="1128" s="6" customFormat="1" spans="1:2">
      <c r="A1128" s="12">
        <f>DATE(2012,12,31)-1380</f>
        <v>39894</v>
      </c>
      <c r="B1128" s="13">
        <v>7486.09</v>
      </c>
    </row>
    <row r="1129" s="6" customFormat="1" spans="1:2">
      <c r="A1129" s="12">
        <f>DATE(2012,12,31)-1380</f>
        <v>39894</v>
      </c>
      <c r="B1129" s="13">
        <v>881.32</v>
      </c>
    </row>
    <row r="1130" s="6" customFormat="1" spans="1:2">
      <c r="A1130" s="12">
        <f>DATE(2012,12,31)-1380</f>
        <v>39894</v>
      </c>
      <c r="B1130" s="13">
        <v>22.77</v>
      </c>
    </row>
    <row r="1131" s="6" customFormat="1" spans="1:2">
      <c r="A1131" s="12">
        <f>DATE(2012,12,31)-1401</f>
        <v>39873</v>
      </c>
      <c r="B1131" s="13">
        <v>434.77</v>
      </c>
    </row>
    <row r="1132" s="6" customFormat="1" spans="1:2">
      <c r="A1132" s="12">
        <f>DATE(2012,12,31)-1353</f>
        <v>39921</v>
      </c>
      <c r="B1132" s="13">
        <v>2130.22</v>
      </c>
    </row>
    <row r="1133" s="6" customFormat="1" spans="1:2">
      <c r="A1133" s="12">
        <f>DATE(2012,12,31)-602</f>
        <v>40672</v>
      </c>
      <c r="B1133" s="13">
        <v>1337.81</v>
      </c>
    </row>
    <row r="1134" s="6" customFormat="1" spans="1:2">
      <c r="A1134" s="12">
        <f>DATE(2012,12,31)-64</f>
        <v>41210</v>
      </c>
      <c r="B1134" s="13">
        <v>572.74</v>
      </c>
    </row>
    <row r="1135" s="6" customFormat="1" spans="1:2">
      <c r="A1135" s="12">
        <f>DATE(2012,12,31)-1118</f>
        <v>40156</v>
      </c>
      <c r="B1135" s="13">
        <v>209.02</v>
      </c>
    </row>
    <row r="1136" spans="1:2">
      <c r="A1136" s="14">
        <f>DATE(2012,12,31)-1064</f>
        <v>40210</v>
      </c>
      <c r="B1136" s="15">
        <v>299.87</v>
      </c>
    </row>
    <row r="1137" s="6" customFormat="1" spans="1:2">
      <c r="A1137" s="12">
        <f>DATE(2012,12,31)-143</f>
        <v>41131</v>
      </c>
      <c r="B1137" s="13">
        <v>75.03</v>
      </c>
    </row>
    <row r="1138" s="6" customFormat="1" spans="1:2">
      <c r="A1138" s="12">
        <f>DATE(2012,12,31)-143</f>
        <v>41131</v>
      </c>
      <c r="B1138" s="13">
        <v>1497.7595</v>
      </c>
    </row>
    <row r="1139" s="6" customFormat="1" spans="1:2">
      <c r="A1139" s="12">
        <f>DATE(2012,12,31)-194</f>
        <v>41080</v>
      </c>
      <c r="B1139" s="13">
        <v>197.574</v>
      </c>
    </row>
    <row r="1140" s="6" customFormat="1" spans="1:2">
      <c r="A1140" s="12">
        <f>DATE(2012,12,31)-1370</f>
        <v>39904</v>
      </c>
      <c r="B1140" s="13">
        <v>835.1505</v>
      </c>
    </row>
    <row r="1141" s="6" customFormat="1" spans="1:2">
      <c r="A1141" s="12">
        <f>DATE(2012,12,31)-1370</f>
        <v>39904</v>
      </c>
      <c r="B1141" s="13">
        <v>771.834</v>
      </c>
    </row>
    <row r="1142" s="6" customFormat="1" spans="1:2">
      <c r="A1142" s="12">
        <f>DATE(2012,12,31)-1199</f>
        <v>40075</v>
      </c>
      <c r="B1142" s="13">
        <v>150.34</v>
      </c>
    </row>
    <row r="1143" s="6" customFormat="1" spans="1:2">
      <c r="A1143" s="12">
        <f>DATE(2012,12,31)-1199</f>
        <v>40075</v>
      </c>
      <c r="B1143" s="13">
        <v>1142.36</v>
      </c>
    </row>
    <row r="1144" s="6" customFormat="1" spans="1:2">
      <c r="A1144" s="12">
        <f>DATE(2012,12,31)-482</f>
        <v>40792</v>
      </c>
      <c r="B1144" s="13">
        <v>766.9635</v>
      </c>
    </row>
    <row r="1145" s="6" customFormat="1" spans="1:2">
      <c r="A1145" s="12">
        <f>DATE(2012,12,31)-1447</f>
        <v>39827</v>
      </c>
      <c r="B1145" s="13">
        <v>2364.29</v>
      </c>
    </row>
    <row r="1146" s="6" customFormat="1" spans="1:2">
      <c r="A1146" s="12">
        <f>DATE(2012,12,31)-1447</f>
        <v>39827</v>
      </c>
      <c r="B1146" s="13">
        <v>112.57</v>
      </c>
    </row>
    <row r="1147" s="6" customFormat="1" spans="1:2">
      <c r="A1147" s="12">
        <f>DATE(2012,12,31)-1326</f>
        <v>39948</v>
      </c>
      <c r="B1147" s="13">
        <v>286.9</v>
      </c>
    </row>
    <row r="1148" s="6" customFormat="1" spans="1:2">
      <c r="A1148" s="12">
        <f>DATE(2012,12,31)-1326</f>
        <v>39948</v>
      </c>
      <c r="B1148" s="13">
        <v>46.4</v>
      </c>
    </row>
    <row r="1149" s="6" customFormat="1" spans="1:2">
      <c r="A1149" s="12">
        <f>DATE(2012,12,31)-971</f>
        <v>40303</v>
      </c>
      <c r="B1149" s="13">
        <v>4935.72</v>
      </c>
    </row>
    <row r="1150" s="6" customFormat="1" spans="1:2">
      <c r="A1150" s="12">
        <f>DATE(2012,12,31)-1017</f>
        <v>40257</v>
      </c>
      <c r="B1150" s="13">
        <v>1133.96</v>
      </c>
    </row>
    <row r="1151" s="6" customFormat="1" spans="1:2">
      <c r="A1151" s="12">
        <f>DATE(2012,12,31)-312</f>
        <v>40962</v>
      </c>
      <c r="B1151" s="13">
        <v>290.3</v>
      </c>
    </row>
    <row r="1152" s="6" customFormat="1" spans="1:2">
      <c r="A1152" s="12">
        <f>DATE(2012,12,31)-312</f>
        <v>40962</v>
      </c>
      <c r="B1152" s="13">
        <v>434.11</v>
      </c>
    </row>
    <row r="1153" s="6" customFormat="1" spans="1:2">
      <c r="A1153" s="12">
        <f>DATE(2012,12,31)-312</f>
        <v>40962</v>
      </c>
      <c r="B1153" s="13">
        <v>288.9</v>
      </c>
    </row>
    <row r="1154" s="6" customFormat="1" spans="1:2">
      <c r="A1154" s="12">
        <f>DATE(2012,12,31)-254</f>
        <v>41020</v>
      </c>
      <c r="B1154" s="13">
        <v>715.4</v>
      </c>
    </row>
    <row r="1155" s="6" customFormat="1" spans="1:2">
      <c r="A1155" s="12">
        <f>DATE(2012,12,31)-491</f>
        <v>40783</v>
      </c>
      <c r="B1155" s="13">
        <v>1266.72</v>
      </c>
    </row>
    <row r="1156" spans="1:2">
      <c r="A1156" s="14">
        <f>DATE(2012,12,31)-878</f>
        <v>40396</v>
      </c>
      <c r="B1156" s="15">
        <v>22.07</v>
      </c>
    </row>
    <row r="1157" s="6" customFormat="1" spans="1:2">
      <c r="A1157" s="12">
        <f>DATE(2012,12,31)-459</f>
        <v>40815</v>
      </c>
      <c r="B1157" s="13">
        <v>368.04</v>
      </c>
    </row>
    <row r="1158" s="6" customFormat="1" spans="1:2">
      <c r="A1158" s="12">
        <f>DATE(2012,12,31)-459</f>
        <v>40815</v>
      </c>
      <c r="B1158" s="13">
        <v>152.6</v>
      </c>
    </row>
    <row r="1159" s="6" customFormat="1" spans="1:2">
      <c r="A1159" s="12">
        <f>DATE(2012,12,31)-1357</f>
        <v>39917</v>
      </c>
      <c r="B1159" s="13">
        <v>1003.71</v>
      </c>
    </row>
    <row r="1160" s="6" customFormat="1" spans="1:2">
      <c r="A1160" s="12">
        <f>DATE(2012,12,31)-1357</f>
        <v>39917</v>
      </c>
      <c r="B1160" s="13">
        <v>4212.752</v>
      </c>
    </row>
    <row r="1161" s="6" customFormat="1" spans="1:2">
      <c r="A1161" s="12">
        <f>DATE(2012,12,31)-262</f>
        <v>41012</v>
      </c>
      <c r="B1161" s="13">
        <v>1307</v>
      </c>
    </row>
    <row r="1162" s="6" customFormat="1" spans="1:2">
      <c r="A1162" s="12">
        <f>DATE(2012,12,31)-262</f>
        <v>41012</v>
      </c>
      <c r="B1162" s="13">
        <v>41.39</v>
      </c>
    </row>
    <row r="1163" s="6" customFormat="1" spans="1:2">
      <c r="A1163" s="12">
        <f>DATE(2012,12,31)-138</f>
        <v>41136</v>
      </c>
      <c r="B1163" s="13">
        <v>218.77</v>
      </c>
    </row>
    <row r="1164" spans="1:2">
      <c r="A1164" s="14">
        <f>DATE(2012,12,31)-702</f>
        <v>40572</v>
      </c>
      <c r="B1164" s="15">
        <v>76.36</v>
      </c>
    </row>
    <row r="1165" s="6" customFormat="1" spans="1:2">
      <c r="A1165" s="12">
        <f>DATE(2012,12,31)-702</f>
        <v>40572</v>
      </c>
      <c r="B1165" s="13">
        <v>309.9015</v>
      </c>
    </row>
    <row r="1166" s="6" customFormat="1" spans="1:2">
      <c r="A1166" s="12">
        <f>DATE(2012,12,31)-535</f>
        <v>40739</v>
      </c>
      <c r="B1166" s="13">
        <v>163.78</v>
      </c>
    </row>
    <row r="1167" spans="1:2">
      <c r="A1167" s="14">
        <f>DATE(2012,12,31)-535</f>
        <v>40739</v>
      </c>
      <c r="B1167" s="15">
        <v>84.64</v>
      </c>
    </row>
    <row r="1168" s="6" customFormat="1" spans="1:2">
      <c r="A1168" s="12">
        <f>DATE(2012,12,31)-741</f>
        <v>40533</v>
      </c>
      <c r="B1168" s="13">
        <v>729.92</v>
      </c>
    </row>
    <row r="1169" s="6" customFormat="1" spans="1:2">
      <c r="A1169" s="12">
        <f>DATE(2012,12,31)-1293</f>
        <v>39981</v>
      </c>
      <c r="B1169" s="13">
        <v>113.75</v>
      </c>
    </row>
    <row r="1170" s="6" customFormat="1" spans="1:2">
      <c r="A1170" s="12">
        <f>DATE(2012,12,31)-1293</f>
        <v>39981</v>
      </c>
      <c r="B1170" s="13">
        <v>3081.95</v>
      </c>
    </row>
    <row r="1171" s="6" customFormat="1" spans="1:2">
      <c r="A1171" s="12">
        <f>DATE(2012,12,31)-274</f>
        <v>41000</v>
      </c>
      <c r="B1171" s="13">
        <v>51.94</v>
      </c>
    </row>
    <row r="1172" s="6" customFormat="1" spans="1:2">
      <c r="A1172" s="12">
        <f>DATE(2012,12,31)-1251</f>
        <v>40023</v>
      </c>
      <c r="B1172" s="13">
        <v>185.64</v>
      </c>
    </row>
    <row r="1173" s="6" customFormat="1" spans="1:2">
      <c r="A1173" s="12">
        <f>DATE(2012,12,31)-1251</f>
        <v>40023</v>
      </c>
      <c r="B1173" s="13">
        <v>225.98</v>
      </c>
    </row>
    <row r="1174" s="6" customFormat="1" spans="1:2">
      <c r="A1174" s="12">
        <f>DATE(2012,12,31)-1452</f>
        <v>39822</v>
      </c>
      <c r="B1174" s="13">
        <v>541.45</v>
      </c>
    </row>
    <row r="1175" s="6" customFormat="1" spans="1:2">
      <c r="A1175" s="12">
        <f>DATE(2012,12,31)-486</f>
        <v>40788</v>
      </c>
      <c r="B1175" s="13">
        <v>366.87</v>
      </c>
    </row>
    <row r="1176" s="6" customFormat="1" spans="1:2">
      <c r="A1176" s="12">
        <f>DATE(2012,12,31)-650</f>
        <v>40624</v>
      </c>
      <c r="B1176" s="13">
        <v>151.49</v>
      </c>
    </row>
    <row r="1177" s="6" customFormat="1" spans="1:2">
      <c r="A1177" s="12">
        <f>DATE(2012,12,31)-650</f>
        <v>40624</v>
      </c>
      <c r="B1177" s="13">
        <v>308.22</v>
      </c>
    </row>
    <row r="1178" s="6" customFormat="1" spans="1:2">
      <c r="A1178" s="12">
        <f>DATE(2012,12,31)-772</f>
        <v>40502</v>
      </c>
      <c r="B1178" s="13">
        <v>1556.55</v>
      </c>
    </row>
    <row r="1179" s="6" customFormat="1" spans="1:2">
      <c r="A1179" s="12">
        <f>DATE(2012,12,31)-261</f>
        <v>41013</v>
      </c>
      <c r="B1179" s="13">
        <v>72.0035</v>
      </c>
    </row>
    <row r="1180" s="6" customFormat="1" spans="1:2">
      <c r="A1180" s="12">
        <f>DATE(2012,12,31)-1306</f>
        <v>39968</v>
      </c>
      <c r="B1180" s="13">
        <v>1289.127</v>
      </c>
    </row>
    <row r="1181" s="6" customFormat="1" spans="1:2">
      <c r="A1181" s="12">
        <f>DATE(2012,12,31)-1080</f>
        <v>40194</v>
      </c>
      <c r="B1181" s="13">
        <v>151.05</v>
      </c>
    </row>
    <row r="1182" s="6" customFormat="1" spans="1:2">
      <c r="A1182" s="12">
        <f>DATE(2012,12,31)-1080</f>
        <v>40194</v>
      </c>
      <c r="B1182" s="13">
        <v>133.04</v>
      </c>
    </row>
    <row r="1183" s="6" customFormat="1" spans="1:2">
      <c r="A1183" s="12">
        <f>DATE(2012,12,31)-1362</f>
        <v>39912</v>
      </c>
      <c r="B1183" s="13">
        <v>85.85</v>
      </c>
    </row>
    <row r="1184" s="6" customFormat="1" spans="1:2">
      <c r="A1184" s="12">
        <f>DATE(2012,12,31)-1362</f>
        <v>39912</v>
      </c>
      <c r="B1184" s="13">
        <v>14377.78</v>
      </c>
    </row>
    <row r="1185" s="6" customFormat="1" spans="1:2">
      <c r="A1185" s="12">
        <f>DATE(2012,12,31)-1362</f>
        <v>39912</v>
      </c>
      <c r="B1185" s="13">
        <v>994.27</v>
      </c>
    </row>
    <row r="1186" s="6" customFormat="1" spans="1:2">
      <c r="A1186" s="12">
        <f>DATE(2012,12,31)-1362</f>
        <v>39912</v>
      </c>
      <c r="B1186" s="13">
        <v>9558.65</v>
      </c>
    </row>
    <row r="1187" s="6" customFormat="1" spans="1:2">
      <c r="A1187" s="12">
        <f>DATE(2012,12,31)-85</f>
        <v>41189</v>
      </c>
      <c r="B1187" s="13">
        <v>1610.76</v>
      </c>
    </row>
    <row r="1188" s="6" customFormat="1" spans="1:2">
      <c r="A1188" s="12">
        <f>DATE(2012,12,31)-92</f>
        <v>41182</v>
      </c>
      <c r="B1188" s="13">
        <v>937.8</v>
      </c>
    </row>
    <row r="1189" s="6" customFormat="1" spans="1:2">
      <c r="A1189" s="12">
        <f>DATE(2012,12,31)-239</f>
        <v>41035</v>
      </c>
      <c r="B1189" s="13">
        <v>446.06</v>
      </c>
    </row>
    <row r="1190" spans="1:2">
      <c r="A1190" s="14">
        <f>DATE(2012,12,31)-550</f>
        <v>40724</v>
      </c>
      <c r="B1190" s="15">
        <v>449.17</v>
      </c>
    </row>
    <row r="1191" spans="1:2">
      <c r="A1191" s="14">
        <f>DATE(2012,12,31)-550</f>
        <v>40724</v>
      </c>
      <c r="B1191" s="15">
        <v>79.81</v>
      </c>
    </row>
    <row r="1192" s="6" customFormat="1" spans="1:2">
      <c r="A1192" s="12">
        <f>DATE(2012,12,31)-1394</f>
        <v>39880</v>
      </c>
      <c r="B1192" s="13">
        <v>2451.41</v>
      </c>
    </row>
    <row r="1193" s="6" customFormat="1" spans="1:2">
      <c r="A1193" s="12">
        <f>DATE(2012,12,31)-1394</f>
        <v>39880</v>
      </c>
      <c r="B1193" s="13">
        <v>851.24</v>
      </c>
    </row>
    <row r="1194" s="6" customFormat="1" spans="1:2">
      <c r="A1194" s="12">
        <f>DATE(2012,12,31)-1457</f>
        <v>39817</v>
      </c>
      <c r="B1194" s="13">
        <v>63.34</v>
      </c>
    </row>
    <row r="1195" s="6" customFormat="1" spans="1:2">
      <c r="A1195" s="12">
        <f>DATE(2012,12,31)-1457</f>
        <v>39817</v>
      </c>
      <c r="B1195" s="13">
        <v>151.35</v>
      </c>
    </row>
    <row r="1196" s="6" customFormat="1" spans="1:2">
      <c r="A1196" s="12">
        <f>DATE(2012,12,31)-501</f>
        <v>40773</v>
      </c>
      <c r="B1196" s="13">
        <v>2422.4405</v>
      </c>
    </row>
    <row r="1197" s="6" customFormat="1" spans="1:2">
      <c r="A1197" s="12">
        <f>DATE(2012,12,31)-436</f>
        <v>40838</v>
      </c>
      <c r="B1197" s="13">
        <v>220.7875</v>
      </c>
    </row>
    <row r="1198" s="6" customFormat="1" spans="1:2">
      <c r="A1198" s="12">
        <f>DATE(2012,12,31)-143</f>
        <v>41131</v>
      </c>
      <c r="B1198" s="13">
        <v>2593.08</v>
      </c>
    </row>
    <row r="1199" s="6" customFormat="1" spans="1:2">
      <c r="A1199" s="12">
        <f>DATE(2012,12,31)-143</f>
        <v>41131</v>
      </c>
      <c r="B1199" s="13">
        <v>2529.396</v>
      </c>
    </row>
    <row r="1200" spans="1:2">
      <c r="A1200" s="14">
        <f>DATE(2012,12,31)-700</f>
        <v>40574</v>
      </c>
      <c r="B1200" s="15">
        <v>1866.12</v>
      </c>
    </row>
    <row r="1201" s="6" customFormat="1" spans="1:2">
      <c r="A1201" s="12">
        <f>DATE(2012,12,31)-11</f>
        <v>41263</v>
      </c>
      <c r="B1201" s="13">
        <v>1184.11</v>
      </c>
    </row>
    <row r="1202" s="6" customFormat="1" spans="1:2">
      <c r="A1202" s="12">
        <f>DATE(2012,12,31)-11</f>
        <v>41263</v>
      </c>
      <c r="B1202" s="13">
        <v>514.22</v>
      </c>
    </row>
    <row r="1203" s="6" customFormat="1" spans="1:2">
      <c r="A1203" s="12">
        <f>DATE(2012,12,31)-1040</f>
        <v>40234</v>
      </c>
      <c r="B1203" s="13">
        <v>428.14</v>
      </c>
    </row>
    <row r="1204" s="6" customFormat="1" spans="1:2">
      <c r="A1204" s="12">
        <f>DATE(2012,12,31)-1040</f>
        <v>40234</v>
      </c>
      <c r="B1204" s="13">
        <v>1379.3375</v>
      </c>
    </row>
    <row r="1205" s="6" customFormat="1" spans="1:2">
      <c r="A1205" s="12">
        <f>DATE(2012,12,31)-333</f>
        <v>40941</v>
      </c>
      <c r="B1205" s="13">
        <v>647.81</v>
      </c>
    </row>
    <row r="1206" s="6" customFormat="1" spans="1:2">
      <c r="A1206" s="12">
        <f>DATE(2012,12,31)-241</f>
        <v>41033</v>
      </c>
      <c r="B1206" s="13">
        <v>3338.98</v>
      </c>
    </row>
    <row r="1207" s="6" customFormat="1" spans="1:2">
      <c r="A1207" s="12">
        <f>DATE(2012,12,31)-784</f>
        <v>40490</v>
      </c>
      <c r="B1207" s="13">
        <v>6688.11</v>
      </c>
    </row>
    <row r="1208" s="6" customFormat="1" spans="1:2">
      <c r="A1208" s="12">
        <f>DATE(2012,12,31)-784</f>
        <v>40490</v>
      </c>
      <c r="B1208" s="13">
        <v>16.73</v>
      </c>
    </row>
    <row r="1209" s="6" customFormat="1" spans="1:2">
      <c r="A1209" s="12">
        <f>DATE(2012,12,31)-1175</f>
        <v>40099</v>
      </c>
      <c r="B1209" s="13">
        <v>153.44</v>
      </c>
    </row>
    <row r="1210" s="6" customFormat="1" spans="1:2">
      <c r="A1210" s="12">
        <f>DATE(2012,12,31)-1433</f>
        <v>39841</v>
      </c>
      <c r="B1210" s="13">
        <v>190.45</v>
      </c>
    </row>
    <row r="1211" s="6" customFormat="1" spans="1:2">
      <c r="A1211" s="12">
        <f>DATE(2012,12,31)-1433</f>
        <v>39841</v>
      </c>
      <c r="B1211" s="13">
        <v>179.99</v>
      </c>
    </row>
    <row r="1212" s="6" customFormat="1" spans="1:2">
      <c r="A1212" s="12">
        <f>DATE(2012,12,31)-1032</f>
        <v>40242</v>
      </c>
      <c r="B1212" s="13">
        <v>441.58</v>
      </c>
    </row>
    <row r="1213" s="6" customFormat="1" spans="1:2">
      <c r="A1213" s="12">
        <f>DATE(2012,12,31)-499</f>
        <v>40775</v>
      </c>
      <c r="B1213" s="13">
        <v>168.9</v>
      </c>
    </row>
    <row r="1214" s="6" customFormat="1" spans="1:2">
      <c r="A1214" s="12">
        <f>DATE(2012,12,31)-561</f>
        <v>40713</v>
      </c>
      <c r="B1214" s="13">
        <v>180.46</v>
      </c>
    </row>
    <row r="1215" s="6" customFormat="1" spans="1:2">
      <c r="A1215" s="12">
        <f>DATE(2012,12,31)-1322</f>
        <v>39952</v>
      </c>
      <c r="B1215" s="13">
        <v>145.86</v>
      </c>
    </row>
    <row r="1216" spans="1:2">
      <c r="A1216" s="14">
        <f>DATE(2012,12,31)-816</f>
        <v>40458</v>
      </c>
      <c r="B1216" s="15">
        <v>1520.26</v>
      </c>
    </row>
    <row r="1217" s="6" customFormat="1" spans="1:2">
      <c r="A1217" s="12">
        <f>DATE(2012,12,31)-816</f>
        <v>40458</v>
      </c>
      <c r="B1217" s="13">
        <v>688.02</v>
      </c>
    </row>
    <row r="1218" s="6" customFormat="1" spans="1:2">
      <c r="A1218" s="12">
        <f>DATE(2012,12,31)-940</f>
        <v>40334</v>
      </c>
      <c r="B1218" s="13">
        <v>4335.34</v>
      </c>
    </row>
    <row r="1219" s="6" customFormat="1" spans="1:2">
      <c r="A1219" s="12">
        <f>DATE(2012,12,31)-940</f>
        <v>40334</v>
      </c>
      <c r="B1219" s="13">
        <v>1150.5345</v>
      </c>
    </row>
    <row r="1220" s="6" customFormat="1" spans="1:2">
      <c r="A1220" s="12">
        <f>DATE(2012,12,31)-552</f>
        <v>40722</v>
      </c>
      <c r="B1220" s="13">
        <v>4644.87</v>
      </c>
    </row>
    <row r="1221" s="6" customFormat="1" spans="1:2">
      <c r="A1221" s="12">
        <f>DATE(2012,12,31)-552</f>
        <v>40722</v>
      </c>
      <c r="B1221" s="13">
        <v>627.69</v>
      </c>
    </row>
    <row r="1222" s="6" customFormat="1" spans="1:2">
      <c r="A1222" s="12">
        <f>DATE(2012,12,31)-780</f>
        <v>40494</v>
      </c>
      <c r="B1222" s="13">
        <v>441.43</v>
      </c>
    </row>
    <row r="1223" s="6" customFormat="1" spans="1:2">
      <c r="A1223" s="12">
        <f>DATE(2012,12,31)-780</f>
        <v>40494</v>
      </c>
      <c r="B1223" s="13">
        <v>2145.6975</v>
      </c>
    </row>
    <row r="1224" s="6" customFormat="1" spans="1:2">
      <c r="A1224" s="12">
        <f>DATE(2012,12,31)-780</f>
        <v>40494</v>
      </c>
      <c r="B1224" s="13">
        <v>1341.963</v>
      </c>
    </row>
    <row r="1225" s="6" customFormat="1" spans="1:2">
      <c r="A1225" s="12">
        <f>DATE(2012,12,31)-583</f>
        <v>40691</v>
      </c>
      <c r="B1225" s="13">
        <v>172.15</v>
      </c>
    </row>
    <row r="1226" s="6" customFormat="1" spans="1:2">
      <c r="A1226" s="12">
        <f>DATE(2012,12,31)-1364</f>
        <v>39910</v>
      </c>
      <c r="B1226" s="13">
        <v>1423.35</v>
      </c>
    </row>
    <row r="1227" s="6" customFormat="1" spans="1:2">
      <c r="A1227" s="12">
        <f>DATE(2012,12,31)-594</f>
        <v>40680</v>
      </c>
      <c r="B1227" s="13">
        <v>24.16</v>
      </c>
    </row>
    <row r="1228" s="6" customFormat="1" spans="1:2">
      <c r="A1228" s="12">
        <f>DATE(2012,12,31)-594</f>
        <v>40680</v>
      </c>
      <c r="B1228" s="13">
        <v>270.84</v>
      </c>
    </row>
    <row r="1229" s="6" customFormat="1" spans="1:2">
      <c r="A1229" s="12">
        <f>DATE(2012,12,31)-594</f>
        <v>40680</v>
      </c>
      <c r="B1229" s="13">
        <v>3389.93</v>
      </c>
    </row>
    <row r="1230" s="6" customFormat="1" spans="1:2">
      <c r="A1230" s="12">
        <f>DATE(2012,12,31)-594</f>
        <v>40680</v>
      </c>
      <c r="B1230" s="13">
        <v>266.36</v>
      </c>
    </row>
    <row r="1231" s="6" customFormat="1" spans="1:2">
      <c r="A1231" s="12">
        <f>DATE(2012,12,31)-594</f>
        <v>40680</v>
      </c>
      <c r="B1231" s="13">
        <v>89.41</v>
      </c>
    </row>
    <row r="1232" s="6" customFormat="1" spans="1:2">
      <c r="A1232" s="12">
        <f>DATE(2012,12,31)-578</f>
        <v>40696</v>
      </c>
      <c r="B1232" s="13">
        <v>772.2675</v>
      </c>
    </row>
    <row r="1233" s="6" customFormat="1" spans="1:2">
      <c r="A1233" s="12">
        <f>DATE(2012,12,31)-1279</f>
        <v>39995</v>
      </c>
      <c r="B1233" s="13">
        <v>17279.62</v>
      </c>
    </row>
    <row r="1234" s="6" customFormat="1" spans="1:2">
      <c r="A1234" s="12">
        <f>DATE(2012,12,31)-1279</f>
        <v>39995</v>
      </c>
      <c r="B1234" s="13">
        <v>120.3</v>
      </c>
    </row>
    <row r="1235" s="6" customFormat="1" spans="1:2">
      <c r="A1235" s="12">
        <f>DATE(2012,12,31)-1093</f>
        <v>40181</v>
      </c>
      <c r="B1235" s="13">
        <v>1767.88</v>
      </c>
    </row>
    <row r="1236" s="6" customFormat="1" spans="1:2">
      <c r="A1236" s="12">
        <f>DATE(2012,12,31)-1093</f>
        <v>40181</v>
      </c>
      <c r="B1236" s="13">
        <v>277.42</v>
      </c>
    </row>
    <row r="1237" s="6" customFormat="1" spans="1:2">
      <c r="A1237" s="12">
        <f>DATE(2012,12,31)-1093</f>
        <v>40181</v>
      </c>
      <c r="B1237" s="13">
        <v>178.13</v>
      </c>
    </row>
    <row r="1238" s="6" customFormat="1" spans="1:2">
      <c r="A1238" s="12">
        <f>DATE(2012,12,31)-1298</f>
        <v>39976</v>
      </c>
      <c r="B1238" s="13">
        <v>1676.48</v>
      </c>
    </row>
    <row r="1239" s="6" customFormat="1" spans="1:2">
      <c r="A1239" s="12">
        <f>DATE(2012,12,31)-212</f>
        <v>41062</v>
      </c>
      <c r="B1239" s="13">
        <v>12.12</v>
      </c>
    </row>
    <row r="1240" s="6" customFormat="1" spans="1:2">
      <c r="A1240" s="12">
        <f>DATE(2012,12,31)-212</f>
        <v>41062</v>
      </c>
      <c r="B1240" s="13">
        <v>2318.2135</v>
      </c>
    </row>
    <row r="1241" s="6" customFormat="1" spans="1:2">
      <c r="A1241" s="12">
        <f>DATE(2012,12,31)-212</f>
        <v>41062</v>
      </c>
      <c r="B1241" s="13">
        <v>1136.44</v>
      </c>
    </row>
    <row r="1242" s="6" customFormat="1" spans="1:2">
      <c r="A1242" s="12">
        <f>DATE(2012,12,31)-486</f>
        <v>40788</v>
      </c>
      <c r="B1242" s="13">
        <v>932.892</v>
      </c>
    </row>
    <row r="1243" s="6" customFormat="1" spans="1:2">
      <c r="A1243" s="12">
        <f>DATE(2012,12,31)-741</f>
        <v>40533</v>
      </c>
      <c r="B1243" s="13">
        <v>14556.67</v>
      </c>
    </row>
    <row r="1244" s="6" customFormat="1" spans="1:2">
      <c r="A1244" s="12">
        <f>DATE(2012,12,31)-1153</f>
        <v>40121</v>
      </c>
      <c r="B1244" s="13">
        <v>160.29</v>
      </c>
    </row>
    <row r="1245" s="6" customFormat="1" spans="1:2">
      <c r="A1245" s="12">
        <f>DATE(2012,12,31)-652</f>
        <v>40622</v>
      </c>
      <c r="B1245" s="13">
        <v>119.2</v>
      </c>
    </row>
    <row r="1246" s="6" customFormat="1" spans="1:2">
      <c r="A1246" s="12">
        <f>DATE(2012,12,31)-652</f>
        <v>40622</v>
      </c>
      <c r="B1246" s="13">
        <v>1825.42</v>
      </c>
    </row>
    <row r="1247" spans="1:2">
      <c r="A1247" s="14">
        <f>DATE(2012,12,31)-1288</f>
        <v>39986</v>
      </c>
      <c r="B1247" s="15">
        <v>15383.7</v>
      </c>
    </row>
    <row r="1248" s="6" customFormat="1" spans="1:2">
      <c r="A1248" s="12">
        <f>DATE(2012,12,31)-1288</f>
        <v>39986</v>
      </c>
      <c r="B1248" s="13">
        <v>1637.457</v>
      </c>
    </row>
    <row r="1249" s="6" customFormat="1" spans="1:2">
      <c r="A1249" s="12">
        <f>DATE(2012,12,31)-953</f>
        <v>40321</v>
      </c>
      <c r="B1249" s="13">
        <v>822.3495</v>
      </c>
    </row>
    <row r="1250" s="6" customFormat="1" spans="1:2">
      <c r="A1250" s="12">
        <f>DATE(2012,12,31)-781</f>
        <v>40493</v>
      </c>
      <c r="B1250" s="13">
        <v>605.77</v>
      </c>
    </row>
    <row r="1251" s="6" customFormat="1" spans="1:2">
      <c r="A1251" s="12">
        <f>DATE(2012,12,31)-781</f>
        <v>40493</v>
      </c>
      <c r="B1251" s="13">
        <v>1480.91</v>
      </c>
    </row>
    <row r="1252" s="6" customFormat="1" spans="1:2">
      <c r="A1252" s="12">
        <f>DATE(2012,12,31)-1256</f>
        <v>40018</v>
      </c>
      <c r="B1252" s="13">
        <v>3644.24</v>
      </c>
    </row>
    <row r="1253" s="6" customFormat="1" spans="1:2">
      <c r="A1253" s="12">
        <f>DATE(2012,12,31)-1256</f>
        <v>40018</v>
      </c>
      <c r="B1253" s="13">
        <v>599.2075</v>
      </c>
    </row>
    <row r="1254" s="6" customFormat="1" spans="1:2">
      <c r="A1254" s="12">
        <f>DATE(2012,12,31)-388</f>
        <v>40886</v>
      </c>
      <c r="B1254" s="13">
        <v>268.55</v>
      </c>
    </row>
    <row r="1255" s="6" customFormat="1" spans="1:2">
      <c r="A1255" s="12">
        <f>DATE(2012,12,31)-570</f>
        <v>40704</v>
      </c>
      <c r="B1255" s="13">
        <v>294.91</v>
      </c>
    </row>
    <row r="1256" s="6" customFormat="1" spans="1:2">
      <c r="A1256" s="12">
        <f>DATE(2012,12,31)-919</f>
        <v>40355</v>
      </c>
      <c r="B1256" s="13">
        <v>384.9</v>
      </c>
    </row>
    <row r="1257" s="6" customFormat="1" spans="1:2">
      <c r="A1257" s="12">
        <f>DATE(2012,12,31)-442</f>
        <v>40832</v>
      </c>
      <c r="B1257" s="13">
        <v>2637.78</v>
      </c>
    </row>
    <row r="1258" s="6" customFormat="1" spans="1:2">
      <c r="A1258" s="12">
        <f>DATE(2012,12,31)-442</f>
        <v>40832</v>
      </c>
      <c r="B1258" s="13">
        <v>157.4</v>
      </c>
    </row>
    <row r="1259" s="6" customFormat="1" spans="1:2">
      <c r="A1259" s="12">
        <f>DATE(2012,12,31)-1140</f>
        <v>40134</v>
      </c>
      <c r="B1259" s="13">
        <v>2799.7</v>
      </c>
    </row>
    <row r="1260" s="6" customFormat="1" spans="1:2">
      <c r="A1260" s="12">
        <f>DATE(2012,12,31)-448</f>
        <v>40826</v>
      </c>
      <c r="B1260" s="13">
        <v>2039.56</v>
      </c>
    </row>
    <row r="1261" s="6" customFormat="1" spans="1:2">
      <c r="A1261" s="12">
        <f>DATE(2012,12,31)-864</f>
        <v>40410</v>
      </c>
      <c r="B1261" s="13">
        <v>292.808</v>
      </c>
    </row>
    <row r="1262" s="6" customFormat="1" spans="1:2">
      <c r="A1262" s="12">
        <f>DATE(2012,12,31)-123</f>
        <v>41151</v>
      </c>
      <c r="B1262" s="13">
        <v>518.8</v>
      </c>
    </row>
    <row r="1263" s="6" customFormat="1" spans="1:2">
      <c r="A1263" s="12">
        <f>DATE(2012,12,31)-1228</f>
        <v>40046</v>
      </c>
      <c r="B1263" s="13">
        <v>174.64</v>
      </c>
    </row>
    <row r="1264" s="6" customFormat="1" spans="1:2">
      <c r="A1264" s="12">
        <f>DATE(2012,12,31)-1228</f>
        <v>40046</v>
      </c>
      <c r="B1264" s="13">
        <v>994.228</v>
      </c>
    </row>
    <row r="1265" spans="1:2">
      <c r="A1265" s="14">
        <f>DATE(2012,12,31)-627</f>
        <v>40647</v>
      </c>
      <c r="B1265" s="15">
        <v>5977.63</v>
      </c>
    </row>
    <row r="1266" s="6" customFormat="1" spans="1:2">
      <c r="A1266" s="12">
        <f>DATE(2012,12,31)-1190</f>
        <v>40084</v>
      </c>
      <c r="B1266" s="13">
        <v>1239.81</v>
      </c>
    </row>
    <row r="1267" s="6" customFormat="1" spans="1:2">
      <c r="A1267" s="12">
        <f>DATE(2012,12,31)-1190</f>
        <v>40084</v>
      </c>
      <c r="B1267" s="13">
        <v>273.32</v>
      </c>
    </row>
    <row r="1268" s="6" customFormat="1" spans="1:2">
      <c r="A1268" s="12">
        <f>DATE(2012,12,31)-728</f>
        <v>40546</v>
      </c>
      <c r="B1268" s="13">
        <v>79.64</v>
      </c>
    </row>
    <row r="1269" s="6" customFormat="1" spans="1:2">
      <c r="A1269" s="12">
        <f>DATE(2012,12,31)-728</f>
        <v>40546</v>
      </c>
      <c r="B1269" s="13">
        <v>1527.42</v>
      </c>
    </row>
    <row r="1270" spans="1:2">
      <c r="A1270" s="14">
        <f>DATE(2012,12,31)-1420</f>
        <v>39854</v>
      </c>
      <c r="B1270" s="15">
        <v>473.67</v>
      </c>
    </row>
    <row r="1271" s="6" customFormat="1" spans="1:2">
      <c r="A1271" s="12">
        <f>DATE(2012,12,31)-1104</f>
        <v>40170</v>
      </c>
      <c r="B1271" s="13">
        <v>2811.7</v>
      </c>
    </row>
    <row r="1272" s="6" customFormat="1" spans="1:2">
      <c r="A1272" s="12">
        <f>DATE(2012,12,31)-957</f>
        <v>40317</v>
      </c>
      <c r="B1272" s="13">
        <v>176.5</v>
      </c>
    </row>
    <row r="1273" s="6" customFormat="1" spans="1:2">
      <c r="A1273" s="12">
        <f>DATE(2012,12,31)-957</f>
        <v>40317</v>
      </c>
      <c r="B1273" s="13">
        <v>1546.8</v>
      </c>
    </row>
    <row r="1274" s="6" customFormat="1" spans="1:2">
      <c r="A1274" s="12">
        <f>DATE(2012,12,31)-957</f>
        <v>40317</v>
      </c>
      <c r="B1274" s="13">
        <v>3457.56</v>
      </c>
    </row>
    <row r="1275" s="6" customFormat="1" spans="1:2">
      <c r="A1275" s="12">
        <f>DATE(2012,12,31)-855</f>
        <v>40419</v>
      </c>
      <c r="B1275" s="13">
        <v>3632.6</v>
      </c>
    </row>
    <row r="1276" s="6" customFormat="1" spans="1:2">
      <c r="A1276" s="12">
        <f>DATE(2012,12,31)-336</f>
        <v>40938</v>
      </c>
      <c r="B1276" s="13">
        <v>1644.22</v>
      </c>
    </row>
    <row r="1277" s="6" customFormat="1" spans="1:2">
      <c r="A1277" s="12">
        <f>DATE(2012,12,31)-962</f>
        <v>40312</v>
      </c>
      <c r="B1277" s="13">
        <v>131.65</v>
      </c>
    </row>
    <row r="1278" s="6" customFormat="1" spans="1:2">
      <c r="A1278" s="12">
        <f>DATE(2012,12,31)-312</f>
        <v>40962</v>
      </c>
      <c r="B1278" s="13">
        <v>199.8</v>
      </c>
    </row>
    <row r="1279" s="6" customFormat="1" spans="1:2">
      <c r="A1279" s="12">
        <f>DATE(2012,12,31)-312</f>
        <v>40962</v>
      </c>
      <c r="B1279" s="13">
        <v>68.97</v>
      </c>
    </row>
    <row r="1280" s="6" customFormat="1" spans="1:2">
      <c r="A1280" s="12">
        <f>DATE(2012,12,31)-1459</f>
        <v>39815</v>
      </c>
      <c r="B1280" s="13">
        <v>124.81</v>
      </c>
    </row>
    <row r="1281" s="6" customFormat="1" spans="1:2">
      <c r="A1281" s="12">
        <f>DATE(2012,12,31)-638</f>
        <v>40636</v>
      </c>
      <c r="B1281" s="13">
        <v>123.16</v>
      </c>
    </row>
    <row r="1282" s="6" customFormat="1" spans="1:2">
      <c r="A1282" s="12">
        <f>DATE(2012,12,31)-227</f>
        <v>41047</v>
      </c>
      <c r="B1282" s="13">
        <v>1160.55</v>
      </c>
    </row>
    <row r="1283" s="6" customFormat="1" spans="1:2">
      <c r="A1283" s="12">
        <f>DATE(2012,12,31)-391</f>
        <v>40883</v>
      </c>
      <c r="B1283" s="13">
        <v>1733.1</v>
      </c>
    </row>
    <row r="1284" s="6" customFormat="1" spans="1:2">
      <c r="A1284" s="12">
        <f>DATE(2012,12,31)-391</f>
        <v>40883</v>
      </c>
      <c r="B1284" s="13">
        <v>3448.6455</v>
      </c>
    </row>
    <row r="1285" s="6" customFormat="1" spans="1:2">
      <c r="A1285" s="12">
        <f>DATE(2012,12,31)-144</f>
        <v>41130</v>
      </c>
      <c r="B1285" s="13">
        <v>131.2</v>
      </c>
    </row>
    <row r="1286" s="6" customFormat="1" spans="1:2">
      <c r="A1286" s="12">
        <f>DATE(2012,12,31)-61</f>
        <v>41213</v>
      </c>
      <c r="B1286" s="13">
        <v>1735.94</v>
      </c>
    </row>
    <row r="1287" s="6" customFormat="1" spans="1:2">
      <c r="A1287" s="12">
        <f>DATE(2012,12,31)-61</f>
        <v>41213</v>
      </c>
      <c r="B1287" s="13">
        <v>337.6</v>
      </c>
    </row>
    <row r="1288" s="6" customFormat="1" spans="1:2">
      <c r="A1288" s="12">
        <f>DATE(2012,12,31)-1386</f>
        <v>39888</v>
      </c>
      <c r="B1288" s="13">
        <v>82.42</v>
      </c>
    </row>
    <row r="1289" s="6" customFormat="1" spans="1:2">
      <c r="A1289" s="12">
        <f>DATE(2012,12,31)-240</f>
        <v>41034</v>
      </c>
      <c r="B1289" s="13">
        <v>1712.66</v>
      </c>
    </row>
    <row r="1290" s="6" customFormat="1" spans="1:2">
      <c r="A1290" s="12">
        <f>DATE(2012,12,31)-564</f>
        <v>40710</v>
      </c>
      <c r="B1290" s="13">
        <v>53.91</v>
      </c>
    </row>
    <row r="1291" s="6" customFormat="1" spans="1:2">
      <c r="A1291" s="12">
        <f>DATE(2012,12,31)-81</f>
        <v>41193</v>
      </c>
      <c r="B1291" s="13">
        <v>31.95</v>
      </c>
    </row>
    <row r="1292" s="6" customFormat="1" spans="1:2">
      <c r="A1292" s="12">
        <f>DATE(2012,12,31)-81</f>
        <v>41193</v>
      </c>
      <c r="B1292" s="13">
        <v>563.82</v>
      </c>
    </row>
    <row r="1293" s="6" customFormat="1" spans="1:2">
      <c r="A1293" s="12">
        <f>DATE(2012,12,31)-81</f>
        <v>41193</v>
      </c>
      <c r="B1293" s="13">
        <v>502.44</v>
      </c>
    </row>
    <row r="1294" s="6" customFormat="1" spans="1:2">
      <c r="A1294" s="12">
        <f>DATE(2012,12,31)-1316</f>
        <v>39958</v>
      </c>
      <c r="B1294" s="13">
        <v>165.04</v>
      </c>
    </row>
    <row r="1295" s="6" customFormat="1" spans="1:2">
      <c r="A1295" s="12">
        <f>DATE(2012,12,31)-1374</f>
        <v>39900</v>
      </c>
      <c r="B1295" s="13">
        <v>522.97</v>
      </c>
    </row>
    <row r="1296" s="6" customFormat="1" spans="1:2">
      <c r="A1296" s="12">
        <f>DATE(2012,12,31)-1374</f>
        <v>39900</v>
      </c>
      <c r="B1296" s="13">
        <v>199.46</v>
      </c>
    </row>
    <row r="1297" s="6" customFormat="1" spans="1:2">
      <c r="A1297" s="12">
        <f>DATE(2012,12,31)-36</f>
        <v>41238</v>
      </c>
      <c r="B1297" s="13">
        <v>1954.796</v>
      </c>
    </row>
    <row r="1298" s="6" customFormat="1" spans="1:2">
      <c r="A1298" s="12">
        <f>DATE(2012,12,31)-207</f>
        <v>41067</v>
      </c>
      <c r="B1298" s="13">
        <v>316.52</v>
      </c>
    </row>
    <row r="1299" s="6" customFormat="1" spans="1:2">
      <c r="A1299" s="12">
        <f>DATE(2012,12,31)-207</f>
        <v>41067</v>
      </c>
      <c r="B1299" s="13">
        <v>155.39</v>
      </c>
    </row>
    <row r="1300" s="6" customFormat="1" spans="1:2">
      <c r="A1300" s="12">
        <f>DATE(2012,12,31)-85</f>
        <v>41189</v>
      </c>
      <c r="B1300" s="13">
        <v>12175.82</v>
      </c>
    </row>
    <row r="1301" s="6" customFormat="1" spans="1:2">
      <c r="A1301" s="12">
        <f>DATE(2012,12,31)-85</f>
        <v>41189</v>
      </c>
      <c r="B1301" s="13">
        <v>101.21</v>
      </c>
    </row>
    <row r="1302" s="6" customFormat="1" spans="1:2">
      <c r="A1302" s="12">
        <f>DATE(2012,12,31)-85</f>
        <v>41189</v>
      </c>
      <c r="B1302" s="13">
        <v>1585.64</v>
      </c>
    </row>
    <row r="1303" s="6" customFormat="1" spans="1:2">
      <c r="A1303" s="12">
        <f>DATE(2012,12,31)-687</f>
        <v>40587</v>
      </c>
      <c r="B1303" s="13">
        <v>906.02</v>
      </c>
    </row>
    <row r="1304" spans="1:2">
      <c r="A1304" s="14">
        <f>DATE(2012,12,31)-687</f>
        <v>40587</v>
      </c>
      <c r="B1304" s="15">
        <v>170.88</v>
      </c>
    </row>
    <row r="1305" spans="1:2">
      <c r="A1305" s="14">
        <f>DATE(2012,12,31)-1030</f>
        <v>40244</v>
      </c>
      <c r="B1305" s="15">
        <v>3725.53</v>
      </c>
    </row>
    <row r="1306" s="6" customFormat="1" spans="1:2">
      <c r="A1306" s="12">
        <f>DATE(2012,12,31)-201</f>
        <v>41073</v>
      </c>
      <c r="B1306" s="13">
        <v>133.23</v>
      </c>
    </row>
    <row r="1307" s="6" customFormat="1" spans="1:2">
      <c r="A1307" s="12">
        <f>DATE(2012,12,31)-201</f>
        <v>41073</v>
      </c>
      <c r="B1307" s="13">
        <v>146.25</v>
      </c>
    </row>
    <row r="1308" spans="1:2">
      <c r="A1308" s="14">
        <f>DATE(2012,12,31)-520</f>
        <v>40754</v>
      </c>
      <c r="B1308" s="15">
        <v>434.62</v>
      </c>
    </row>
    <row r="1309" s="6" customFormat="1" spans="1:2">
      <c r="A1309" s="12">
        <f>DATE(2012,12,31)-51</f>
        <v>41223</v>
      </c>
      <c r="B1309" s="13">
        <v>2654.16</v>
      </c>
    </row>
    <row r="1310" s="6" customFormat="1" spans="1:2">
      <c r="A1310" s="12">
        <f>DATE(2012,12,31)-51</f>
        <v>41223</v>
      </c>
      <c r="B1310" s="13">
        <v>36.23</v>
      </c>
    </row>
    <row r="1311" s="6" customFormat="1" spans="1:2">
      <c r="A1311" s="12">
        <f>DATE(2012,12,31)-51</f>
        <v>41223</v>
      </c>
      <c r="B1311" s="13">
        <v>1722.65</v>
      </c>
    </row>
    <row r="1312" spans="1:2">
      <c r="A1312" s="14">
        <f>DATE(2012,12,31)-1253</f>
        <v>40021</v>
      </c>
      <c r="B1312" s="15">
        <v>493.26</v>
      </c>
    </row>
    <row r="1313" spans="1:2">
      <c r="A1313" s="14">
        <f>DATE(2012,12,31)-1253</f>
        <v>40021</v>
      </c>
      <c r="B1313" s="15">
        <v>192.15</v>
      </c>
    </row>
    <row r="1314" s="6" customFormat="1" spans="1:2">
      <c r="A1314" s="12">
        <f>DATE(2012,12,31)-350</f>
        <v>40924</v>
      </c>
      <c r="B1314" s="13">
        <v>3633.03</v>
      </c>
    </row>
    <row r="1315" spans="1:2">
      <c r="A1315" s="14">
        <f>DATE(2012,12,31)-1358</f>
        <v>39916</v>
      </c>
      <c r="B1315" s="15">
        <v>3.42</v>
      </c>
    </row>
    <row r="1316" s="6" customFormat="1" spans="1:2">
      <c r="A1316" s="12">
        <f>DATE(2012,12,31)-1458</f>
        <v>39816</v>
      </c>
      <c r="B1316" s="13">
        <v>522.49</v>
      </c>
    </row>
    <row r="1317" s="6" customFormat="1" spans="1:2">
      <c r="A1317" s="12">
        <f>DATE(2012,12,31)-1458</f>
        <v>39816</v>
      </c>
      <c r="B1317" s="13">
        <v>28359.4</v>
      </c>
    </row>
    <row r="1318" spans="1:2">
      <c r="A1318" s="14">
        <f>DATE(2012,12,31)-1458</f>
        <v>39816</v>
      </c>
      <c r="B1318" s="15">
        <v>123.76</v>
      </c>
    </row>
    <row r="1319" s="6" customFormat="1" spans="1:2">
      <c r="A1319" s="12">
        <f>DATE(2012,12,31)-848</f>
        <v>40426</v>
      </c>
      <c r="B1319" s="13">
        <v>1124.3</v>
      </c>
    </row>
    <row r="1320" s="6" customFormat="1" spans="1:2">
      <c r="A1320" s="12">
        <f>DATE(2012,12,31)-848</f>
        <v>40426</v>
      </c>
      <c r="B1320" s="13">
        <v>43.57</v>
      </c>
    </row>
    <row r="1321" s="6" customFormat="1" spans="1:2">
      <c r="A1321" s="12">
        <f>DATE(2012,12,31)-848</f>
        <v>40426</v>
      </c>
      <c r="B1321" s="13">
        <v>2610.894</v>
      </c>
    </row>
    <row r="1322" s="6" customFormat="1" spans="1:2">
      <c r="A1322" s="12">
        <f>DATE(2012,12,31)-999</f>
        <v>40275</v>
      </c>
      <c r="B1322" s="13">
        <v>88.38</v>
      </c>
    </row>
    <row r="1323" s="6" customFormat="1" spans="1:2">
      <c r="A1323" s="12">
        <f>DATE(2012,12,31)-1348</f>
        <v>39926</v>
      </c>
      <c r="B1323" s="13">
        <v>2348.66</v>
      </c>
    </row>
    <row r="1324" s="6" customFormat="1" spans="1:2">
      <c r="A1324" s="12">
        <f>DATE(2012,12,31)-1348</f>
        <v>39926</v>
      </c>
      <c r="B1324" s="13">
        <v>2657.12</v>
      </c>
    </row>
    <row r="1325" s="6" customFormat="1" spans="1:2">
      <c r="A1325" s="12">
        <f>DATE(2012,12,31)-1348</f>
        <v>39926</v>
      </c>
      <c r="B1325" s="13">
        <v>9579.62</v>
      </c>
    </row>
    <row r="1326" s="6" customFormat="1" spans="1:2">
      <c r="A1326" s="12">
        <f>DATE(2012,12,31)-1212</f>
        <v>40062</v>
      </c>
      <c r="B1326" s="13">
        <v>42.67</v>
      </c>
    </row>
    <row r="1327" spans="1:2">
      <c r="A1327" s="14">
        <f>DATE(2012,12,31)-1349</f>
        <v>39925</v>
      </c>
      <c r="B1327" s="15">
        <v>292.11</v>
      </c>
    </row>
    <row r="1328" spans="1:2">
      <c r="A1328" s="14">
        <f>DATE(2012,12,31)-476</f>
        <v>40798</v>
      </c>
      <c r="B1328" s="15">
        <v>12.61</v>
      </c>
    </row>
    <row r="1329" s="6" customFormat="1" spans="1:2">
      <c r="A1329" s="12">
        <f>DATE(2012,12,31)-681</f>
        <v>40593</v>
      </c>
      <c r="B1329" s="13">
        <v>110.15</v>
      </c>
    </row>
    <row r="1330" s="6" customFormat="1" spans="1:2">
      <c r="A1330" s="12">
        <f>DATE(2012,12,31)-681</f>
        <v>40593</v>
      </c>
      <c r="B1330" s="13">
        <v>3335.27</v>
      </c>
    </row>
    <row r="1331" s="6" customFormat="1" spans="1:2">
      <c r="A1331" s="12">
        <f>DATE(2012,12,31)-511</f>
        <v>40763</v>
      </c>
      <c r="B1331" s="13">
        <v>106.06</v>
      </c>
    </row>
    <row r="1332" spans="1:2">
      <c r="A1332" s="14">
        <f>DATE(2012,12,31)-1038</f>
        <v>40236</v>
      </c>
      <c r="B1332" s="15">
        <v>103.75</v>
      </c>
    </row>
    <row r="1333" s="6" customFormat="1" spans="1:2">
      <c r="A1333" s="12">
        <f>DATE(2012,12,31)-1038</f>
        <v>40236</v>
      </c>
      <c r="B1333" s="13">
        <v>855.865</v>
      </c>
    </row>
    <row r="1334" s="6" customFormat="1" spans="1:2">
      <c r="A1334" s="12">
        <f>DATE(2012,12,31)-1385</f>
        <v>39889</v>
      </c>
      <c r="B1334" s="13">
        <v>223.64</v>
      </c>
    </row>
    <row r="1335" s="6" customFormat="1" spans="1:2">
      <c r="A1335" s="12">
        <f>DATE(2012,12,31)-344</f>
        <v>40930</v>
      </c>
      <c r="B1335" s="13">
        <v>202.64</v>
      </c>
    </row>
    <row r="1336" s="6" customFormat="1" spans="1:2">
      <c r="A1336" s="12">
        <f>DATE(2012,12,31)-344</f>
        <v>40930</v>
      </c>
      <c r="B1336" s="13">
        <v>133.69</v>
      </c>
    </row>
    <row r="1337" s="6" customFormat="1" spans="1:2">
      <c r="A1337" s="12">
        <f>DATE(2012,12,31)-1458</f>
        <v>39816</v>
      </c>
      <c r="B1337" s="13">
        <v>262.76</v>
      </c>
    </row>
    <row r="1338" s="6" customFormat="1" spans="1:2">
      <c r="A1338" s="12">
        <f>DATE(2012,12,31)-506</f>
        <v>40768</v>
      </c>
      <c r="B1338" s="13">
        <v>176.26</v>
      </c>
    </row>
    <row r="1339" s="6" customFormat="1" spans="1:2">
      <c r="A1339" s="12">
        <f>DATE(2012,12,31)-80</f>
        <v>41194</v>
      </c>
      <c r="B1339" s="13">
        <v>3505.6</v>
      </c>
    </row>
    <row r="1340" s="6" customFormat="1" spans="1:2">
      <c r="A1340" s="12">
        <f>DATE(2012,12,31)-527</f>
        <v>40747</v>
      </c>
      <c r="B1340" s="13">
        <v>84.09</v>
      </c>
    </row>
    <row r="1341" s="6" customFormat="1" spans="1:2">
      <c r="A1341" s="12">
        <f>DATE(2012,12,31)-282</f>
        <v>40992</v>
      </c>
      <c r="B1341" s="13">
        <v>135.23</v>
      </c>
    </row>
    <row r="1342" s="6" customFormat="1" spans="1:2">
      <c r="A1342" s="12">
        <f>DATE(2012,12,31)-843</f>
        <v>40431</v>
      </c>
      <c r="B1342" s="13">
        <v>1222.59</v>
      </c>
    </row>
    <row r="1343" s="6" customFormat="1" spans="1:2">
      <c r="A1343" s="12">
        <f>DATE(2012,12,31)-709</f>
        <v>40565</v>
      </c>
      <c r="B1343" s="13">
        <v>1939.66</v>
      </c>
    </row>
    <row r="1344" s="6" customFormat="1" spans="1:2">
      <c r="A1344" s="12">
        <f>DATE(2012,12,31)-709</f>
        <v>40565</v>
      </c>
      <c r="B1344" s="13">
        <v>21.56</v>
      </c>
    </row>
    <row r="1345" s="6" customFormat="1" spans="1:2">
      <c r="A1345" s="12">
        <f>DATE(2012,12,31)-709</f>
        <v>40565</v>
      </c>
      <c r="B1345" s="13">
        <v>115.81</v>
      </c>
    </row>
    <row r="1346" s="6" customFormat="1" spans="1:2">
      <c r="A1346" s="12">
        <f>DATE(2012,12,31)-284</f>
        <v>40990</v>
      </c>
      <c r="B1346" s="13">
        <v>131.61</v>
      </c>
    </row>
    <row r="1347" s="6" customFormat="1" spans="1:2">
      <c r="A1347" s="12">
        <f>DATE(2012,12,31)-389</f>
        <v>40885</v>
      </c>
      <c r="B1347" s="13">
        <v>750.39</v>
      </c>
    </row>
    <row r="1348" s="6" customFormat="1" spans="1:2">
      <c r="A1348" s="12">
        <f>DATE(2012,12,31)-389</f>
        <v>40885</v>
      </c>
      <c r="B1348" s="13">
        <v>18.46</v>
      </c>
    </row>
    <row r="1349" spans="1:2">
      <c r="A1349" s="14">
        <f>DATE(2012,12,31)-965</f>
        <v>40309</v>
      </c>
      <c r="B1349" s="15">
        <v>2366.18</v>
      </c>
    </row>
    <row r="1350" s="6" customFormat="1" spans="1:2">
      <c r="A1350" s="12">
        <f>DATE(2012,12,31)-965</f>
        <v>40309</v>
      </c>
      <c r="B1350" s="13">
        <v>675.71</v>
      </c>
    </row>
    <row r="1351" s="6" customFormat="1" spans="1:2">
      <c r="A1351" s="12">
        <f>DATE(2012,12,31)-965</f>
        <v>40309</v>
      </c>
      <c r="B1351" s="13">
        <v>292.978</v>
      </c>
    </row>
    <row r="1352" s="6" customFormat="1" spans="1:2">
      <c r="A1352" s="12">
        <f>DATE(2012,12,31)-965</f>
        <v>40309</v>
      </c>
      <c r="B1352" s="13">
        <v>3615.8405</v>
      </c>
    </row>
    <row r="1353" s="6" customFormat="1" spans="1:2">
      <c r="A1353" s="12">
        <f>DATE(2012,12,31)-813</f>
        <v>40461</v>
      </c>
      <c r="B1353" s="13">
        <v>319.69</v>
      </c>
    </row>
    <row r="1354" s="6" customFormat="1" spans="1:2">
      <c r="A1354" s="12">
        <f>DATE(2012,12,31)-64</f>
        <v>41210</v>
      </c>
      <c r="B1354" s="13">
        <v>706.68</v>
      </c>
    </row>
    <row r="1355" s="6" customFormat="1" spans="1:2">
      <c r="A1355" s="12">
        <f>DATE(2012,12,31)-484</f>
        <v>40790</v>
      </c>
      <c r="B1355" s="13">
        <v>33.96</v>
      </c>
    </row>
    <row r="1356" s="6" customFormat="1" spans="1:2">
      <c r="A1356" s="12">
        <f>DATE(2012,12,31)-1206</f>
        <v>40068</v>
      </c>
      <c r="B1356" s="13">
        <v>8374.132</v>
      </c>
    </row>
    <row r="1357" s="6" customFormat="1" spans="1:2">
      <c r="A1357" s="12">
        <f>DATE(2012,12,31)-168</f>
        <v>41106</v>
      </c>
      <c r="B1357" s="13">
        <v>1406.64</v>
      </c>
    </row>
    <row r="1358" s="6" customFormat="1" spans="1:2">
      <c r="A1358" s="12">
        <f>DATE(2012,12,31)-1233</f>
        <v>40041</v>
      </c>
      <c r="B1358" s="13">
        <v>192.49</v>
      </c>
    </row>
    <row r="1359" s="6" customFormat="1" spans="1:2">
      <c r="A1359" s="12">
        <f>DATE(2012,12,31)-1384</f>
        <v>39890</v>
      </c>
      <c r="B1359" s="13">
        <v>5403.75</v>
      </c>
    </row>
    <row r="1360" s="6" customFormat="1" spans="1:2">
      <c r="A1360" s="12">
        <f>DATE(2012,12,31)-986</f>
        <v>40288</v>
      </c>
      <c r="B1360" s="13">
        <v>54.79</v>
      </c>
    </row>
    <row r="1361" s="6" customFormat="1" spans="1:2">
      <c r="A1361" s="12">
        <f>DATE(2012,12,31)-597</f>
        <v>40677</v>
      </c>
      <c r="B1361" s="13">
        <v>356.09</v>
      </c>
    </row>
    <row r="1362" s="6" customFormat="1" spans="1:2">
      <c r="A1362" s="12">
        <f>DATE(2012,12,31)-638</f>
        <v>40636</v>
      </c>
      <c r="B1362" s="13">
        <v>1075.91</v>
      </c>
    </row>
    <row r="1363" s="6" customFormat="1" spans="1:2">
      <c r="A1363" s="12">
        <f>DATE(2012,12,31)-638</f>
        <v>40636</v>
      </c>
      <c r="B1363" s="13">
        <v>1176.859</v>
      </c>
    </row>
    <row r="1364" s="6" customFormat="1" spans="1:2">
      <c r="A1364" s="12">
        <f>DATE(2012,12,31)-638</f>
        <v>40636</v>
      </c>
      <c r="B1364" s="13">
        <v>6408.3</v>
      </c>
    </row>
    <row r="1365" s="6" customFormat="1" spans="1:2">
      <c r="A1365" s="12">
        <f>DATE(2012,12,31)-1183</f>
        <v>40091</v>
      </c>
      <c r="B1365" s="13">
        <v>63.71</v>
      </c>
    </row>
    <row r="1366" s="6" customFormat="1" spans="1:2">
      <c r="A1366" s="12">
        <f>DATE(2012,12,31)-1183</f>
        <v>40091</v>
      </c>
      <c r="B1366" s="13">
        <v>5388.8</v>
      </c>
    </row>
    <row r="1367" s="6" customFormat="1" spans="1:2">
      <c r="A1367" s="12">
        <f>DATE(2012,12,31)-336</f>
        <v>40938</v>
      </c>
      <c r="B1367" s="13">
        <v>1751.68</v>
      </c>
    </row>
    <row r="1368" s="6" customFormat="1" spans="1:2">
      <c r="A1368" s="12">
        <f>DATE(2012,12,31)-336</f>
        <v>40938</v>
      </c>
      <c r="B1368" s="13">
        <v>86.47</v>
      </c>
    </row>
    <row r="1369" s="6" customFormat="1" spans="1:2">
      <c r="A1369" s="12">
        <f>DATE(2012,12,31)-336</f>
        <v>40938</v>
      </c>
      <c r="B1369" s="13">
        <v>684.5</v>
      </c>
    </row>
    <row r="1370" s="6" customFormat="1" spans="1:2">
      <c r="A1370" s="12">
        <f>DATE(2012,12,31)-1177</f>
        <v>40097</v>
      </c>
      <c r="B1370" s="13">
        <v>158.83</v>
      </c>
    </row>
    <row r="1371" s="6" customFormat="1" spans="1:2">
      <c r="A1371" s="12">
        <f>DATE(2012,12,31)-503</f>
        <v>40771</v>
      </c>
      <c r="B1371" s="13">
        <v>4655.07</v>
      </c>
    </row>
    <row r="1372" s="6" customFormat="1" spans="1:2">
      <c r="A1372" s="12">
        <f>DATE(2012,12,31)-503</f>
        <v>40771</v>
      </c>
      <c r="B1372" s="13">
        <v>10087.6</v>
      </c>
    </row>
    <row r="1373" s="6" customFormat="1" spans="1:2">
      <c r="A1373" s="12">
        <f>DATE(2012,12,31)-503</f>
        <v>40771</v>
      </c>
      <c r="B1373" s="13">
        <v>1608.08</v>
      </c>
    </row>
    <row r="1374" spans="1:2">
      <c r="A1374" s="14">
        <f>DATE(2012,12,31)-244</f>
        <v>41030</v>
      </c>
      <c r="B1374" s="15">
        <v>7890.89</v>
      </c>
    </row>
    <row r="1375" s="6" customFormat="1" spans="1:2">
      <c r="A1375" s="12">
        <f>DATE(2012,12,31)-1291</f>
        <v>39983</v>
      </c>
      <c r="B1375" s="13">
        <v>10122.72</v>
      </c>
    </row>
    <row r="1376" s="6" customFormat="1" spans="1:2">
      <c r="A1376" s="12">
        <f>DATE(2012,12,31)-1291</f>
        <v>39983</v>
      </c>
      <c r="B1376" s="13">
        <v>203.6</v>
      </c>
    </row>
    <row r="1377" s="6" customFormat="1" spans="1:2">
      <c r="A1377" s="12">
        <f>DATE(2012,12,31)-1291</f>
        <v>39983</v>
      </c>
      <c r="B1377" s="13">
        <v>115.81</v>
      </c>
    </row>
    <row r="1378" s="6" customFormat="1" spans="1:2">
      <c r="A1378" s="12">
        <f>DATE(2012,12,31)-484</f>
        <v>40790</v>
      </c>
      <c r="B1378" s="13">
        <v>2912.015</v>
      </c>
    </row>
    <row r="1379" spans="1:2">
      <c r="A1379" s="14">
        <f>DATE(2012,12,31)-762</f>
        <v>40512</v>
      </c>
      <c r="B1379" s="15">
        <v>74.75</v>
      </c>
    </row>
    <row r="1380" s="6" customFormat="1" spans="1:2">
      <c r="A1380" s="12">
        <f>DATE(2012,12,31)-877</f>
        <v>40397</v>
      </c>
      <c r="B1380" s="13">
        <v>81.9</v>
      </c>
    </row>
    <row r="1381" s="6" customFormat="1" spans="1:2">
      <c r="A1381" s="12">
        <f>DATE(2012,12,31)-1398</f>
        <v>39876</v>
      </c>
      <c r="B1381" s="13">
        <v>12.18</v>
      </c>
    </row>
    <row r="1382" s="6" customFormat="1" spans="1:2">
      <c r="A1382" s="12">
        <f>DATE(2012,12,31)-1326</f>
        <v>39948</v>
      </c>
      <c r="B1382" s="13">
        <v>3197.45</v>
      </c>
    </row>
    <row r="1383" s="6" customFormat="1" spans="1:2">
      <c r="A1383" s="12">
        <f>DATE(2012,12,31)-1326</f>
        <v>39948</v>
      </c>
      <c r="B1383" s="13">
        <v>78.57</v>
      </c>
    </row>
    <row r="1384" s="6" customFormat="1" spans="1:2">
      <c r="A1384" s="12">
        <f>DATE(2012,12,31)-1211</f>
        <v>40063</v>
      </c>
      <c r="B1384" s="13">
        <v>95.9</v>
      </c>
    </row>
    <row r="1385" s="6" customFormat="1" spans="1:2">
      <c r="A1385" s="12">
        <f>DATE(2012,12,31)-1211</f>
        <v>40063</v>
      </c>
      <c r="B1385" s="13">
        <v>517.91</v>
      </c>
    </row>
    <row r="1386" s="6" customFormat="1" spans="1:2">
      <c r="A1386" s="12">
        <f>DATE(2012,12,31)-1211</f>
        <v>40063</v>
      </c>
      <c r="B1386" s="13">
        <v>162.28</v>
      </c>
    </row>
    <row r="1387" s="6" customFormat="1" spans="1:2">
      <c r="A1387" s="12">
        <f>DATE(2012,12,31)-356</f>
        <v>40918</v>
      </c>
      <c r="B1387" s="13">
        <v>162.58</v>
      </c>
    </row>
    <row r="1388" s="6" customFormat="1" spans="1:2">
      <c r="A1388" s="12">
        <f>DATE(2012,12,31)-356</f>
        <v>40918</v>
      </c>
      <c r="B1388" s="13">
        <v>6815.23</v>
      </c>
    </row>
    <row r="1389" s="6" customFormat="1" spans="1:2">
      <c r="A1389" s="12">
        <f>DATE(2012,12,31)-613</f>
        <v>40661</v>
      </c>
      <c r="B1389" s="13">
        <v>203.3</v>
      </c>
    </row>
    <row r="1390" s="6" customFormat="1" spans="1:2">
      <c r="A1390" s="12">
        <f>DATE(2012,12,31)-613</f>
        <v>40661</v>
      </c>
      <c r="B1390" s="13">
        <v>196.8515</v>
      </c>
    </row>
    <row r="1391" s="6" customFormat="1" spans="1:2">
      <c r="A1391" s="12">
        <f>DATE(2012,12,31)-1053</f>
        <v>40221</v>
      </c>
      <c r="B1391" s="13">
        <v>637.04</v>
      </c>
    </row>
    <row r="1392" s="6" customFormat="1" spans="1:2">
      <c r="A1392" s="12">
        <f>DATE(2012,12,31)-877</f>
        <v>40397</v>
      </c>
      <c r="B1392" s="13">
        <v>1058.43</v>
      </c>
    </row>
    <row r="1393" s="6" customFormat="1" spans="1:2">
      <c r="A1393" s="12">
        <f>DATE(2012,12,31)-1057</f>
        <v>40217</v>
      </c>
      <c r="B1393" s="13">
        <v>147.88</v>
      </c>
    </row>
    <row r="1394" s="6" customFormat="1" spans="1:2">
      <c r="A1394" s="12">
        <f>DATE(2012,12,31)-776</f>
        <v>40498</v>
      </c>
      <c r="B1394" s="13">
        <v>64.37</v>
      </c>
    </row>
    <row r="1395" s="6" customFormat="1" spans="1:2">
      <c r="A1395" s="12">
        <f>DATE(2012,12,31)-776</f>
        <v>40498</v>
      </c>
      <c r="B1395" s="13">
        <v>4588.55</v>
      </c>
    </row>
    <row r="1396" s="6" customFormat="1" spans="1:2">
      <c r="A1396" s="12">
        <f>DATE(2012,12,31)-729</f>
        <v>40545</v>
      </c>
      <c r="B1396" s="13">
        <v>5403.75</v>
      </c>
    </row>
    <row r="1397" s="6" customFormat="1" spans="1:2">
      <c r="A1397" s="12">
        <f>DATE(2012,12,31)-729</f>
        <v>40545</v>
      </c>
      <c r="B1397" s="13">
        <v>192.49</v>
      </c>
    </row>
    <row r="1398" s="6" customFormat="1" spans="1:2">
      <c r="A1398" s="12">
        <f>DATE(2012,12,31)-729</f>
        <v>40545</v>
      </c>
      <c r="B1398" s="13">
        <v>6408.3</v>
      </c>
    </row>
    <row r="1399" s="6" customFormat="1" spans="1:2">
      <c r="A1399" s="12">
        <f>DATE(2012,12,31)-1340</f>
        <v>39934</v>
      </c>
      <c r="B1399" s="13">
        <v>596.21</v>
      </c>
    </row>
    <row r="1400" s="6" customFormat="1" spans="1:2">
      <c r="A1400" s="12">
        <f>DATE(2012,12,31)-814</f>
        <v>40460</v>
      </c>
      <c r="B1400" s="13">
        <v>96.75</v>
      </c>
    </row>
    <row r="1401" s="6" customFormat="1" spans="1:2">
      <c r="A1401" s="12">
        <f>DATE(2012,12,31)-1377</f>
        <v>39897</v>
      </c>
      <c r="B1401" s="13">
        <v>14357.85</v>
      </c>
    </row>
    <row r="1402" s="6" customFormat="1" spans="1:2">
      <c r="A1402" s="12">
        <f>DATE(2012,12,31)-1133</f>
        <v>40141</v>
      </c>
      <c r="B1402" s="13">
        <v>1210.02</v>
      </c>
    </row>
    <row r="1403" s="6" customFormat="1" spans="1:2">
      <c r="A1403" s="12">
        <f>DATE(2012,12,31)-763</f>
        <v>40511</v>
      </c>
      <c r="B1403" s="13">
        <v>461.55</v>
      </c>
    </row>
    <row r="1404" s="6" customFormat="1" spans="1:2">
      <c r="A1404" s="12">
        <f>DATE(2012,12,31)-763</f>
        <v>40511</v>
      </c>
      <c r="B1404" s="13">
        <v>418.82</v>
      </c>
    </row>
    <row r="1405" s="6" customFormat="1" spans="1:2">
      <c r="A1405" s="12">
        <f>DATE(2012,12,31)-557</f>
        <v>40717</v>
      </c>
      <c r="B1405" s="13">
        <v>767.34</v>
      </c>
    </row>
    <row r="1406" s="6" customFormat="1" spans="1:2">
      <c r="A1406" s="12">
        <f>DATE(2012,12,31)-953</f>
        <v>40321</v>
      </c>
      <c r="B1406" s="13">
        <v>74.02</v>
      </c>
    </row>
    <row r="1407" s="6" customFormat="1" spans="1:2">
      <c r="A1407" s="12">
        <f>DATE(2012,12,31)-953</f>
        <v>40321</v>
      </c>
      <c r="B1407" s="13">
        <v>1276.17</v>
      </c>
    </row>
    <row r="1408" s="6" customFormat="1" spans="1:2">
      <c r="A1408" s="12">
        <f>DATE(2012,12,31)-683</f>
        <v>40591</v>
      </c>
      <c r="B1408" s="13">
        <v>464.57</v>
      </c>
    </row>
    <row r="1409" s="6" customFormat="1" spans="1:2">
      <c r="A1409" s="12">
        <f>DATE(2012,12,31)-750</f>
        <v>40524</v>
      </c>
      <c r="B1409" s="13">
        <v>690.88</v>
      </c>
    </row>
    <row r="1410" spans="1:2">
      <c r="A1410" s="14">
        <f>DATE(2012,12,31)-373</f>
        <v>40901</v>
      </c>
      <c r="B1410" s="15">
        <v>28.41</v>
      </c>
    </row>
    <row r="1411" s="6" customFormat="1" spans="1:2">
      <c r="A1411" s="12">
        <f>DATE(2012,12,31)-687</f>
        <v>40587</v>
      </c>
      <c r="B1411" s="13">
        <v>2645.88</v>
      </c>
    </row>
    <row r="1412" s="6" customFormat="1" spans="1:2">
      <c r="A1412" s="12">
        <f>DATE(2012,12,31)-687</f>
        <v>40587</v>
      </c>
      <c r="B1412" s="13">
        <v>2573.29</v>
      </c>
    </row>
    <row r="1413" s="6" customFormat="1" spans="1:2">
      <c r="A1413" s="12">
        <f>DATE(2012,12,31)-687</f>
        <v>40587</v>
      </c>
      <c r="B1413" s="13">
        <v>127.17</v>
      </c>
    </row>
    <row r="1414" s="6" customFormat="1" spans="1:2">
      <c r="A1414" s="12">
        <f>DATE(2012,12,31)-1086</f>
        <v>40188</v>
      </c>
      <c r="B1414" s="13">
        <v>111.66</v>
      </c>
    </row>
    <row r="1415" s="6" customFormat="1" spans="1:2">
      <c r="A1415" s="12">
        <f>DATE(2012,12,31)-1086</f>
        <v>40188</v>
      </c>
      <c r="B1415" s="13">
        <v>231.95</v>
      </c>
    </row>
    <row r="1416" s="6" customFormat="1" spans="1:2">
      <c r="A1416" s="12">
        <f>DATE(2012,12,31)-1444</f>
        <v>39830</v>
      </c>
      <c r="B1416" s="13">
        <v>299.08</v>
      </c>
    </row>
    <row r="1417" s="6" customFormat="1" spans="1:2">
      <c r="A1417" s="12">
        <f>DATE(2012,12,31)-1444</f>
        <v>39830</v>
      </c>
      <c r="B1417" s="13">
        <v>566.39</v>
      </c>
    </row>
    <row r="1418" s="6" customFormat="1" spans="1:2">
      <c r="A1418" s="12">
        <f>DATE(2012,12,31)-1364</f>
        <v>39910</v>
      </c>
      <c r="B1418" s="13">
        <v>2144.924</v>
      </c>
    </row>
    <row r="1419" s="6" customFormat="1" spans="1:2">
      <c r="A1419" s="12">
        <f>DATE(2012,12,31)-476</f>
        <v>40798</v>
      </c>
      <c r="B1419" s="13">
        <v>1907.71</v>
      </c>
    </row>
    <row r="1420" s="6" customFormat="1" spans="1:2">
      <c r="A1420" s="12">
        <f>DATE(2012,12,31)-1273</f>
        <v>40001</v>
      </c>
      <c r="B1420" s="13">
        <v>65.89</v>
      </c>
    </row>
    <row r="1421" s="6" customFormat="1" spans="1:2">
      <c r="A1421" s="12">
        <f>DATE(2012,12,31)-894</f>
        <v>40380</v>
      </c>
      <c r="B1421" s="13">
        <v>310.31</v>
      </c>
    </row>
    <row r="1422" s="6" customFormat="1" spans="1:2">
      <c r="A1422" s="12">
        <f>DATE(2012,12,31)-621</f>
        <v>40653</v>
      </c>
      <c r="B1422" s="13">
        <v>5554.036</v>
      </c>
    </row>
    <row r="1423" s="6" customFormat="1" spans="1:2">
      <c r="A1423" s="12">
        <f>DATE(2012,12,31)-1136</f>
        <v>40138</v>
      </c>
      <c r="B1423" s="13">
        <v>496.15</v>
      </c>
    </row>
    <row r="1424" s="6" customFormat="1" spans="1:2">
      <c r="A1424" s="12">
        <f>DATE(2012,12,31)-1425</f>
        <v>39849</v>
      </c>
      <c r="B1424" s="13">
        <v>139.86</v>
      </c>
    </row>
    <row r="1425" s="6" customFormat="1" spans="1:2">
      <c r="A1425" s="12">
        <f>DATE(2012,12,31)-1425</f>
        <v>39849</v>
      </c>
      <c r="B1425" s="13">
        <v>926.585</v>
      </c>
    </row>
    <row r="1426" s="6" customFormat="1" spans="1:2">
      <c r="A1426" s="12">
        <f>DATE(2012,12,31)-536</f>
        <v>40738</v>
      </c>
      <c r="B1426" s="13">
        <v>799.98</v>
      </c>
    </row>
    <row r="1427" s="6" customFormat="1" spans="1:2">
      <c r="A1427" s="12">
        <f>DATE(2012,12,31)-536</f>
        <v>40738</v>
      </c>
      <c r="B1427" s="13">
        <v>363.57</v>
      </c>
    </row>
    <row r="1428" s="6" customFormat="1" spans="1:2">
      <c r="A1428" s="12">
        <f>DATE(2012,12,31)-447</f>
        <v>40827</v>
      </c>
      <c r="B1428" s="13">
        <v>9752.25</v>
      </c>
    </row>
    <row r="1429" s="6" customFormat="1" spans="1:2">
      <c r="A1429" s="12">
        <f>DATE(2012,12,31)-558</f>
        <v>40716</v>
      </c>
      <c r="B1429" s="13">
        <v>7547.14</v>
      </c>
    </row>
    <row r="1430" s="6" customFormat="1" spans="1:2">
      <c r="A1430" s="12">
        <f>DATE(2012,12,31)-558</f>
        <v>40716</v>
      </c>
      <c r="B1430" s="13">
        <v>224.32</v>
      </c>
    </row>
    <row r="1431" s="6" customFormat="1" spans="1:2">
      <c r="A1431" s="12">
        <f>DATE(2012,12,31)-558</f>
        <v>40716</v>
      </c>
      <c r="B1431" s="13">
        <v>311.98</v>
      </c>
    </row>
    <row r="1432" s="6" customFormat="1" spans="1:2">
      <c r="A1432" s="12">
        <f>DATE(2012,12,31)-10</f>
        <v>41264</v>
      </c>
      <c r="B1432" s="13">
        <v>2312.96</v>
      </c>
    </row>
    <row r="1433" s="6" customFormat="1" spans="1:2">
      <c r="A1433" s="12">
        <f>DATE(2012,12,31)-405</f>
        <v>40869</v>
      </c>
      <c r="B1433" s="13">
        <v>5181.08</v>
      </c>
    </row>
    <row r="1434" s="6" customFormat="1" spans="1:2">
      <c r="A1434" s="12">
        <f>DATE(2012,12,31)-405</f>
        <v>40869</v>
      </c>
      <c r="B1434" s="13">
        <v>10567.45</v>
      </c>
    </row>
    <row r="1435" s="6" customFormat="1" spans="1:2">
      <c r="A1435" s="12">
        <f>DATE(2012,12,31)-405</f>
        <v>40869</v>
      </c>
      <c r="B1435" s="13">
        <v>1679.04</v>
      </c>
    </row>
    <row r="1436" s="6" customFormat="1" spans="1:2">
      <c r="A1436" s="12">
        <f>DATE(2012,12,31)-405</f>
        <v>40869</v>
      </c>
      <c r="B1436" s="13">
        <v>2055.97</v>
      </c>
    </row>
    <row r="1437" s="6" customFormat="1" spans="1:2">
      <c r="A1437" s="12">
        <f>DATE(2012,12,31)-418</f>
        <v>40856</v>
      </c>
      <c r="B1437" s="13">
        <v>27.34</v>
      </c>
    </row>
    <row r="1438" s="6" customFormat="1" spans="1:2">
      <c r="A1438" s="12">
        <f>DATE(2012,12,31)-418</f>
        <v>40856</v>
      </c>
      <c r="B1438" s="13">
        <v>683.68</v>
      </c>
    </row>
    <row r="1439" s="6" customFormat="1" spans="1:2">
      <c r="A1439" s="12">
        <f>DATE(2012,12,31)-1202</f>
        <v>40072</v>
      </c>
      <c r="B1439" s="13">
        <v>156.15</v>
      </c>
    </row>
    <row r="1440" spans="1:2">
      <c r="A1440" s="14">
        <f>DATE(2012,12,31)-920</f>
        <v>40354</v>
      </c>
      <c r="B1440" s="15">
        <v>193.16</v>
      </c>
    </row>
    <row r="1441" s="6" customFormat="1" spans="1:2">
      <c r="A1441" s="12">
        <f>DATE(2012,12,31)-361</f>
        <v>40913</v>
      </c>
      <c r="B1441" s="13">
        <v>2323.36</v>
      </c>
    </row>
    <row r="1442" s="6" customFormat="1" spans="1:2">
      <c r="A1442" s="12">
        <f>DATE(2012,12,31)-1104</f>
        <v>40170</v>
      </c>
      <c r="B1442" s="13">
        <v>383.45</v>
      </c>
    </row>
    <row r="1443" spans="1:2">
      <c r="A1443" s="14">
        <f>DATE(2012,12,31)-874</f>
        <v>40400</v>
      </c>
      <c r="B1443" s="15">
        <v>871.25</v>
      </c>
    </row>
    <row r="1444" spans="1:2">
      <c r="A1444" s="14">
        <f>DATE(2012,12,31)-874</f>
        <v>40400</v>
      </c>
      <c r="B1444" s="15">
        <v>537.87</v>
      </c>
    </row>
    <row r="1445" spans="1:2">
      <c r="A1445" s="14">
        <f>DATE(2012,12,31)-729</f>
        <v>40545</v>
      </c>
      <c r="B1445" s="15">
        <v>138.75</v>
      </c>
    </row>
    <row r="1446" s="6" customFormat="1" spans="1:2">
      <c r="A1446" s="12">
        <f>DATE(2012,12,31)-1231</f>
        <v>40043</v>
      </c>
      <c r="B1446" s="13">
        <v>820.52</v>
      </c>
    </row>
    <row r="1447" s="6" customFormat="1" spans="1:2">
      <c r="A1447" s="12">
        <f>DATE(2012,12,31)-278</f>
        <v>40996</v>
      </c>
      <c r="B1447" s="13">
        <v>823.13</v>
      </c>
    </row>
    <row r="1448" s="6" customFormat="1" spans="1:2">
      <c r="A1448" s="12">
        <f>DATE(2012,12,31)-278</f>
        <v>40996</v>
      </c>
      <c r="B1448" s="13">
        <v>569.61</v>
      </c>
    </row>
    <row r="1449" s="6" customFormat="1" spans="1:2">
      <c r="A1449" s="12">
        <f>DATE(2012,12,31)-278</f>
        <v>40996</v>
      </c>
      <c r="B1449" s="13">
        <v>75.06</v>
      </c>
    </row>
    <row r="1450" s="6" customFormat="1" spans="1:2">
      <c r="A1450" s="12">
        <f>DATE(2012,12,31)-278</f>
        <v>40996</v>
      </c>
      <c r="B1450" s="13">
        <v>225.13</v>
      </c>
    </row>
    <row r="1451" s="6" customFormat="1" spans="1:2">
      <c r="A1451" s="12">
        <f>DATE(2012,12,31)-1239</f>
        <v>40035</v>
      </c>
      <c r="B1451" s="13">
        <v>121.73</v>
      </c>
    </row>
    <row r="1452" s="6" customFormat="1" spans="1:2">
      <c r="A1452" s="12">
        <f>DATE(2012,12,31)-6</f>
        <v>41268</v>
      </c>
      <c r="B1452" s="13">
        <v>114.86</v>
      </c>
    </row>
    <row r="1453" spans="1:2">
      <c r="A1453" s="14">
        <f>DATE(2012,12,31)-241</f>
        <v>41033</v>
      </c>
      <c r="B1453" s="15">
        <v>1757.43</v>
      </c>
    </row>
    <row r="1454" spans="1:2">
      <c r="A1454" s="14">
        <f>DATE(2012,12,31)-241</f>
        <v>41033</v>
      </c>
      <c r="B1454" s="15">
        <v>137.26</v>
      </c>
    </row>
    <row r="1455" s="6" customFormat="1" spans="1:2">
      <c r="A1455" s="12">
        <f>DATE(2012,12,31)-241</f>
        <v>41033</v>
      </c>
      <c r="B1455" s="13">
        <v>2913.1455</v>
      </c>
    </row>
    <row r="1456" s="6" customFormat="1" spans="1:2">
      <c r="A1456" s="12">
        <f>DATE(2012,12,31)-241</f>
        <v>41033</v>
      </c>
      <c r="B1456" s="13">
        <v>246.98</v>
      </c>
    </row>
    <row r="1457" s="6" customFormat="1" spans="1:2">
      <c r="A1457" s="12">
        <f>DATE(2012,12,31)-800</f>
        <v>40474</v>
      </c>
      <c r="B1457" s="13">
        <v>1968.47</v>
      </c>
    </row>
    <row r="1458" s="6" customFormat="1" spans="1:2">
      <c r="A1458" s="12">
        <f>DATE(2012,12,31)-776</f>
        <v>40498</v>
      </c>
      <c r="B1458" s="13">
        <v>6250.936</v>
      </c>
    </row>
    <row r="1459" s="6" customFormat="1" spans="1:2">
      <c r="A1459" s="12">
        <f>DATE(2012,12,31)-962</f>
        <v>40312</v>
      </c>
      <c r="B1459" s="13">
        <v>7869.22</v>
      </c>
    </row>
    <row r="1460" s="6" customFormat="1" spans="1:2">
      <c r="A1460" s="12">
        <f>DATE(2012,12,31)-962</f>
        <v>40312</v>
      </c>
      <c r="B1460" s="13">
        <v>912.44</v>
      </c>
    </row>
    <row r="1461" s="6" customFormat="1" spans="1:2">
      <c r="A1461" s="12">
        <f>DATE(2012,12,31)-1205</f>
        <v>40069</v>
      </c>
      <c r="B1461" s="13">
        <v>838.4</v>
      </c>
    </row>
    <row r="1462" s="6" customFormat="1" spans="1:2">
      <c r="A1462" s="12">
        <f>DATE(2012,12,31)-1434</f>
        <v>39840</v>
      </c>
      <c r="B1462" s="13">
        <v>377.213</v>
      </c>
    </row>
    <row r="1463" s="6" customFormat="1" spans="1:2">
      <c r="A1463" s="12">
        <f>DATE(2012,12,31)-584</f>
        <v>40690</v>
      </c>
      <c r="B1463" s="13">
        <v>854.88</v>
      </c>
    </row>
    <row r="1464" s="6" customFormat="1" spans="1:2">
      <c r="A1464" s="12">
        <f>DATE(2012,12,31)-584</f>
        <v>40690</v>
      </c>
      <c r="B1464" s="13">
        <v>80.27</v>
      </c>
    </row>
    <row r="1465" s="6" customFormat="1" spans="1:2">
      <c r="A1465" s="12">
        <f>DATE(2012,12,31)-1146</f>
        <v>40128</v>
      </c>
      <c r="B1465" s="13">
        <v>994.04</v>
      </c>
    </row>
    <row r="1466" s="6" customFormat="1" spans="1:2">
      <c r="A1466" s="12">
        <f>DATE(2012,12,31)-824</f>
        <v>40450</v>
      </c>
      <c r="B1466" s="13">
        <v>10223.19</v>
      </c>
    </row>
    <row r="1467" s="6" customFormat="1" spans="1:2">
      <c r="A1467" s="12">
        <f>DATE(2012,12,31)-824</f>
        <v>40450</v>
      </c>
      <c r="B1467" s="13">
        <v>312.42</v>
      </c>
    </row>
    <row r="1468" s="6" customFormat="1" spans="1:2">
      <c r="A1468" s="12">
        <f>DATE(2012,12,31)-277</f>
        <v>40997</v>
      </c>
      <c r="B1468" s="13">
        <v>1111.008</v>
      </c>
    </row>
    <row r="1469" s="6" customFormat="1" spans="1:2">
      <c r="A1469" s="12">
        <f>DATE(2012,12,31)-323</f>
        <v>40951</v>
      </c>
      <c r="B1469" s="13">
        <v>435.27</v>
      </c>
    </row>
    <row r="1470" s="6" customFormat="1" spans="1:2">
      <c r="A1470" s="12">
        <f>DATE(2012,12,31)-323</f>
        <v>40951</v>
      </c>
      <c r="B1470" s="13">
        <v>723.82</v>
      </c>
    </row>
    <row r="1471" s="6" customFormat="1" spans="1:2">
      <c r="A1471" s="12">
        <f>DATE(2012,12,31)-1107</f>
        <v>40167</v>
      </c>
      <c r="B1471" s="13">
        <v>1082.43</v>
      </c>
    </row>
    <row r="1472" s="6" customFormat="1" spans="1:2">
      <c r="A1472" s="12">
        <f>DATE(2012,12,31)-1041</f>
        <v>40233</v>
      </c>
      <c r="B1472" s="13">
        <v>40.23</v>
      </c>
    </row>
    <row r="1473" s="6" customFormat="1" spans="1:2">
      <c r="A1473" s="12">
        <f>DATE(2012,12,31)-1207</f>
        <v>40067</v>
      </c>
      <c r="B1473" s="13">
        <v>341.55</v>
      </c>
    </row>
    <row r="1474" s="6" customFormat="1" spans="1:2">
      <c r="A1474" s="12">
        <f>DATE(2012,12,31)-1207</f>
        <v>40067</v>
      </c>
      <c r="B1474" s="13">
        <v>98.37</v>
      </c>
    </row>
    <row r="1475" s="6" customFormat="1" spans="1:2">
      <c r="A1475" s="12">
        <f>DATE(2012,12,31)-1061</f>
        <v>40213</v>
      </c>
      <c r="B1475" s="13">
        <v>2773.84</v>
      </c>
    </row>
    <row r="1476" spans="1:2">
      <c r="A1476" s="14">
        <f>DATE(2012,12,31)-828</f>
        <v>40446</v>
      </c>
      <c r="B1476" s="15">
        <v>289.94</v>
      </c>
    </row>
    <row r="1477" s="6" customFormat="1" spans="1:2">
      <c r="A1477" s="12">
        <f>DATE(2012,12,31)-828</f>
        <v>40446</v>
      </c>
      <c r="B1477" s="13">
        <v>1848.52</v>
      </c>
    </row>
    <row r="1478" s="6" customFormat="1" spans="1:2">
      <c r="A1478" s="12">
        <f>DATE(2012,12,31)-1222</f>
        <v>40052</v>
      </c>
      <c r="B1478" s="13">
        <v>262.54</v>
      </c>
    </row>
    <row r="1479" s="6" customFormat="1" spans="1:2">
      <c r="A1479" s="12">
        <f>DATE(2012,12,31)-1222</f>
        <v>40052</v>
      </c>
      <c r="B1479" s="13">
        <v>190.73</v>
      </c>
    </row>
    <row r="1480" s="6" customFormat="1" spans="1:2">
      <c r="A1480" s="12">
        <f>DATE(2012,12,31)-1222</f>
        <v>40052</v>
      </c>
      <c r="B1480" s="13">
        <v>1332.97</v>
      </c>
    </row>
    <row r="1481" s="6" customFormat="1" spans="1:2">
      <c r="A1481" s="12">
        <f>DATE(2012,12,31)-1327</f>
        <v>39947</v>
      </c>
      <c r="B1481" s="13">
        <v>227.37</v>
      </c>
    </row>
    <row r="1482" s="6" customFormat="1" spans="1:2">
      <c r="A1482" s="12">
        <f>DATE(2012,12,31)-1438</f>
        <v>39836</v>
      </c>
      <c r="B1482" s="13">
        <v>136.41</v>
      </c>
    </row>
    <row r="1483" spans="1:2">
      <c r="A1483" s="14">
        <f>DATE(2012,12,31)-1438</f>
        <v>39836</v>
      </c>
      <c r="B1483" s="15">
        <v>1312.65</v>
      </c>
    </row>
    <row r="1484" s="6" customFormat="1" spans="1:2">
      <c r="A1484" s="12">
        <f>DATE(2012,12,31)-599</f>
        <v>40675</v>
      </c>
      <c r="B1484" s="13">
        <v>283.13</v>
      </c>
    </row>
    <row r="1485" s="6" customFormat="1" spans="1:2">
      <c r="A1485" s="12">
        <f>DATE(2012,12,31)-1318</f>
        <v>39956</v>
      </c>
      <c r="B1485" s="13">
        <v>104.39</v>
      </c>
    </row>
    <row r="1486" s="6" customFormat="1" spans="1:2">
      <c r="A1486" s="12">
        <f>DATE(2012,12,31)-233</f>
        <v>41041</v>
      </c>
      <c r="B1486" s="13">
        <v>618.84</v>
      </c>
    </row>
    <row r="1487" s="6" customFormat="1" spans="1:2">
      <c r="A1487" s="12">
        <f>DATE(2012,12,31)-1254</f>
        <v>40020</v>
      </c>
      <c r="B1487" s="13">
        <v>100.41</v>
      </c>
    </row>
    <row r="1488" s="6" customFormat="1" spans="1:2">
      <c r="A1488" s="12">
        <f>DATE(2012,12,31)-1254</f>
        <v>40020</v>
      </c>
      <c r="B1488" s="13">
        <v>8101.9875</v>
      </c>
    </row>
    <row r="1489" s="6" customFormat="1" spans="1:2">
      <c r="A1489" s="12">
        <f>DATE(2012,12,31)-1254</f>
        <v>40020</v>
      </c>
      <c r="B1489" s="13">
        <v>1313.811</v>
      </c>
    </row>
    <row r="1490" s="6" customFormat="1" spans="1:2">
      <c r="A1490" s="12">
        <f>DATE(2012,12,31)-609</f>
        <v>40665</v>
      </c>
      <c r="B1490" s="13">
        <v>6330.086</v>
      </c>
    </row>
    <row r="1491" s="6" customFormat="1" spans="1:2">
      <c r="A1491" s="12">
        <f>DATE(2012,12,31)-712</f>
        <v>40562</v>
      </c>
      <c r="B1491" s="13">
        <v>40.26</v>
      </c>
    </row>
    <row r="1492" spans="1:2">
      <c r="A1492" s="14">
        <f>DATE(2012,12,31)-478</f>
        <v>40796</v>
      </c>
      <c r="B1492" s="15">
        <v>95.38</v>
      </c>
    </row>
    <row r="1493" s="6" customFormat="1" spans="1:2">
      <c r="A1493" s="12">
        <f>DATE(2012,12,31)-1020</f>
        <v>40254</v>
      </c>
      <c r="B1493" s="13">
        <v>48.04</v>
      </c>
    </row>
    <row r="1494" s="6" customFormat="1" spans="1:2">
      <c r="A1494" s="12">
        <f>DATE(2012,12,31)-910</f>
        <v>40364</v>
      </c>
      <c r="B1494" s="13">
        <v>19.36</v>
      </c>
    </row>
    <row r="1495" s="6" customFormat="1" spans="1:2">
      <c r="A1495" s="12">
        <f>DATE(2012,12,31)-910</f>
        <v>40364</v>
      </c>
      <c r="B1495" s="13">
        <v>206.27</v>
      </c>
    </row>
    <row r="1496" s="6" customFormat="1" spans="1:2">
      <c r="A1496" s="12">
        <f>DATE(2012,12,31)-861</f>
        <v>40413</v>
      </c>
      <c r="B1496" s="13">
        <v>308.54</v>
      </c>
    </row>
    <row r="1497" s="6" customFormat="1" spans="1:2">
      <c r="A1497" s="12">
        <f>DATE(2012,12,31)-500</f>
        <v>40774</v>
      </c>
      <c r="B1497" s="13">
        <v>400.57</v>
      </c>
    </row>
    <row r="1498" s="6" customFormat="1" spans="1:2">
      <c r="A1498" s="12">
        <f>DATE(2012,12,31)-860</f>
        <v>40414</v>
      </c>
      <c r="B1498" s="13">
        <v>233.39</v>
      </c>
    </row>
    <row r="1499" s="6" customFormat="1" spans="1:2">
      <c r="A1499" s="12">
        <f>DATE(2012,12,31)-370</f>
        <v>40904</v>
      </c>
      <c r="B1499" s="13">
        <v>2072.12</v>
      </c>
    </row>
    <row r="1500" s="6" customFormat="1" spans="1:2">
      <c r="A1500" s="12">
        <f>DATE(2012,12,31)-370</f>
        <v>40904</v>
      </c>
      <c r="B1500" s="13">
        <v>151.19</v>
      </c>
    </row>
    <row r="1501" s="6" customFormat="1" spans="1:2">
      <c r="A1501" s="12">
        <f>DATE(2012,12,31)-202</f>
        <v>41072</v>
      </c>
      <c r="B1501" s="13">
        <v>133.9</v>
      </c>
    </row>
    <row r="1502" spans="1:2">
      <c r="A1502" s="14">
        <f>DATE(2012,12,31)-1365</f>
        <v>39909</v>
      </c>
      <c r="B1502" s="15">
        <v>608.21</v>
      </c>
    </row>
    <row r="1503" s="6" customFormat="1" spans="1:2">
      <c r="A1503" s="12">
        <f>DATE(2012,12,31)-1365</f>
        <v>39909</v>
      </c>
      <c r="B1503" s="13">
        <v>570.5285</v>
      </c>
    </row>
    <row r="1504" spans="1:2">
      <c r="A1504" s="14">
        <f>DATE(2012,12,31)-797</f>
        <v>40477</v>
      </c>
      <c r="B1504" s="15">
        <v>285.84</v>
      </c>
    </row>
    <row r="1505" s="6" customFormat="1" spans="1:2">
      <c r="A1505" s="12">
        <f>DATE(2012,12,31)-797</f>
        <v>40477</v>
      </c>
      <c r="B1505" s="13">
        <v>12450.48</v>
      </c>
    </row>
    <row r="1506" s="6" customFormat="1" spans="1:2">
      <c r="A1506" s="12">
        <f>DATE(2012,12,31)-1132</f>
        <v>40142</v>
      </c>
      <c r="B1506" s="13">
        <v>2525.9875</v>
      </c>
    </row>
    <row r="1507" s="6" customFormat="1" spans="1:2">
      <c r="A1507" s="12">
        <f>DATE(2012,12,31)-1226</f>
        <v>40048</v>
      </c>
      <c r="B1507" s="13">
        <v>65.42</v>
      </c>
    </row>
    <row r="1508" s="6" customFormat="1" spans="1:2">
      <c r="A1508" s="12">
        <f>DATE(2012,12,31)-1226</f>
        <v>40048</v>
      </c>
      <c r="B1508" s="13">
        <v>5750.94</v>
      </c>
    </row>
    <row r="1509" s="6" customFormat="1" spans="1:2">
      <c r="A1509" s="12">
        <f>DATE(2012,12,31)-1059</f>
        <v>40215</v>
      </c>
      <c r="B1509" s="13">
        <v>5149.06</v>
      </c>
    </row>
    <row r="1510" s="6" customFormat="1" spans="1:2">
      <c r="A1510" s="12">
        <f>DATE(2012,12,31)-662</f>
        <v>40612</v>
      </c>
      <c r="B1510" s="13">
        <v>135.31</v>
      </c>
    </row>
    <row r="1511" s="6" customFormat="1" spans="1:2">
      <c r="A1511" s="12">
        <f>DATE(2012,12,31)-325</f>
        <v>40949</v>
      </c>
      <c r="B1511" s="13">
        <v>1281.358</v>
      </c>
    </row>
    <row r="1512" s="6" customFormat="1" spans="1:2">
      <c r="A1512" s="12">
        <f>DATE(2012,12,31)-1010</f>
        <v>40264</v>
      </c>
      <c r="B1512" s="13">
        <v>2040.95</v>
      </c>
    </row>
    <row r="1513" s="6" customFormat="1" spans="1:2">
      <c r="A1513" s="12">
        <f>DATE(2012,12,31)-415</f>
        <v>40859</v>
      </c>
      <c r="B1513" s="13">
        <v>181.66</v>
      </c>
    </row>
    <row r="1514" s="6" customFormat="1" spans="1:2">
      <c r="A1514" s="12">
        <f>DATE(2012,12,31)-363</f>
        <v>40911</v>
      </c>
      <c r="B1514" s="13">
        <v>1170.025</v>
      </c>
    </row>
    <row r="1515" s="6" customFormat="1" spans="1:2">
      <c r="A1515" s="12">
        <f>DATE(2012,12,31)-140</f>
        <v>41134</v>
      </c>
      <c r="B1515" s="13">
        <v>193.11</v>
      </c>
    </row>
    <row r="1516" s="6" customFormat="1" spans="1:2">
      <c r="A1516" s="12">
        <f>DATE(2012,12,31)-1372</f>
        <v>39902</v>
      </c>
      <c r="B1516" s="13">
        <v>3449.26</v>
      </c>
    </row>
    <row r="1517" s="6" customFormat="1" spans="1:2">
      <c r="A1517" s="12">
        <f>DATE(2012,12,31)-55</f>
        <v>41219</v>
      </c>
      <c r="B1517" s="13">
        <v>677.43</v>
      </c>
    </row>
    <row r="1518" s="6" customFormat="1" spans="1:2">
      <c r="A1518" s="12">
        <f>DATE(2012,12,31)-1370</f>
        <v>39904</v>
      </c>
      <c r="B1518" s="13">
        <v>566.53</v>
      </c>
    </row>
    <row r="1519" s="6" customFormat="1" spans="1:2">
      <c r="A1519" s="12">
        <f>DATE(2012,12,31)-454</f>
        <v>40820</v>
      </c>
      <c r="B1519" s="13">
        <v>486.43</v>
      </c>
    </row>
    <row r="1520" s="6" customFormat="1" spans="1:2">
      <c r="A1520" s="12">
        <f>DATE(2012,12,31)-454</f>
        <v>40820</v>
      </c>
      <c r="B1520" s="13">
        <v>144.95</v>
      </c>
    </row>
    <row r="1521" s="6" customFormat="1" spans="1:2">
      <c r="A1521" s="12">
        <f>DATE(2012,12,31)-962</f>
        <v>40312</v>
      </c>
      <c r="B1521" s="13">
        <v>73.36</v>
      </c>
    </row>
    <row r="1522" s="6" customFormat="1" spans="1:2">
      <c r="A1522" s="12">
        <f>DATE(2012,12,31)-962</f>
        <v>40312</v>
      </c>
      <c r="B1522" s="13">
        <v>3630.146</v>
      </c>
    </row>
    <row r="1523" s="6" customFormat="1" spans="1:2">
      <c r="A1523" s="12">
        <f>DATE(2012,12,31)-21</f>
        <v>41253</v>
      </c>
      <c r="B1523" s="13">
        <v>538.27</v>
      </c>
    </row>
    <row r="1524" s="6" customFormat="1" spans="1:2">
      <c r="A1524" s="12">
        <f>DATE(2012,12,31)-21</f>
        <v>41253</v>
      </c>
      <c r="B1524" s="13">
        <v>3665.41</v>
      </c>
    </row>
    <row r="1525" s="6" customFormat="1" spans="1:2">
      <c r="A1525" s="12">
        <f>DATE(2012,12,31)-21</f>
        <v>41253</v>
      </c>
      <c r="B1525" s="13">
        <v>20.95</v>
      </c>
    </row>
    <row r="1526" s="6" customFormat="1" spans="1:2">
      <c r="A1526" s="12">
        <f>DATE(2012,12,31)-1406</f>
        <v>39868</v>
      </c>
      <c r="B1526" s="13">
        <v>2545.89</v>
      </c>
    </row>
    <row r="1527" s="6" customFormat="1" spans="1:2">
      <c r="A1527" s="12">
        <f>DATE(2012,12,31)-232</f>
        <v>41042</v>
      </c>
      <c r="B1527" s="13">
        <v>8305.19</v>
      </c>
    </row>
    <row r="1528" spans="1:2">
      <c r="A1528" s="14">
        <f>DATE(2012,12,31)-232</f>
        <v>41042</v>
      </c>
      <c r="B1528" s="15">
        <v>251.05</v>
      </c>
    </row>
    <row r="1529" s="6" customFormat="1" spans="1:2">
      <c r="A1529" s="12">
        <f>DATE(2012,12,31)-232</f>
        <v>41042</v>
      </c>
      <c r="B1529" s="13">
        <v>305.62</v>
      </c>
    </row>
    <row r="1530" s="6" customFormat="1" spans="1:2">
      <c r="A1530" s="12">
        <f>DATE(2012,12,31)-1354</f>
        <v>39920</v>
      </c>
      <c r="B1530" s="13">
        <v>226.882</v>
      </c>
    </row>
    <row r="1531" s="6" customFormat="1" spans="1:2">
      <c r="A1531" s="12">
        <f>DATE(2012,12,31)-846</f>
        <v>40428</v>
      </c>
      <c r="B1531" s="13">
        <v>158.79</v>
      </c>
    </row>
    <row r="1532" s="6" customFormat="1" spans="1:2">
      <c r="A1532" s="12">
        <f>DATE(2012,12,31)-846</f>
        <v>40428</v>
      </c>
      <c r="B1532" s="13">
        <v>286.81</v>
      </c>
    </row>
    <row r="1533" s="6" customFormat="1" spans="1:2">
      <c r="A1533" s="12">
        <f>DATE(2012,12,31)-435</f>
        <v>40839</v>
      </c>
      <c r="B1533" s="13">
        <v>1102.28</v>
      </c>
    </row>
    <row r="1534" s="6" customFormat="1" spans="1:2">
      <c r="A1534" s="12">
        <f>DATE(2012,12,31)-190</f>
        <v>41084</v>
      </c>
      <c r="B1534" s="13">
        <v>14.49</v>
      </c>
    </row>
    <row r="1535" s="6" customFormat="1" spans="1:2">
      <c r="A1535" s="12">
        <f>DATE(2012,12,31)-281</f>
        <v>40993</v>
      </c>
      <c r="B1535" s="13">
        <v>710.86</v>
      </c>
    </row>
    <row r="1536" spans="1:2">
      <c r="A1536" s="14">
        <f>DATE(2012,12,31)-752</f>
        <v>40522</v>
      </c>
      <c r="B1536" s="15">
        <v>1991.26</v>
      </c>
    </row>
    <row r="1537" s="6" customFormat="1" spans="1:2">
      <c r="A1537" s="12">
        <f>DATE(2012,12,31)-752</f>
        <v>40522</v>
      </c>
      <c r="B1537" s="13">
        <v>10480.272</v>
      </c>
    </row>
    <row r="1538" s="6" customFormat="1" spans="1:2">
      <c r="A1538" s="12">
        <f>DATE(2012,12,31)-571</f>
        <v>40703</v>
      </c>
      <c r="B1538" s="13">
        <v>114.53</v>
      </c>
    </row>
    <row r="1539" s="6" customFormat="1" spans="1:2">
      <c r="A1539" s="12">
        <f>DATE(2012,12,31)-571</f>
        <v>40703</v>
      </c>
      <c r="B1539" s="13">
        <v>7164.7435</v>
      </c>
    </row>
    <row r="1540" s="6" customFormat="1" spans="1:2">
      <c r="A1540" s="12">
        <f>DATE(2012,12,31)-1382</f>
        <v>39892</v>
      </c>
      <c r="B1540" s="13">
        <v>4620.05</v>
      </c>
    </row>
    <row r="1541" s="6" customFormat="1" spans="1:2">
      <c r="A1541" s="12">
        <f>DATE(2012,12,31)-137</f>
        <v>41137</v>
      </c>
      <c r="B1541" s="13">
        <v>131.71</v>
      </c>
    </row>
    <row r="1542" s="6" customFormat="1" spans="1:2">
      <c r="A1542" s="12">
        <f>DATE(2012,12,31)-657</f>
        <v>40617</v>
      </c>
      <c r="B1542" s="13">
        <v>130.38</v>
      </c>
    </row>
    <row r="1543" s="6" customFormat="1" spans="1:2">
      <c r="A1543" s="12">
        <f>DATE(2012,12,31)-714</f>
        <v>40560</v>
      </c>
      <c r="B1543" s="13">
        <v>308.52</v>
      </c>
    </row>
    <row r="1544" spans="1:2">
      <c r="A1544" s="14">
        <f>DATE(2012,12,31)-714</f>
        <v>40560</v>
      </c>
      <c r="B1544" s="15">
        <v>176.5</v>
      </c>
    </row>
    <row r="1545" s="6" customFormat="1" spans="1:2">
      <c r="A1545" s="12">
        <f>DATE(2012,12,31)-32</f>
        <v>41242</v>
      </c>
      <c r="B1545" s="13">
        <v>5188.86</v>
      </c>
    </row>
    <row r="1546" s="6" customFormat="1" spans="1:2">
      <c r="A1546" s="12">
        <f>DATE(2012,12,31)-71</f>
        <v>41203</v>
      </c>
      <c r="B1546" s="13">
        <v>182.86</v>
      </c>
    </row>
    <row r="1547" s="6" customFormat="1" spans="1:2">
      <c r="A1547" s="12">
        <f>DATE(2012,12,31)-955</f>
        <v>40319</v>
      </c>
      <c r="B1547" s="13">
        <v>398.86</v>
      </c>
    </row>
    <row r="1548" s="6" customFormat="1" spans="1:2">
      <c r="A1548" s="12">
        <f>DATE(2012,12,31)-955</f>
        <v>40319</v>
      </c>
      <c r="B1548" s="13">
        <v>109.18</v>
      </c>
    </row>
    <row r="1549" s="6" customFormat="1" spans="1:2">
      <c r="A1549" s="12">
        <f>DATE(2012,12,31)-955</f>
        <v>40319</v>
      </c>
      <c r="B1549" s="13">
        <v>28.59</v>
      </c>
    </row>
    <row r="1550" s="6" customFormat="1" spans="1:2">
      <c r="A1550" s="12">
        <f>DATE(2012,12,31)-276</f>
        <v>40998</v>
      </c>
      <c r="B1550" s="13">
        <v>221.66</v>
      </c>
    </row>
    <row r="1551" s="6" customFormat="1" spans="1:2">
      <c r="A1551" s="12">
        <f>DATE(2012,12,31)-1362</f>
        <v>39912</v>
      </c>
      <c r="B1551" s="13">
        <v>3197.003</v>
      </c>
    </row>
    <row r="1552" s="6" customFormat="1" spans="1:2">
      <c r="A1552" s="12">
        <f>DATE(2012,12,31)-289</f>
        <v>40985</v>
      </c>
      <c r="B1552" s="13">
        <v>339.81</v>
      </c>
    </row>
    <row r="1553" s="6" customFormat="1" spans="1:2">
      <c r="A1553" s="12">
        <f>DATE(2012,12,31)-1099</f>
        <v>40175</v>
      </c>
      <c r="B1553" s="13">
        <v>1285.55</v>
      </c>
    </row>
    <row r="1554" spans="1:2">
      <c r="A1554" s="14">
        <f>DATE(2012,12,31)-1099</f>
        <v>40175</v>
      </c>
      <c r="B1554" s="15">
        <v>177.67</v>
      </c>
    </row>
    <row r="1555" spans="1:2">
      <c r="A1555" s="14">
        <f>DATE(2012,12,31)-489</f>
        <v>40785</v>
      </c>
      <c r="B1555" s="15">
        <v>276.5</v>
      </c>
    </row>
    <row r="1556" s="6" customFormat="1" spans="1:2">
      <c r="A1556" s="12">
        <f>DATE(2012,12,31)-793</f>
        <v>40481</v>
      </c>
      <c r="B1556" s="13">
        <v>298.57</v>
      </c>
    </row>
    <row r="1557" s="6" customFormat="1" spans="1:2">
      <c r="A1557" s="12">
        <f>DATE(2012,12,31)-793</f>
        <v>40481</v>
      </c>
      <c r="B1557" s="13">
        <v>44.32</v>
      </c>
    </row>
    <row r="1558" s="6" customFormat="1" spans="1:2">
      <c r="A1558" s="12">
        <f>DATE(2012,12,31)-793</f>
        <v>40481</v>
      </c>
      <c r="B1558" s="13">
        <v>1629.75</v>
      </c>
    </row>
    <row r="1559" spans="1:2">
      <c r="A1559" s="14">
        <f>DATE(2012,12,31)-793</f>
        <v>40481</v>
      </c>
      <c r="B1559" s="15">
        <v>261.02</v>
      </c>
    </row>
    <row r="1560" s="6" customFormat="1" spans="1:2">
      <c r="A1560" s="12">
        <f>DATE(2012,12,31)-326</f>
        <v>40948</v>
      </c>
      <c r="B1560" s="13">
        <v>6170.02</v>
      </c>
    </row>
    <row r="1561" s="6" customFormat="1" spans="1:2">
      <c r="A1561" s="12">
        <f>DATE(2012,12,31)-219</f>
        <v>41055</v>
      </c>
      <c r="B1561" s="13">
        <v>2083.0525</v>
      </c>
    </row>
    <row r="1562" spans="1:2">
      <c r="A1562" s="14">
        <f>DATE(2012,12,31)-219</f>
        <v>41055</v>
      </c>
      <c r="B1562" s="15">
        <v>233.28</v>
      </c>
    </row>
    <row r="1563" spans="1:2">
      <c r="A1563" s="14">
        <f>DATE(2012,12,31)-219</f>
        <v>41055</v>
      </c>
      <c r="B1563" s="15">
        <v>47.01</v>
      </c>
    </row>
    <row r="1564" s="6" customFormat="1" spans="1:2">
      <c r="A1564" s="12">
        <f>DATE(2012,12,31)-550</f>
        <v>40724</v>
      </c>
      <c r="B1564" s="13">
        <v>140.07</v>
      </c>
    </row>
    <row r="1565" s="6" customFormat="1" spans="1:2">
      <c r="A1565" s="12">
        <f>DATE(2012,12,31)-440</f>
        <v>40834</v>
      </c>
      <c r="B1565" s="13">
        <v>157.87</v>
      </c>
    </row>
    <row r="1566" s="6" customFormat="1" spans="1:2">
      <c r="A1566" s="12">
        <f>DATE(2012,12,31)-284</f>
        <v>40990</v>
      </c>
      <c r="B1566" s="13">
        <v>1194.96</v>
      </c>
    </row>
    <row r="1567" s="6" customFormat="1" spans="1:2">
      <c r="A1567" s="12">
        <f>DATE(2012,12,31)-1401</f>
        <v>39873</v>
      </c>
      <c r="B1567" s="13">
        <v>866.66</v>
      </c>
    </row>
    <row r="1568" s="6" customFormat="1" spans="1:2">
      <c r="A1568" s="12">
        <f>DATE(2012,12,31)-1141</f>
        <v>40133</v>
      </c>
      <c r="B1568" s="13">
        <v>184.331</v>
      </c>
    </row>
    <row r="1569" s="6" customFormat="1" spans="1:2">
      <c r="A1569" s="12">
        <f>DATE(2012,12,31)-1141</f>
        <v>40133</v>
      </c>
      <c r="B1569" s="13">
        <v>1223.3795</v>
      </c>
    </row>
    <row r="1570" s="6" customFormat="1" spans="1:2">
      <c r="A1570" s="12">
        <f>DATE(2012,12,31)-1167</f>
        <v>40107</v>
      </c>
      <c r="B1570" s="13">
        <v>14.84</v>
      </c>
    </row>
    <row r="1571" s="6" customFormat="1" spans="1:2">
      <c r="A1571" s="12">
        <f>DATE(2012,12,31)-1167</f>
        <v>40107</v>
      </c>
      <c r="B1571" s="13">
        <v>922.47</v>
      </c>
    </row>
    <row r="1572" s="6" customFormat="1" spans="1:2">
      <c r="A1572" s="12">
        <f>DATE(2012,12,31)-112</f>
        <v>41162</v>
      </c>
      <c r="B1572" s="13">
        <v>3245.73</v>
      </c>
    </row>
    <row r="1573" spans="1:2">
      <c r="A1573" s="14">
        <f>DATE(2012,12,31)-112</f>
        <v>41162</v>
      </c>
      <c r="B1573" s="15">
        <v>63.02</v>
      </c>
    </row>
    <row r="1574" s="6" customFormat="1" spans="1:2">
      <c r="A1574" s="12">
        <f>DATE(2012,12,31)-112</f>
        <v>41162</v>
      </c>
      <c r="B1574" s="13">
        <v>6420.87</v>
      </c>
    </row>
    <row r="1575" s="6" customFormat="1" spans="1:2">
      <c r="A1575" s="12">
        <f>DATE(2012,12,31)-112</f>
        <v>41162</v>
      </c>
      <c r="B1575" s="13">
        <v>2407.693</v>
      </c>
    </row>
    <row r="1576" s="6" customFormat="1" spans="1:2">
      <c r="A1576" s="12">
        <f>DATE(2012,12,31)-1213</f>
        <v>40061</v>
      </c>
      <c r="B1576" s="13">
        <v>128.69</v>
      </c>
    </row>
    <row r="1577" spans="1:2">
      <c r="A1577" s="14">
        <f>DATE(2012,12,31)-163</f>
        <v>41111</v>
      </c>
      <c r="B1577" s="15">
        <v>12270.3</v>
      </c>
    </row>
    <row r="1578" s="6" customFormat="1" spans="1:2">
      <c r="A1578" s="12">
        <f>DATE(2012,12,31)-147</f>
        <v>41127</v>
      </c>
      <c r="B1578" s="13">
        <v>109.7</v>
      </c>
    </row>
    <row r="1579" s="6" customFormat="1" spans="1:2">
      <c r="A1579" s="12">
        <f>DATE(2012,12,31)-147</f>
        <v>41127</v>
      </c>
      <c r="B1579" s="13">
        <v>80.89</v>
      </c>
    </row>
    <row r="1580" s="6" customFormat="1" spans="1:2">
      <c r="A1580" s="12">
        <f>DATE(2012,12,31)-558</f>
        <v>40716</v>
      </c>
      <c r="B1580" s="13">
        <v>482.91</v>
      </c>
    </row>
    <row r="1581" s="6" customFormat="1" spans="1:2">
      <c r="A1581" s="12">
        <f>DATE(2012,12,31)-558</f>
        <v>40716</v>
      </c>
      <c r="B1581" s="13">
        <v>2969.6365</v>
      </c>
    </row>
    <row r="1582" s="6" customFormat="1" spans="1:2">
      <c r="A1582" s="12">
        <f>DATE(2012,12,31)-1334</f>
        <v>39940</v>
      </c>
      <c r="B1582" s="13">
        <v>333.68</v>
      </c>
    </row>
    <row r="1583" spans="1:2">
      <c r="A1583" s="14">
        <f>DATE(2012,12,31)-768</f>
        <v>40506</v>
      </c>
      <c r="B1583" s="15">
        <v>58.64</v>
      </c>
    </row>
    <row r="1584" spans="1:2">
      <c r="A1584" s="14">
        <f>DATE(2012,12,31)-768</f>
        <v>40506</v>
      </c>
      <c r="B1584" s="15">
        <v>136.06</v>
      </c>
    </row>
    <row r="1585" spans="1:2">
      <c r="A1585" s="14">
        <f>DATE(2012,12,31)-345</f>
        <v>40929</v>
      </c>
      <c r="B1585" s="15">
        <v>1554.53</v>
      </c>
    </row>
    <row r="1586" s="6" customFormat="1" spans="1:2">
      <c r="A1586" s="12">
        <f>DATE(2012,12,31)-1034</f>
        <v>40240</v>
      </c>
      <c r="B1586" s="13">
        <v>446.04</v>
      </c>
    </row>
    <row r="1587" s="6" customFormat="1" spans="1:2">
      <c r="A1587" s="12">
        <f>DATE(2012,12,31)-1034</f>
        <v>40240</v>
      </c>
      <c r="B1587" s="13">
        <v>18421.2</v>
      </c>
    </row>
    <row r="1588" s="6" customFormat="1" spans="1:2">
      <c r="A1588" s="12">
        <f>DATE(2012,12,31)-152</f>
        <v>41122</v>
      </c>
      <c r="B1588" s="13">
        <v>39.68</v>
      </c>
    </row>
    <row r="1589" s="6" customFormat="1" spans="1:2">
      <c r="A1589" s="12">
        <f>DATE(2012,12,31)-152</f>
        <v>41122</v>
      </c>
      <c r="B1589" s="13">
        <v>1273.266</v>
      </c>
    </row>
    <row r="1590" s="6" customFormat="1" spans="1:2">
      <c r="A1590" s="12">
        <f>DATE(2012,12,31)-994</f>
        <v>40280</v>
      </c>
      <c r="B1590" s="13">
        <v>1519.9</v>
      </c>
    </row>
    <row r="1591" s="6" customFormat="1" spans="1:2">
      <c r="A1591" s="12">
        <f>DATE(2012,12,31)-860</f>
        <v>40414</v>
      </c>
      <c r="B1591" s="13">
        <v>102.24</v>
      </c>
    </row>
    <row r="1592" s="6" customFormat="1" spans="1:2">
      <c r="A1592" s="12">
        <f>DATE(2012,12,31)-867</f>
        <v>40407</v>
      </c>
      <c r="B1592" s="13">
        <v>165.37</v>
      </c>
    </row>
    <row r="1593" s="6" customFormat="1" spans="1:2">
      <c r="A1593" s="12">
        <f>DATE(2012,12,31)-867</f>
        <v>40407</v>
      </c>
      <c r="B1593" s="13">
        <v>1785.74</v>
      </c>
    </row>
    <row r="1594" spans="1:2">
      <c r="A1594" s="14">
        <f>DATE(2012,12,31)-438</f>
        <v>40836</v>
      </c>
      <c r="B1594" s="15">
        <v>111.9</v>
      </c>
    </row>
    <row r="1595" s="6" customFormat="1" spans="1:2">
      <c r="A1595" s="12">
        <f>DATE(2012,12,31)-546</f>
        <v>40728</v>
      </c>
      <c r="B1595" s="13">
        <v>965.69</v>
      </c>
    </row>
    <row r="1596" s="6" customFormat="1" spans="1:2">
      <c r="A1596" s="12">
        <f>DATE(2012,12,31)-1278</f>
        <v>39996</v>
      </c>
      <c r="B1596" s="13">
        <v>4629.67</v>
      </c>
    </row>
    <row r="1597" s="6" customFormat="1" spans="1:2">
      <c r="A1597" s="12">
        <f>DATE(2012,12,31)-1353</f>
        <v>39921</v>
      </c>
      <c r="B1597" s="13">
        <v>1350.34</v>
      </c>
    </row>
    <row r="1598" s="6" customFormat="1" spans="1:2">
      <c r="A1598" s="12">
        <f>DATE(2012,12,31)-1353</f>
        <v>39921</v>
      </c>
      <c r="B1598" s="13">
        <v>861.26</v>
      </c>
    </row>
    <row r="1599" s="6" customFormat="1" spans="1:2">
      <c r="A1599" s="12">
        <f>DATE(2012,12,31)-1353</f>
        <v>39921</v>
      </c>
      <c r="B1599" s="13">
        <v>1531.411</v>
      </c>
    </row>
    <row r="1600" s="6" customFormat="1" spans="1:2">
      <c r="A1600" s="12">
        <f>DATE(2012,12,31)-1135</f>
        <v>40139</v>
      </c>
      <c r="B1600" s="13">
        <v>1497.3175</v>
      </c>
    </row>
    <row r="1601" s="6" customFormat="1" spans="1:2">
      <c r="A1601" s="12">
        <f>DATE(2012,12,31)-1387</f>
        <v>39887</v>
      </c>
      <c r="B1601" s="13">
        <v>281.84</v>
      </c>
    </row>
    <row r="1602" s="6" customFormat="1" spans="1:2">
      <c r="A1602" s="12">
        <f>DATE(2012,12,31)-1387</f>
        <v>39887</v>
      </c>
      <c r="B1602" s="13">
        <v>200.753</v>
      </c>
    </row>
    <row r="1603" s="6" customFormat="1" spans="1:2">
      <c r="A1603" s="12">
        <f>DATE(2012,12,31)-632</f>
        <v>40642</v>
      </c>
      <c r="B1603" s="13">
        <v>32.51</v>
      </c>
    </row>
    <row r="1604" s="6" customFormat="1" spans="1:2">
      <c r="A1604" s="12">
        <f>DATE(2012,12,31)-632</f>
        <v>40642</v>
      </c>
      <c r="B1604" s="13">
        <v>570.51</v>
      </c>
    </row>
    <row r="1605" s="6" customFormat="1" spans="1:2">
      <c r="A1605" s="12">
        <f>DATE(2012,12,31)-98</f>
        <v>41176</v>
      </c>
      <c r="B1605" s="13">
        <v>243.49</v>
      </c>
    </row>
    <row r="1606" s="6" customFormat="1" spans="1:2">
      <c r="A1606" s="12">
        <f>DATE(2012,12,31)-98</f>
        <v>41176</v>
      </c>
      <c r="B1606" s="13">
        <v>1090.4</v>
      </c>
    </row>
    <row r="1607" s="6" customFormat="1" spans="1:2">
      <c r="A1607" s="12">
        <f>DATE(2012,12,31)-678</f>
        <v>40596</v>
      </c>
      <c r="B1607" s="13">
        <v>65.85</v>
      </c>
    </row>
    <row r="1608" s="6" customFormat="1" spans="1:2">
      <c r="A1608" s="12">
        <f>DATE(2012,12,31)-417</f>
        <v>40857</v>
      </c>
      <c r="B1608" s="13">
        <v>1154.14</v>
      </c>
    </row>
    <row r="1609" s="6" customFormat="1" spans="1:2">
      <c r="A1609" s="12">
        <f>DATE(2012,12,31)-417</f>
        <v>40857</v>
      </c>
      <c r="B1609" s="13">
        <v>223.82</v>
      </c>
    </row>
    <row r="1610" s="6" customFormat="1" spans="1:2">
      <c r="A1610" s="12">
        <f>DATE(2012,12,31)-417</f>
        <v>40857</v>
      </c>
      <c r="B1610" s="13">
        <v>61.4635</v>
      </c>
    </row>
    <row r="1611" s="6" customFormat="1" spans="1:2">
      <c r="A1611" s="12">
        <f>DATE(2012,12,31)-417</f>
        <v>40857</v>
      </c>
      <c r="B1611" s="13">
        <v>122.09</v>
      </c>
    </row>
    <row r="1612" s="6" customFormat="1" spans="1:2">
      <c r="A1612" s="12">
        <f>DATE(2012,12,31)-1214</f>
        <v>40060</v>
      </c>
      <c r="B1612" s="13">
        <v>7312.0315</v>
      </c>
    </row>
    <row r="1613" s="6" customFormat="1" spans="1:2">
      <c r="A1613" s="12">
        <f>DATE(2012,12,31)-911</f>
        <v>40363</v>
      </c>
      <c r="B1613" s="13">
        <v>102.18</v>
      </c>
    </row>
    <row r="1614" s="6" customFormat="1" spans="1:2">
      <c r="A1614" s="12">
        <f>DATE(2012,12,31)-328</f>
        <v>40946</v>
      </c>
      <c r="B1614" s="13">
        <v>1650.411</v>
      </c>
    </row>
    <row r="1615" s="6" customFormat="1" spans="1:2">
      <c r="A1615" s="12">
        <f>DATE(2012,12,31)-157</f>
        <v>41117</v>
      </c>
      <c r="B1615" s="13">
        <v>1173.5</v>
      </c>
    </row>
    <row r="1616" s="6" customFormat="1" spans="1:2">
      <c r="A1616" s="12">
        <f>DATE(2012,12,31)-1434</f>
        <v>39840</v>
      </c>
      <c r="B1616" s="13">
        <v>6121.1985</v>
      </c>
    </row>
    <row r="1617" s="6" customFormat="1" spans="1:2">
      <c r="A1617" s="12">
        <f>DATE(2012,12,31)-372</f>
        <v>40902</v>
      </c>
      <c r="B1617" s="13">
        <v>188.93</v>
      </c>
    </row>
    <row r="1618" s="6" customFormat="1" spans="1:2">
      <c r="A1618" s="12">
        <f>DATE(2012,12,31)-1345</f>
        <v>39929</v>
      </c>
      <c r="B1618" s="13">
        <v>38.96</v>
      </c>
    </row>
    <row r="1619" s="6" customFormat="1" spans="1:2">
      <c r="A1619" s="12">
        <f>DATE(2012,12,31)-1245</f>
        <v>40029</v>
      </c>
      <c r="B1619" s="13">
        <v>3501.79</v>
      </c>
    </row>
    <row r="1620" s="6" customFormat="1" spans="1:2">
      <c r="A1620" s="12">
        <f>DATE(2012,12,31)-1245</f>
        <v>40029</v>
      </c>
      <c r="B1620" s="13">
        <v>141.83</v>
      </c>
    </row>
    <row r="1621" s="6" customFormat="1" spans="1:2">
      <c r="A1621" s="12">
        <f>DATE(2012,12,31)-695</f>
        <v>40579</v>
      </c>
      <c r="B1621" s="13">
        <v>1566.8</v>
      </c>
    </row>
    <row r="1622" s="6" customFormat="1" spans="1:2">
      <c r="A1622" s="12">
        <f>DATE(2012,12,31)-695</f>
        <v>40579</v>
      </c>
      <c r="B1622" s="13">
        <v>616.01</v>
      </c>
    </row>
    <row r="1623" s="6" customFormat="1" spans="1:2">
      <c r="A1623" s="12">
        <f>DATE(2012,12,31)-695</f>
        <v>40579</v>
      </c>
      <c r="B1623" s="13">
        <v>438.6085</v>
      </c>
    </row>
    <row r="1624" s="6" customFormat="1" spans="1:2">
      <c r="A1624" s="12">
        <f>DATE(2012,12,31)-165</f>
        <v>41109</v>
      </c>
      <c r="B1624" s="13">
        <v>686.27</v>
      </c>
    </row>
    <row r="1625" s="6" customFormat="1" spans="1:2">
      <c r="A1625" s="12">
        <f>DATE(2012,12,31)-1040</f>
        <v>40234</v>
      </c>
      <c r="B1625" s="13">
        <v>315.28</v>
      </c>
    </row>
    <row r="1626" s="6" customFormat="1" spans="1:2">
      <c r="A1626" s="12">
        <f>DATE(2012,12,31)-1307</f>
        <v>39967</v>
      </c>
      <c r="B1626" s="13">
        <v>3503.12</v>
      </c>
    </row>
    <row r="1627" s="6" customFormat="1" spans="1:2">
      <c r="A1627" s="12">
        <f>DATE(2012,12,31)-311</f>
        <v>40963</v>
      </c>
      <c r="B1627" s="13">
        <v>57.24</v>
      </c>
    </row>
    <row r="1628" s="6" customFormat="1" spans="1:2">
      <c r="A1628" s="12">
        <f>DATE(2012,12,31)-1102</f>
        <v>40172</v>
      </c>
      <c r="B1628" s="13">
        <v>651.45</v>
      </c>
    </row>
    <row r="1629" spans="1:2">
      <c r="A1629" s="14">
        <f>DATE(2012,12,31)-916</f>
        <v>40358</v>
      </c>
      <c r="B1629" s="15">
        <v>311.1</v>
      </c>
    </row>
    <row r="1630" s="6" customFormat="1" spans="1:2">
      <c r="A1630" s="12">
        <f>DATE(2012,12,31)-916</f>
        <v>40358</v>
      </c>
      <c r="B1630" s="13">
        <v>452.93</v>
      </c>
    </row>
    <row r="1631" s="6" customFormat="1" spans="1:2">
      <c r="A1631" s="12">
        <f>DATE(2012,12,31)-832</f>
        <v>40442</v>
      </c>
      <c r="B1631" s="13">
        <v>54.23</v>
      </c>
    </row>
    <row r="1632" s="6" customFormat="1" spans="1:2">
      <c r="A1632" s="12">
        <f>DATE(2012,12,31)-156</f>
        <v>41118</v>
      </c>
      <c r="B1632" s="13">
        <v>247.21</v>
      </c>
    </row>
    <row r="1633" s="6" customFormat="1" spans="1:2">
      <c r="A1633" s="12">
        <f>DATE(2012,12,31)-156</f>
        <v>41118</v>
      </c>
      <c r="B1633" s="13">
        <v>1541.781</v>
      </c>
    </row>
    <row r="1634" s="6" customFormat="1" spans="1:2">
      <c r="A1634" s="12">
        <f>DATE(2012,12,31)-153</f>
        <v>41121</v>
      </c>
      <c r="B1634" s="13">
        <v>148.344</v>
      </c>
    </row>
    <row r="1635" s="6" customFormat="1" spans="1:2">
      <c r="A1635" s="12">
        <f>DATE(2012,12,31)-476</f>
        <v>40798</v>
      </c>
      <c r="B1635" s="13">
        <v>351.27</v>
      </c>
    </row>
    <row r="1636" s="6" customFormat="1" spans="1:2">
      <c r="A1636" s="12">
        <f>DATE(2012,12,31)-1235</f>
        <v>40039</v>
      </c>
      <c r="B1636" s="13">
        <v>181.5</v>
      </c>
    </row>
    <row r="1637" s="6" customFormat="1" spans="1:2">
      <c r="A1637" s="12">
        <f>DATE(2012,12,31)-986</f>
        <v>40288</v>
      </c>
      <c r="B1637" s="13">
        <v>2339.52</v>
      </c>
    </row>
    <row r="1638" s="6" customFormat="1" spans="1:2">
      <c r="A1638" s="12">
        <f>DATE(2012,12,31)-986</f>
        <v>40288</v>
      </c>
      <c r="B1638" s="13">
        <v>533.25</v>
      </c>
    </row>
    <row r="1639" s="6" customFormat="1" spans="1:2">
      <c r="A1639" s="12">
        <f>DATE(2012,12,31)-1263</f>
        <v>40011</v>
      </c>
      <c r="B1639" s="13">
        <v>4993.42</v>
      </c>
    </row>
    <row r="1640" s="6" customFormat="1" spans="1:2">
      <c r="A1640" s="12">
        <f>DATE(2012,12,31)-1263</f>
        <v>40011</v>
      </c>
      <c r="B1640" s="13">
        <v>1059.3</v>
      </c>
    </row>
    <row r="1641" s="6" customFormat="1" spans="1:2">
      <c r="A1641" s="12">
        <f>DATE(2012,12,31)-986</f>
        <v>40288</v>
      </c>
      <c r="B1641" s="13">
        <v>7319.85</v>
      </c>
    </row>
    <row r="1642" s="6" customFormat="1" spans="1:2">
      <c r="A1642" s="12">
        <f>DATE(2012,12,31)-986</f>
        <v>40288</v>
      </c>
      <c r="B1642" s="13">
        <v>707.44</v>
      </c>
    </row>
    <row r="1643" s="6" customFormat="1" spans="1:2">
      <c r="A1643" s="12">
        <f>DATE(2012,12,31)-113</f>
        <v>41161</v>
      </c>
      <c r="B1643" s="13">
        <v>40.29</v>
      </c>
    </row>
    <row r="1644" spans="1:2">
      <c r="A1644" s="14">
        <f>DATE(2012,12,31)-113</f>
        <v>41161</v>
      </c>
      <c r="B1644" s="15">
        <v>775.77</v>
      </c>
    </row>
    <row r="1645" s="6" customFormat="1" spans="1:2">
      <c r="A1645" s="12">
        <f>DATE(2012,12,31)-133</f>
        <v>41141</v>
      </c>
      <c r="B1645" s="13">
        <v>242.63</v>
      </c>
    </row>
    <row r="1646" s="6" customFormat="1" spans="1:2">
      <c r="A1646" s="12">
        <f>DATE(2012,12,31)-547</f>
        <v>40727</v>
      </c>
      <c r="B1646" s="13">
        <v>5051.89</v>
      </c>
    </row>
    <row r="1647" s="6" customFormat="1" spans="1:2">
      <c r="A1647" s="12">
        <f>DATE(2012,12,31)-953</f>
        <v>40321</v>
      </c>
      <c r="B1647" s="13">
        <v>796.14</v>
      </c>
    </row>
    <row r="1648" s="6" customFormat="1" spans="1:2">
      <c r="A1648" s="12">
        <f>DATE(2012,12,31)-953</f>
        <v>40321</v>
      </c>
      <c r="B1648" s="13">
        <v>142.96</v>
      </c>
    </row>
    <row r="1649" s="6" customFormat="1" spans="1:2">
      <c r="A1649" s="12">
        <f>DATE(2012,12,31)-1041</f>
        <v>40233</v>
      </c>
      <c r="B1649" s="13">
        <v>102.06</v>
      </c>
    </row>
    <row r="1650" s="6" customFormat="1" spans="1:2">
      <c r="A1650" s="12">
        <f>DATE(2012,12,31)-1041</f>
        <v>40233</v>
      </c>
      <c r="B1650" s="13">
        <v>101.82</v>
      </c>
    </row>
    <row r="1651" s="6" customFormat="1" spans="1:2">
      <c r="A1651" s="12">
        <f>DATE(2012,12,31)-861</f>
        <v>40413</v>
      </c>
      <c r="B1651" s="13">
        <v>4729.85</v>
      </c>
    </row>
    <row r="1652" s="6" customFormat="1" spans="1:2">
      <c r="A1652" s="12">
        <f>DATE(2012,12,31)-951</f>
        <v>40323</v>
      </c>
      <c r="B1652" s="13">
        <v>1386.6</v>
      </c>
    </row>
    <row r="1653" s="6" customFormat="1" spans="1:2">
      <c r="A1653" s="12">
        <f>DATE(2012,12,31)-1133</f>
        <v>40141</v>
      </c>
      <c r="B1653" s="13">
        <v>194.174</v>
      </c>
    </row>
    <row r="1654" s="6" customFormat="1" spans="1:2">
      <c r="A1654" s="12">
        <f>DATE(2012,12,31)-565</f>
        <v>40709</v>
      </c>
      <c r="B1654" s="13">
        <v>49.23</v>
      </c>
    </row>
    <row r="1655" s="6" customFormat="1" spans="1:2">
      <c r="A1655" s="12">
        <f>DATE(2012,12,31)-782</f>
        <v>40492</v>
      </c>
      <c r="B1655" s="13">
        <v>397.84</v>
      </c>
    </row>
    <row r="1656" s="6" customFormat="1" spans="1:2">
      <c r="A1656" s="12">
        <f>DATE(2012,12,31)-921</f>
        <v>40353</v>
      </c>
      <c r="B1656" s="13">
        <v>73.07</v>
      </c>
    </row>
    <row r="1657" s="6" customFormat="1" spans="1:2">
      <c r="A1657" s="12">
        <f>DATE(2012,12,31)-921</f>
        <v>40353</v>
      </c>
      <c r="B1657" s="13">
        <v>4679.1</v>
      </c>
    </row>
    <row r="1658" s="6" customFormat="1" spans="1:2">
      <c r="A1658" s="12">
        <f>DATE(2012,12,31)-999</f>
        <v>40275</v>
      </c>
      <c r="B1658" s="13">
        <v>657.94</v>
      </c>
    </row>
    <row r="1659" s="6" customFormat="1" spans="1:2">
      <c r="A1659" s="12">
        <f>DATE(2012,12,31)-999</f>
        <v>40275</v>
      </c>
      <c r="B1659" s="13">
        <v>1270.73</v>
      </c>
    </row>
    <row r="1660" spans="1:2">
      <c r="A1660" s="14">
        <f>DATE(2012,12,31)-656</f>
        <v>40618</v>
      </c>
      <c r="B1660" s="15">
        <v>109.49</v>
      </c>
    </row>
    <row r="1661" s="6" customFormat="1" spans="1:2">
      <c r="A1661" s="12">
        <f>DATE(2012,12,31)-347</f>
        <v>40927</v>
      </c>
      <c r="B1661" s="13">
        <v>1684.96</v>
      </c>
    </row>
    <row r="1662" s="6" customFormat="1" spans="1:2">
      <c r="A1662" s="12">
        <f>DATE(2012,12,31)-347</f>
        <v>40927</v>
      </c>
      <c r="B1662" s="13">
        <v>1662.048</v>
      </c>
    </row>
    <row r="1663" s="6" customFormat="1" spans="1:2">
      <c r="A1663" s="12">
        <f>DATE(2012,12,31)-347</f>
        <v>40927</v>
      </c>
      <c r="B1663" s="13">
        <v>11460.76</v>
      </c>
    </row>
    <row r="1664" s="6" customFormat="1" spans="1:2">
      <c r="A1664" s="12">
        <f>DATE(2012,12,31)-1458</f>
        <v>39816</v>
      </c>
      <c r="B1664" s="13">
        <v>896.49</v>
      </c>
    </row>
    <row r="1665" spans="1:2">
      <c r="A1665" s="14">
        <f>DATE(2012,12,31)-628</f>
        <v>40646</v>
      </c>
      <c r="B1665" s="15">
        <v>210.66</v>
      </c>
    </row>
    <row r="1666" s="6" customFormat="1" spans="1:2">
      <c r="A1666" s="12">
        <f>DATE(2012,12,31)-190</f>
        <v>41084</v>
      </c>
      <c r="B1666" s="13">
        <v>1660.86</v>
      </c>
    </row>
    <row r="1667" s="6" customFormat="1" spans="1:2">
      <c r="A1667" s="12">
        <f>DATE(2012,12,31)-1191</f>
        <v>40083</v>
      </c>
      <c r="B1667" s="13">
        <v>152.26</v>
      </c>
    </row>
    <row r="1668" spans="1:2">
      <c r="A1668" s="14">
        <f>DATE(2012,12,31)-550</f>
        <v>40724</v>
      </c>
      <c r="B1668" s="15">
        <v>135.21</v>
      </c>
    </row>
    <row r="1669" s="6" customFormat="1" spans="1:2">
      <c r="A1669" s="12">
        <f>DATE(2012,12,31)-929</f>
        <v>40345</v>
      </c>
      <c r="B1669" s="13">
        <v>2048.568</v>
      </c>
    </row>
    <row r="1670" s="6" customFormat="1" spans="1:2">
      <c r="A1670" s="12">
        <f>DATE(2012,12,31)-694</f>
        <v>40580</v>
      </c>
      <c r="B1670" s="13">
        <v>4442.049</v>
      </c>
    </row>
    <row r="1671" s="6" customFormat="1" spans="1:2">
      <c r="A1671" s="12">
        <f>DATE(2012,12,31)-1061</f>
        <v>40213</v>
      </c>
      <c r="B1671" s="13">
        <v>271.06</v>
      </c>
    </row>
    <row r="1672" s="6" customFormat="1" spans="1:2">
      <c r="A1672" s="12">
        <f>DATE(2012,12,31)-1061</f>
        <v>40213</v>
      </c>
      <c r="B1672" s="13">
        <v>58.84</v>
      </c>
    </row>
    <row r="1673" s="6" customFormat="1" spans="1:2">
      <c r="A1673" s="12">
        <f>DATE(2012,12,31)-1061</f>
        <v>40213</v>
      </c>
      <c r="B1673" s="13">
        <v>1211.72</v>
      </c>
    </row>
    <row r="1674" s="6" customFormat="1" spans="1:2">
      <c r="A1674" s="12">
        <f>DATE(2012,12,31)-1061</f>
        <v>40213</v>
      </c>
      <c r="B1674" s="13">
        <v>75.26</v>
      </c>
    </row>
    <row r="1675" s="6" customFormat="1" spans="1:2">
      <c r="A1675" s="12">
        <f>DATE(2012,12,31)-1061</f>
        <v>40213</v>
      </c>
      <c r="B1675" s="13">
        <v>407.116</v>
      </c>
    </row>
    <row r="1676" s="6" customFormat="1" spans="1:2">
      <c r="A1676" s="12">
        <f>DATE(2012,12,31)-103</f>
        <v>41171</v>
      </c>
      <c r="B1676" s="13">
        <v>8009.5925</v>
      </c>
    </row>
    <row r="1677" s="6" customFormat="1" spans="1:2">
      <c r="A1677" s="12">
        <f>DATE(2012,12,31)-103</f>
        <v>41171</v>
      </c>
      <c r="B1677" s="13">
        <v>4689.66</v>
      </c>
    </row>
    <row r="1678" s="6" customFormat="1" spans="1:2">
      <c r="A1678" s="12">
        <f>DATE(2012,12,31)-783</f>
        <v>40491</v>
      </c>
      <c r="B1678" s="13">
        <v>49.89</v>
      </c>
    </row>
    <row r="1679" s="6" customFormat="1" spans="1:2">
      <c r="A1679" s="12">
        <f>DATE(2012,12,31)-783</f>
        <v>40491</v>
      </c>
      <c r="B1679" s="13">
        <v>1831.529</v>
      </c>
    </row>
    <row r="1680" s="6" customFormat="1" spans="1:2">
      <c r="A1680" s="12">
        <f>DATE(2012,12,31)-1207</f>
        <v>40067</v>
      </c>
      <c r="B1680" s="13">
        <v>17.59</v>
      </c>
    </row>
    <row r="1681" s="6" customFormat="1" spans="1:2">
      <c r="A1681" s="12">
        <f>DATE(2012,12,31)-1207</f>
        <v>40067</v>
      </c>
      <c r="B1681" s="13">
        <v>308.81</v>
      </c>
    </row>
    <row r="1682" s="6" customFormat="1" spans="1:2">
      <c r="A1682" s="12">
        <f>DATE(2012,12,31)-6</f>
        <v>41268</v>
      </c>
      <c r="B1682" s="13">
        <v>4852.05</v>
      </c>
    </row>
    <row r="1683" s="6" customFormat="1" spans="1:2">
      <c r="A1683" s="12">
        <f>DATE(2012,12,31)-388</f>
        <v>40886</v>
      </c>
      <c r="B1683" s="13">
        <v>686.2</v>
      </c>
    </row>
    <row r="1684" s="6" customFormat="1" spans="1:2">
      <c r="A1684" s="12">
        <f>DATE(2012,12,31)-388</f>
        <v>40886</v>
      </c>
      <c r="B1684" s="13">
        <v>1274.5155</v>
      </c>
    </row>
    <row r="1685" s="6" customFormat="1" spans="1:2">
      <c r="A1685" s="12">
        <f>DATE(2012,12,31)-750</f>
        <v>40524</v>
      </c>
      <c r="B1685" s="13">
        <v>10341.47</v>
      </c>
    </row>
    <row r="1686" s="6" customFormat="1" spans="1:2">
      <c r="A1686" s="12">
        <f>DATE(2012,12,31)-750</f>
        <v>40524</v>
      </c>
      <c r="B1686" s="13">
        <v>55.21</v>
      </c>
    </row>
    <row r="1687" s="6" customFormat="1" spans="1:2">
      <c r="A1687" s="12">
        <f>DATE(2012,12,31)-750</f>
        <v>40524</v>
      </c>
      <c r="B1687" s="13">
        <v>38.3</v>
      </c>
    </row>
    <row r="1688" s="6" customFormat="1" spans="1:2">
      <c r="A1688" s="12">
        <f>DATE(2012,12,31)-671</f>
        <v>40603</v>
      </c>
      <c r="B1688" s="13">
        <v>3355.154</v>
      </c>
    </row>
    <row r="1689" s="6" customFormat="1" spans="1:2">
      <c r="A1689" s="12">
        <f>DATE(2012,12,31)-943</f>
        <v>40331</v>
      </c>
      <c r="B1689" s="13">
        <v>599.52</v>
      </c>
    </row>
    <row r="1690" s="6" customFormat="1" spans="1:2">
      <c r="A1690" s="12">
        <f>DATE(2012,12,31)-943</f>
        <v>40331</v>
      </c>
      <c r="B1690" s="13">
        <v>10330.94</v>
      </c>
    </row>
    <row r="1691" s="6" customFormat="1" spans="1:2">
      <c r="A1691" s="12">
        <f>DATE(2012,12,31)-383</f>
        <v>40891</v>
      </c>
      <c r="B1691" s="13">
        <v>19</v>
      </c>
    </row>
    <row r="1692" s="6" customFormat="1" spans="1:2">
      <c r="A1692" s="12">
        <f>DATE(2012,12,31)-383</f>
        <v>40891</v>
      </c>
      <c r="B1692" s="13">
        <v>8289.51</v>
      </c>
    </row>
    <row r="1693" s="6" customFormat="1" spans="1:2">
      <c r="A1693" s="12">
        <f>DATE(2012,12,31)-1115</f>
        <v>40159</v>
      </c>
      <c r="B1693" s="13">
        <v>302.91</v>
      </c>
    </row>
    <row r="1694" s="6" customFormat="1" spans="1:2">
      <c r="A1694" s="12">
        <f>DATE(2012,12,31)-1115</f>
        <v>40159</v>
      </c>
      <c r="B1694" s="13">
        <v>842.6135</v>
      </c>
    </row>
    <row r="1695" s="6" customFormat="1" spans="1:2">
      <c r="A1695" s="12">
        <f>DATE(2012,12,31)-1285</f>
        <v>39989</v>
      </c>
      <c r="B1695" s="13">
        <v>159.51</v>
      </c>
    </row>
    <row r="1696" s="6" customFormat="1" spans="1:2">
      <c r="A1696" s="12">
        <f>DATE(2012,12,31)-1285</f>
        <v>39989</v>
      </c>
      <c r="B1696" s="13">
        <v>5015.051</v>
      </c>
    </row>
    <row r="1697" s="6" customFormat="1" spans="1:2">
      <c r="A1697" s="12">
        <f>DATE(2012,12,31)-13</f>
        <v>41261</v>
      </c>
      <c r="B1697" s="13">
        <v>117.97</v>
      </c>
    </row>
    <row r="1698" s="6" customFormat="1" spans="1:2">
      <c r="A1698" s="12">
        <f>DATE(2012,12,31)-1127</f>
        <v>40147</v>
      </c>
      <c r="B1698" s="13">
        <v>561.65</v>
      </c>
    </row>
    <row r="1699" s="6" customFormat="1" spans="1:2">
      <c r="A1699" s="12">
        <f>DATE(2012,12,31)-1127</f>
        <v>40147</v>
      </c>
      <c r="B1699" s="13">
        <v>55.6</v>
      </c>
    </row>
    <row r="1700" s="6" customFormat="1" spans="1:2">
      <c r="A1700" s="12">
        <f>DATE(2012,12,31)-1127</f>
        <v>40147</v>
      </c>
      <c r="B1700" s="13">
        <v>2431.13</v>
      </c>
    </row>
    <row r="1701" s="6" customFormat="1" spans="1:2">
      <c r="A1701" s="12">
        <f>DATE(2012,12,31)-1127</f>
        <v>40147</v>
      </c>
      <c r="B1701" s="13">
        <v>113.4</v>
      </c>
    </row>
    <row r="1702" s="6" customFormat="1" spans="1:2">
      <c r="A1702" s="12">
        <f>DATE(2012,12,31)-1051</f>
        <v>40223</v>
      </c>
      <c r="B1702" s="13">
        <v>5007.69</v>
      </c>
    </row>
    <row r="1703" spans="1:2">
      <c r="A1703" s="14">
        <f>DATE(2012,12,31)-1051</f>
        <v>40223</v>
      </c>
      <c r="B1703" s="15">
        <v>1379.62</v>
      </c>
    </row>
    <row r="1704" s="6" customFormat="1" spans="1:2">
      <c r="A1704" s="12">
        <f>DATE(2012,12,31)-800</f>
        <v>40474</v>
      </c>
      <c r="B1704" s="13">
        <v>2237.76</v>
      </c>
    </row>
    <row r="1705" s="6" customFormat="1" spans="1:2">
      <c r="A1705" s="12">
        <f>DATE(2012,12,31)-800</f>
        <v>40474</v>
      </c>
      <c r="B1705" s="13">
        <v>20.59</v>
      </c>
    </row>
    <row r="1706" s="6" customFormat="1" spans="1:2">
      <c r="A1706" s="12">
        <f>DATE(2012,12,31)-800</f>
        <v>40474</v>
      </c>
      <c r="B1706" s="13">
        <v>281.74</v>
      </c>
    </row>
    <row r="1707" s="6" customFormat="1" spans="1:2">
      <c r="A1707" s="12">
        <f>DATE(2012,12,31)-800</f>
        <v>40474</v>
      </c>
      <c r="B1707" s="13">
        <v>217.35</v>
      </c>
    </row>
    <row r="1708" s="6" customFormat="1" spans="1:2">
      <c r="A1708" s="12">
        <f>DATE(2012,12,31)-800</f>
        <v>40474</v>
      </c>
      <c r="B1708" s="13">
        <v>2746.57</v>
      </c>
    </row>
    <row r="1709" s="6" customFormat="1" spans="1:2">
      <c r="A1709" s="12">
        <f>DATE(2012,12,31)-387</f>
        <v>40887</v>
      </c>
      <c r="B1709" s="13">
        <v>1212.928</v>
      </c>
    </row>
    <row r="1710" s="6" customFormat="1" spans="1:2">
      <c r="A1710" s="12">
        <f>DATE(2012,12,31)-544</f>
        <v>40730</v>
      </c>
      <c r="B1710" s="13">
        <v>515.65</v>
      </c>
    </row>
    <row r="1711" s="6" customFormat="1" spans="1:2">
      <c r="A1711" s="12">
        <f>DATE(2012,12,31)-373</f>
        <v>40901</v>
      </c>
      <c r="B1711" s="13">
        <v>3019.41</v>
      </c>
    </row>
    <row r="1712" s="6" customFormat="1" spans="1:2">
      <c r="A1712" s="12">
        <f>DATE(2012,12,31)-212</f>
        <v>41062</v>
      </c>
      <c r="B1712" s="13">
        <v>824.24</v>
      </c>
    </row>
    <row r="1713" spans="1:2">
      <c r="A1713" s="14">
        <f>DATE(2012,12,31)-562</f>
        <v>40712</v>
      </c>
      <c r="B1713" s="15">
        <v>283.17</v>
      </c>
    </row>
    <row r="1714" s="6" customFormat="1" spans="1:2">
      <c r="A1714" s="12">
        <f>DATE(2012,12,31)-377</f>
        <v>40897</v>
      </c>
      <c r="B1714" s="13">
        <v>539.21</v>
      </c>
    </row>
    <row r="1715" s="6" customFormat="1" spans="1:2">
      <c r="A1715" s="12">
        <f>DATE(2012,12,31)-600</f>
        <v>40674</v>
      </c>
      <c r="B1715" s="13">
        <v>3436.9</v>
      </c>
    </row>
    <row r="1716" s="6" customFormat="1" spans="1:2">
      <c r="A1716" s="12">
        <f>DATE(2012,12,31)-639</f>
        <v>40635</v>
      </c>
      <c r="B1716" s="13">
        <v>513.74</v>
      </c>
    </row>
    <row r="1717" s="6" customFormat="1" spans="1:2">
      <c r="A1717" s="12">
        <f>DATE(2012,12,31)-639</f>
        <v>40635</v>
      </c>
      <c r="B1717" s="13">
        <v>36.8</v>
      </c>
    </row>
    <row r="1718" s="6" customFormat="1" spans="1:2">
      <c r="A1718" s="12">
        <f>DATE(2012,12,31)-698</f>
        <v>40576</v>
      </c>
      <c r="B1718" s="13">
        <v>123.82</v>
      </c>
    </row>
    <row r="1719" s="6" customFormat="1" spans="1:2">
      <c r="A1719" s="12">
        <f>DATE(2012,12,31)-283</f>
        <v>40991</v>
      </c>
      <c r="B1719" s="13">
        <v>36.86</v>
      </c>
    </row>
    <row r="1720" s="6" customFormat="1" spans="1:2">
      <c r="A1720" s="12">
        <f>DATE(2012,12,31)-583</f>
        <v>40691</v>
      </c>
      <c r="B1720" s="13">
        <v>209.53</v>
      </c>
    </row>
    <row r="1721" s="6" customFormat="1" spans="1:2">
      <c r="A1721" s="12">
        <f>DATE(2012,12,31)-583</f>
        <v>40691</v>
      </c>
      <c r="B1721" s="13">
        <v>225.47</v>
      </c>
    </row>
    <row r="1722" s="6" customFormat="1" spans="1:2">
      <c r="A1722" s="12">
        <f>DATE(2012,12,31)-583</f>
        <v>40691</v>
      </c>
      <c r="B1722" s="13">
        <v>168.66</v>
      </c>
    </row>
    <row r="1723" s="6" customFormat="1" spans="1:2">
      <c r="A1723" s="12">
        <f>DATE(2012,12,31)-74</f>
        <v>41200</v>
      </c>
      <c r="B1723" s="13">
        <v>243.05</v>
      </c>
    </row>
    <row r="1724" s="6" customFormat="1" spans="1:2">
      <c r="A1724" s="12">
        <f>DATE(2012,12,31)-1245</f>
        <v>40029</v>
      </c>
      <c r="B1724" s="13">
        <v>2560.59</v>
      </c>
    </row>
    <row r="1725" s="6" customFormat="1" spans="1:2">
      <c r="A1725" s="12">
        <f>DATE(2012,12,31)-1245</f>
        <v>40029</v>
      </c>
      <c r="B1725" s="13">
        <v>189.04</v>
      </c>
    </row>
    <row r="1726" s="6" customFormat="1" spans="1:2">
      <c r="A1726" s="12">
        <f>DATE(2012,12,31)-799</f>
        <v>40475</v>
      </c>
      <c r="B1726" s="13">
        <v>137.84</v>
      </c>
    </row>
    <row r="1727" s="6" customFormat="1" spans="1:2">
      <c r="A1727" s="12">
        <f>DATE(2012,12,31)-317</f>
        <v>40957</v>
      </c>
      <c r="B1727" s="13">
        <v>299.01</v>
      </c>
    </row>
    <row r="1728" s="6" customFormat="1" spans="1:2">
      <c r="A1728" s="12">
        <f>DATE(2012,12,31)-443</f>
        <v>40831</v>
      </c>
      <c r="B1728" s="13">
        <v>22079.47</v>
      </c>
    </row>
    <row r="1729" s="6" customFormat="1" spans="1:2">
      <c r="A1729" s="12">
        <f>DATE(2012,12,31)-736</f>
        <v>40538</v>
      </c>
      <c r="B1729" s="13">
        <v>536.25</v>
      </c>
    </row>
    <row r="1730" s="6" customFormat="1" spans="1:2">
      <c r="A1730" s="12">
        <f>DATE(2012,12,31)-736</f>
        <v>40538</v>
      </c>
      <c r="B1730" s="13">
        <v>5.73</v>
      </c>
    </row>
    <row r="1731" s="6" customFormat="1" spans="1:2">
      <c r="A1731" s="12">
        <f>DATE(2012,12,31)-419</f>
        <v>40855</v>
      </c>
      <c r="B1731" s="13">
        <v>240.27</v>
      </c>
    </row>
    <row r="1732" s="6" customFormat="1" spans="1:2">
      <c r="A1732" s="12">
        <f>DATE(2012,12,31)-419</f>
        <v>40855</v>
      </c>
      <c r="B1732" s="13">
        <v>6802.37</v>
      </c>
    </row>
    <row r="1733" s="6" customFormat="1" spans="1:2">
      <c r="A1733" s="12">
        <f>DATE(2012,12,31)-1065</f>
        <v>40209</v>
      </c>
      <c r="B1733" s="13">
        <v>1400.1</v>
      </c>
    </row>
    <row r="1734" s="6" customFormat="1" spans="1:2">
      <c r="A1734" s="12">
        <f>DATE(2012,12,31)-1390</f>
        <v>39884</v>
      </c>
      <c r="B1734" s="13">
        <v>1146.41</v>
      </c>
    </row>
    <row r="1735" s="6" customFormat="1" spans="1:2">
      <c r="A1735" s="12">
        <f>DATE(2012,12,31)-987</f>
        <v>40287</v>
      </c>
      <c r="B1735" s="13">
        <v>3662.16</v>
      </c>
    </row>
    <row r="1736" s="6" customFormat="1" spans="1:2">
      <c r="A1736" s="12">
        <f>DATE(2012,12,31)-987</f>
        <v>40287</v>
      </c>
      <c r="B1736" s="13">
        <v>329.37</v>
      </c>
    </row>
    <row r="1737" spans="1:2">
      <c r="A1737" s="14">
        <f>DATE(2012,12,31)-755</f>
        <v>40519</v>
      </c>
      <c r="B1737" s="15">
        <v>356.95</v>
      </c>
    </row>
    <row r="1738" s="6" customFormat="1" spans="1:2">
      <c r="A1738" s="12">
        <f>DATE(2012,12,31)-755</f>
        <v>40519</v>
      </c>
      <c r="B1738" s="13">
        <v>112.86</v>
      </c>
    </row>
    <row r="1739" spans="1:2">
      <c r="A1739" s="14">
        <f>DATE(2012,12,31)-755</f>
        <v>40519</v>
      </c>
      <c r="B1739" s="15">
        <v>2063.42</v>
      </c>
    </row>
    <row r="1740" s="6" customFormat="1" spans="1:2">
      <c r="A1740" s="12">
        <f>DATE(2012,12,31)-1273</f>
        <v>40001</v>
      </c>
      <c r="B1740" s="13">
        <v>1187.01</v>
      </c>
    </row>
    <row r="1741" s="6" customFormat="1" spans="1:2">
      <c r="A1741" s="12">
        <f>DATE(2012,12,31)-540</f>
        <v>40734</v>
      </c>
      <c r="B1741" s="13">
        <v>744</v>
      </c>
    </row>
    <row r="1742" s="6" customFormat="1" spans="1:2">
      <c r="A1742" s="12">
        <f>DATE(2012,12,31)-540</f>
        <v>40734</v>
      </c>
      <c r="B1742" s="13">
        <v>388.8665</v>
      </c>
    </row>
    <row r="1743" s="6" customFormat="1" spans="1:2">
      <c r="A1743" s="12">
        <f>DATE(2012,12,31)-880</f>
        <v>40394</v>
      </c>
      <c r="B1743" s="13">
        <v>1676.44</v>
      </c>
    </row>
    <row r="1744" s="6" customFormat="1" spans="1:2">
      <c r="A1744" s="12">
        <f>DATE(2012,12,31)-880</f>
        <v>40394</v>
      </c>
      <c r="B1744" s="13">
        <v>1406.07</v>
      </c>
    </row>
    <row r="1745" s="6" customFormat="1" spans="1:2">
      <c r="A1745" s="12">
        <f>DATE(2012,12,31)-880</f>
        <v>40394</v>
      </c>
      <c r="B1745" s="13">
        <v>1771.67</v>
      </c>
    </row>
    <row r="1746" s="6" customFormat="1" spans="1:2">
      <c r="A1746" s="12">
        <f>DATE(2012,12,31)-877</f>
        <v>40397</v>
      </c>
      <c r="B1746" s="13">
        <v>5407.31</v>
      </c>
    </row>
    <row r="1747" s="6" customFormat="1" spans="1:2">
      <c r="A1747" s="12">
        <f>DATE(2012,12,31)-680</f>
        <v>40594</v>
      </c>
      <c r="B1747" s="13">
        <v>3081.33</v>
      </c>
    </row>
    <row r="1748" s="6" customFormat="1" spans="1:2">
      <c r="A1748" s="12">
        <f>DATE(2012,12,31)-680</f>
        <v>40594</v>
      </c>
      <c r="B1748" s="13">
        <v>1692.56</v>
      </c>
    </row>
    <row r="1749" s="6" customFormat="1" spans="1:2">
      <c r="A1749" s="12">
        <f>DATE(2012,12,31)-963</f>
        <v>40311</v>
      </c>
      <c r="B1749" s="13">
        <v>1702.499</v>
      </c>
    </row>
    <row r="1750" s="6" customFormat="1" spans="1:2">
      <c r="A1750" s="12">
        <f>DATE(2012,12,31)-1317</f>
        <v>39957</v>
      </c>
      <c r="B1750" s="13">
        <v>2360.43</v>
      </c>
    </row>
    <row r="1751" spans="1:2">
      <c r="A1751" s="14">
        <f>DATE(2012,12,31)-1317</f>
        <v>39957</v>
      </c>
      <c r="B1751" s="15">
        <v>154.6</v>
      </c>
    </row>
    <row r="1752" s="6" customFormat="1" spans="1:2">
      <c r="A1752" s="12">
        <f>DATE(2012,12,31)-1399</f>
        <v>39875</v>
      </c>
      <c r="B1752" s="13">
        <v>74.3</v>
      </c>
    </row>
    <row r="1753" s="6" customFormat="1" spans="1:2">
      <c r="A1753" s="12">
        <f>DATE(2012,12,31)-203</f>
        <v>41071</v>
      </c>
      <c r="B1753" s="13">
        <v>5023.2535</v>
      </c>
    </row>
    <row r="1754" s="6" customFormat="1" spans="1:2">
      <c r="A1754" s="12">
        <f>DATE(2012,12,31)-564</f>
        <v>40710</v>
      </c>
      <c r="B1754" s="13">
        <v>70.33</v>
      </c>
    </row>
    <row r="1755" spans="1:2">
      <c r="A1755" s="14">
        <f>DATE(2012,12,31)-1083</f>
        <v>40191</v>
      </c>
      <c r="B1755" s="15">
        <v>140.72</v>
      </c>
    </row>
    <row r="1756" s="6" customFormat="1" spans="1:2">
      <c r="A1756" s="12">
        <f>DATE(2012,12,31)-1083</f>
        <v>40191</v>
      </c>
      <c r="B1756" s="13">
        <v>8038.08</v>
      </c>
    </row>
    <row r="1757" s="6" customFormat="1" spans="1:2">
      <c r="A1757" s="12">
        <f>DATE(2012,12,31)-1168</f>
        <v>40106</v>
      </c>
      <c r="B1757" s="13">
        <v>1768.969</v>
      </c>
    </row>
    <row r="1758" s="6" customFormat="1" spans="1:2">
      <c r="A1758" s="12">
        <f>DATE(2012,12,31)-443</f>
        <v>40831</v>
      </c>
      <c r="B1758" s="13">
        <v>189.99</v>
      </c>
    </row>
    <row r="1759" s="6" customFormat="1" spans="1:2">
      <c r="A1759" s="12">
        <f>DATE(2012,12,31)-741</f>
        <v>40533</v>
      </c>
      <c r="B1759" s="13">
        <v>2360.98</v>
      </c>
    </row>
    <row r="1760" s="6" customFormat="1" spans="1:2">
      <c r="A1760" s="12">
        <f>DATE(2012,12,31)-741</f>
        <v>40533</v>
      </c>
      <c r="B1760" s="13">
        <v>182.2</v>
      </c>
    </row>
    <row r="1761" spans="1:2">
      <c r="A1761" s="14">
        <f>DATE(2012,12,31)-996</f>
        <v>40278</v>
      </c>
      <c r="B1761" s="15">
        <v>15.64</v>
      </c>
    </row>
    <row r="1762" spans="1:2">
      <c r="A1762" s="14">
        <f>DATE(2012,12,31)-996</f>
        <v>40278</v>
      </c>
      <c r="B1762" s="15">
        <v>1751.08</v>
      </c>
    </row>
    <row r="1763" s="6" customFormat="1" spans="1:2">
      <c r="A1763" s="12">
        <f>DATE(2012,12,31)-996</f>
        <v>40278</v>
      </c>
      <c r="B1763" s="13">
        <v>225.37</v>
      </c>
    </row>
    <row r="1764" s="6" customFormat="1" spans="1:2">
      <c r="A1764" s="12">
        <f>DATE(2012,12,31)-678</f>
        <v>40596</v>
      </c>
      <c r="B1764" s="13">
        <v>107.12</v>
      </c>
    </row>
    <row r="1765" s="6" customFormat="1" spans="1:2">
      <c r="A1765" s="12">
        <f>DATE(2012,12,31)-678</f>
        <v>40596</v>
      </c>
      <c r="B1765" s="13">
        <v>676.24</v>
      </c>
    </row>
    <row r="1766" s="6" customFormat="1" spans="1:2">
      <c r="A1766" s="12">
        <f>DATE(2012,12,31)-678</f>
        <v>40596</v>
      </c>
      <c r="B1766" s="13">
        <v>3668.6</v>
      </c>
    </row>
    <row r="1767" s="6" customFormat="1" spans="1:2">
      <c r="A1767" s="12">
        <f>DATE(2012,12,31)-1344</f>
        <v>39930</v>
      </c>
      <c r="B1767" s="13">
        <v>564.85</v>
      </c>
    </row>
    <row r="1768" s="6" customFormat="1" spans="1:2">
      <c r="A1768" s="12">
        <f>DATE(2012,12,31)-1344</f>
        <v>39930</v>
      </c>
      <c r="B1768" s="13">
        <v>572.33</v>
      </c>
    </row>
    <row r="1769" s="6" customFormat="1" spans="1:2">
      <c r="A1769" s="12">
        <f>DATE(2012,12,31)-1018</f>
        <v>40256</v>
      </c>
      <c r="B1769" s="13">
        <v>345.69</v>
      </c>
    </row>
    <row r="1770" s="6" customFormat="1" spans="1:2">
      <c r="A1770" s="12">
        <f>DATE(2012,12,31)-1446</f>
        <v>39828</v>
      </c>
      <c r="B1770" s="13">
        <v>201.06</v>
      </c>
    </row>
    <row r="1771" s="6" customFormat="1" spans="1:2">
      <c r="A1771" s="12">
        <f>DATE(2012,12,31)-1056</f>
        <v>40218</v>
      </c>
      <c r="B1771" s="13">
        <v>21506.77</v>
      </c>
    </row>
    <row r="1772" s="6" customFormat="1" spans="1:2">
      <c r="A1772" s="12">
        <f>DATE(2012,12,31)-1056</f>
        <v>40218</v>
      </c>
      <c r="B1772" s="13">
        <v>669.02</v>
      </c>
    </row>
    <row r="1773" s="6" customFormat="1" spans="1:2">
      <c r="A1773" s="12">
        <f>DATE(2012,12,31)-1137</f>
        <v>40137</v>
      </c>
      <c r="B1773" s="13">
        <v>2494.69</v>
      </c>
    </row>
    <row r="1774" s="6" customFormat="1" spans="1:2">
      <c r="A1774" s="12">
        <f>DATE(2012,12,31)-947</f>
        <v>40327</v>
      </c>
      <c r="B1774" s="13">
        <v>2213.92</v>
      </c>
    </row>
    <row r="1775" s="6" customFormat="1" spans="1:2">
      <c r="A1775" s="12">
        <f>DATE(2012,12,31)-1089</f>
        <v>40185</v>
      </c>
      <c r="B1775" s="13">
        <v>159.41</v>
      </c>
    </row>
    <row r="1776" s="6" customFormat="1" spans="1:2">
      <c r="A1776" s="12">
        <f>DATE(2012,12,31)-867</f>
        <v>40407</v>
      </c>
      <c r="B1776" s="13">
        <v>2116.62</v>
      </c>
    </row>
    <row r="1777" spans="1:2">
      <c r="A1777" s="14">
        <f>DATE(2012,12,31)-316</f>
        <v>40958</v>
      </c>
      <c r="B1777" s="15">
        <v>1486.72</v>
      </c>
    </row>
    <row r="1778" spans="1:2">
      <c r="A1778" s="14">
        <f>DATE(2012,12,31)-316</f>
        <v>40958</v>
      </c>
      <c r="B1778" s="15">
        <v>558.04</v>
      </c>
    </row>
    <row r="1779" s="6" customFormat="1" spans="1:2">
      <c r="A1779" s="12">
        <f>DATE(2012,12,31)-1029</f>
        <v>40245</v>
      </c>
      <c r="B1779" s="13">
        <v>25.52</v>
      </c>
    </row>
    <row r="1780" s="6" customFormat="1" spans="1:2">
      <c r="A1780" s="12">
        <f>DATE(2012,12,31)-922</f>
        <v>40352</v>
      </c>
      <c r="B1780" s="13">
        <v>677.518</v>
      </c>
    </row>
    <row r="1781" s="6" customFormat="1" spans="1:2">
      <c r="A1781" s="12">
        <f>DATE(2012,12,31)-1363</f>
        <v>39911</v>
      </c>
      <c r="B1781" s="13">
        <v>1562.97</v>
      </c>
    </row>
    <row r="1782" s="6" customFormat="1" spans="1:2">
      <c r="A1782" s="12">
        <f>DATE(2012,12,31)-1444</f>
        <v>39830</v>
      </c>
      <c r="B1782" s="13">
        <v>1143.49</v>
      </c>
    </row>
    <row r="1783" s="6" customFormat="1" spans="1:2">
      <c r="A1783" s="12">
        <f>DATE(2012,12,31)-1444</f>
        <v>39830</v>
      </c>
      <c r="B1783" s="13">
        <v>78.08</v>
      </c>
    </row>
    <row r="1784" spans="1:2">
      <c r="A1784" s="14">
        <f>DATE(2012,12,31)-720</f>
        <v>40554</v>
      </c>
      <c r="B1784" s="15">
        <v>17</v>
      </c>
    </row>
    <row r="1785" s="6" customFormat="1" spans="1:2">
      <c r="A1785" s="12">
        <f>DATE(2012,12,31)-720</f>
        <v>40554</v>
      </c>
      <c r="B1785" s="13">
        <v>67.41</v>
      </c>
    </row>
    <row r="1786" spans="1:2">
      <c r="A1786" s="14">
        <f>DATE(2012,12,31)-720</f>
        <v>40554</v>
      </c>
      <c r="B1786" s="15">
        <v>130.67</v>
      </c>
    </row>
    <row r="1787" spans="1:2">
      <c r="A1787" s="14">
        <f>DATE(2012,12,31)-720</f>
        <v>40554</v>
      </c>
      <c r="B1787" s="15">
        <v>77.62</v>
      </c>
    </row>
    <row r="1788" spans="1:2">
      <c r="A1788" s="14">
        <f>DATE(2012,12,31)-1040</f>
        <v>40234</v>
      </c>
      <c r="B1788" s="15">
        <v>383.81</v>
      </c>
    </row>
    <row r="1789" s="6" customFormat="1" spans="1:2">
      <c r="A1789" s="12">
        <f>DATE(2012,12,31)-220</f>
        <v>41054</v>
      </c>
      <c r="B1789" s="13">
        <v>69.06</v>
      </c>
    </row>
    <row r="1790" s="6" customFormat="1" spans="1:2">
      <c r="A1790" s="12">
        <f>DATE(2012,12,31)-220</f>
        <v>41054</v>
      </c>
      <c r="B1790" s="13">
        <v>84.01</v>
      </c>
    </row>
    <row r="1791" s="6" customFormat="1" spans="1:2">
      <c r="A1791" s="12">
        <f>DATE(2012,12,31)-220</f>
        <v>41054</v>
      </c>
      <c r="B1791" s="13">
        <v>592.92</v>
      </c>
    </row>
    <row r="1792" s="6" customFormat="1" spans="1:2">
      <c r="A1792" s="12">
        <f>DATE(2012,12,31)-373</f>
        <v>40901</v>
      </c>
      <c r="B1792" s="13">
        <v>761.23</v>
      </c>
    </row>
    <row r="1793" s="6" customFormat="1" spans="1:2">
      <c r="A1793" s="12">
        <f>DATE(2012,12,31)-29</f>
        <v>41245</v>
      </c>
      <c r="B1793" s="13">
        <v>66.19</v>
      </c>
    </row>
    <row r="1794" s="6" customFormat="1" spans="1:2">
      <c r="A1794" s="12">
        <f>DATE(2012,12,31)-29</f>
        <v>41245</v>
      </c>
      <c r="B1794" s="13">
        <v>1100.21</v>
      </c>
    </row>
    <row r="1795" s="6" customFormat="1" spans="1:2">
      <c r="A1795" s="12">
        <f>DATE(2012,12,31)-661</f>
        <v>40613</v>
      </c>
      <c r="B1795" s="13">
        <v>127.49</v>
      </c>
    </row>
    <row r="1796" spans="1:2">
      <c r="A1796" s="14">
        <f>DATE(2012,12,31)-671</f>
        <v>40603</v>
      </c>
      <c r="B1796" s="15">
        <v>53.33</v>
      </c>
    </row>
    <row r="1797" spans="1:2">
      <c r="A1797" s="14">
        <f>DATE(2012,12,31)-671</f>
        <v>40603</v>
      </c>
      <c r="B1797" s="15">
        <v>9.37</v>
      </c>
    </row>
    <row r="1798" s="6" customFormat="1" spans="1:2">
      <c r="A1798" s="12">
        <f>DATE(2012,12,31)-1436</f>
        <v>39838</v>
      </c>
      <c r="B1798" s="13">
        <v>1532.482</v>
      </c>
    </row>
    <row r="1799" s="6" customFormat="1" spans="1:2">
      <c r="A1799" s="12">
        <f>DATE(2012,12,31)-454</f>
        <v>40820</v>
      </c>
      <c r="B1799" s="13">
        <v>459.26</v>
      </c>
    </row>
    <row r="1800" s="6" customFormat="1" spans="1:2">
      <c r="A1800" s="12">
        <f>DATE(2012,12,31)-532</f>
        <v>40742</v>
      </c>
      <c r="B1800" s="13">
        <v>141.49</v>
      </c>
    </row>
    <row r="1801" s="6" customFormat="1" spans="1:2">
      <c r="A1801" s="12">
        <f>DATE(2012,12,31)-532</f>
        <v>40742</v>
      </c>
      <c r="B1801" s="13">
        <v>211.55</v>
      </c>
    </row>
    <row r="1802" s="6" customFormat="1" spans="1:2">
      <c r="A1802" s="12">
        <f>DATE(2012,12,31)-973</f>
        <v>40301</v>
      </c>
      <c r="B1802" s="13">
        <v>627.12</v>
      </c>
    </row>
    <row r="1803" s="6" customFormat="1" spans="1:2">
      <c r="A1803" s="12">
        <f>DATE(2012,12,31)-973</f>
        <v>40301</v>
      </c>
      <c r="B1803" s="13">
        <v>4096.21</v>
      </c>
    </row>
    <row r="1804" s="6" customFormat="1" spans="1:2">
      <c r="A1804" s="12">
        <f>DATE(2012,12,31)-794</f>
        <v>40480</v>
      </c>
      <c r="B1804" s="13">
        <v>302.05</v>
      </c>
    </row>
    <row r="1805" s="6" customFormat="1" spans="1:2">
      <c r="A1805" s="12">
        <f>DATE(2012,12,31)-794</f>
        <v>40480</v>
      </c>
      <c r="B1805" s="13">
        <v>3645.45</v>
      </c>
    </row>
    <row r="1806" s="6" customFormat="1" spans="1:2">
      <c r="A1806" s="12">
        <f>DATE(2012,12,31)-1193</f>
        <v>40081</v>
      </c>
      <c r="B1806" s="13">
        <v>63.427</v>
      </c>
    </row>
    <row r="1807" s="6" customFormat="1" spans="1:2">
      <c r="A1807" s="12">
        <f>DATE(2012,12,31)-854</f>
        <v>40420</v>
      </c>
      <c r="B1807" s="13">
        <v>5297.47</v>
      </c>
    </row>
    <row r="1808" s="6" customFormat="1" spans="1:2">
      <c r="A1808" s="12">
        <f>DATE(2012,12,31)-854</f>
        <v>40420</v>
      </c>
      <c r="B1808" s="13">
        <v>95.3</v>
      </c>
    </row>
    <row r="1809" s="6" customFormat="1" spans="1:2">
      <c r="A1809" s="12">
        <f>DATE(2012,12,31)-403</f>
        <v>40871</v>
      </c>
      <c r="B1809" s="13">
        <v>1147.64</v>
      </c>
    </row>
    <row r="1810" spans="1:2">
      <c r="A1810" s="14">
        <f>DATE(2012,12,31)-251</f>
        <v>41023</v>
      </c>
      <c r="B1810" s="15">
        <v>653.92</v>
      </c>
    </row>
    <row r="1811" spans="1:2">
      <c r="A1811" s="14">
        <f>DATE(2012,12,31)-1397</f>
        <v>39877</v>
      </c>
      <c r="B1811" s="15">
        <v>440.39</v>
      </c>
    </row>
    <row r="1812" spans="1:2">
      <c r="A1812" s="14">
        <f>DATE(2012,12,31)-1397</f>
        <v>39877</v>
      </c>
      <c r="B1812" s="15">
        <v>96.99</v>
      </c>
    </row>
    <row r="1813" s="6" customFormat="1" spans="1:2">
      <c r="A1813" s="12">
        <f>DATE(2012,12,31)-920</f>
        <v>40354</v>
      </c>
      <c r="B1813" s="13">
        <v>44.74</v>
      </c>
    </row>
    <row r="1814" s="6" customFormat="1" spans="1:2">
      <c r="A1814" s="12">
        <f>DATE(2012,12,31)-920</f>
        <v>40354</v>
      </c>
      <c r="B1814" s="13">
        <v>90.78</v>
      </c>
    </row>
    <row r="1815" spans="1:2">
      <c r="A1815" s="14">
        <f>DATE(2012,12,31)-1003</f>
        <v>40271</v>
      </c>
      <c r="B1815" s="15">
        <v>2712.07</v>
      </c>
    </row>
    <row r="1816" spans="1:2">
      <c r="A1816" s="14">
        <f>DATE(2012,12,31)-351</f>
        <v>40923</v>
      </c>
      <c r="B1816" s="15">
        <v>290.68</v>
      </c>
    </row>
    <row r="1817" s="6" customFormat="1" spans="1:2">
      <c r="A1817" s="12">
        <f>DATE(2012,12,31)-1363</f>
        <v>39911</v>
      </c>
      <c r="B1817" s="13">
        <v>1357.53</v>
      </c>
    </row>
    <row r="1818" s="6" customFormat="1" spans="1:2">
      <c r="A1818" s="12">
        <f>DATE(2012,12,31)-1258</f>
        <v>40016</v>
      </c>
      <c r="B1818" s="13">
        <v>136.2</v>
      </c>
    </row>
    <row r="1819" s="6" customFormat="1" spans="1:2">
      <c r="A1819" s="12">
        <f>DATE(2012,12,31)-27</f>
        <v>41247</v>
      </c>
      <c r="B1819" s="13">
        <v>210.06</v>
      </c>
    </row>
    <row r="1820" s="6" customFormat="1" spans="1:2">
      <c r="A1820" s="12">
        <f>DATE(2012,12,31)-1349</f>
        <v>39925</v>
      </c>
      <c r="B1820" s="13">
        <v>3387.32</v>
      </c>
    </row>
    <row r="1821" spans="1:2">
      <c r="A1821" s="14">
        <f>DATE(2012,12,31)-984</f>
        <v>40290</v>
      </c>
      <c r="B1821" s="15">
        <v>187.92</v>
      </c>
    </row>
    <row r="1822" s="6" customFormat="1" spans="1:2">
      <c r="A1822" s="12">
        <f>DATE(2012,12,31)-383</f>
        <v>40891</v>
      </c>
      <c r="B1822" s="13">
        <v>3577.11</v>
      </c>
    </row>
    <row r="1823" s="6" customFormat="1" spans="1:2">
      <c r="A1823" s="12">
        <f>DATE(2012,12,31)-889</f>
        <v>40385</v>
      </c>
      <c r="B1823" s="13">
        <v>150.2</v>
      </c>
    </row>
    <row r="1824" s="6" customFormat="1" spans="1:2">
      <c r="A1824" s="12">
        <f>DATE(2012,12,31)-1142</f>
        <v>40132</v>
      </c>
      <c r="B1824" s="13">
        <v>81.43</v>
      </c>
    </row>
    <row r="1825" s="6" customFormat="1" spans="1:2">
      <c r="A1825" s="12">
        <f>DATE(2012,12,31)-1142</f>
        <v>40132</v>
      </c>
      <c r="B1825" s="13">
        <v>883.15</v>
      </c>
    </row>
    <row r="1826" s="6" customFormat="1" spans="1:2">
      <c r="A1826" s="12">
        <f>DATE(2012,12,31)-866</f>
        <v>40408</v>
      </c>
      <c r="B1826" s="13">
        <v>283.57</v>
      </c>
    </row>
    <row r="1827" spans="1:2">
      <c r="A1827" s="14">
        <f>DATE(2012,12,31)-1113</f>
        <v>40161</v>
      </c>
      <c r="B1827" s="15">
        <v>590.43</v>
      </c>
    </row>
    <row r="1828" spans="1:2">
      <c r="A1828" s="14">
        <f>DATE(2012,12,31)-1113</f>
        <v>40161</v>
      </c>
      <c r="B1828" s="15">
        <v>216.33</v>
      </c>
    </row>
    <row r="1829" s="6" customFormat="1" spans="1:2">
      <c r="A1829" s="12">
        <f>DATE(2012,12,31)-1030</f>
        <v>40244</v>
      </c>
      <c r="B1829" s="13">
        <v>1211</v>
      </c>
    </row>
    <row r="1830" s="6" customFormat="1" spans="1:2">
      <c r="A1830" s="12">
        <f>DATE(2012,12,31)-1030</f>
        <v>40244</v>
      </c>
      <c r="B1830" s="13">
        <v>4924.135</v>
      </c>
    </row>
    <row r="1831" s="6" customFormat="1" spans="1:2">
      <c r="A1831" s="12">
        <f>DATE(2012,12,31)-749</f>
        <v>40525</v>
      </c>
      <c r="B1831" s="13">
        <v>990.73</v>
      </c>
    </row>
    <row r="1832" s="6" customFormat="1" spans="1:2">
      <c r="A1832" s="12">
        <f>DATE(2012,12,31)-439</f>
        <v>40835</v>
      </c>
      <c r="B1832" s="13">
        <v>24233.54</v>
      </c>
    </row>
    <row r="1833" s="6" customFormat="1" spans="1:2">
      <c r="A1833" s="12">
        <f>DATE(2012,12,31)-439</f>
        <v>40835</v>
      </c>
      <c r="B1833" s="13">
        <v>6325.65</v>
      </c>
    </row>
    <row r="1834" s="6" customFormat="1" spans="1:2">
      <c r="A1834" s="12">
        <f>DATE(2012,12,31)-439</f>
        <v>40835</v>
      </c>
      <c r="B1834" s="13">
        <v>380.62</v>
      </c>
    </row>
    <row r="1835" s="6" customFormat="1" spans="1:2">
      <c r="A1835" s="12">
        <f>DATE(2012,12,31)-884</f>
        <v>40390</v>
      </c>
      <c r="B1835" s="13">
        <v>951.31</v>
      </c>
    </row>
    <row r="1836" s="6" customFormat="1" spans="1:2">
      <c r="A1836" s="12">
        <f>DATE(2012,12,31)-453</f>
        <v>40821</v>
      </c>
      <c r="B1836" s="13">
        <v>502.01</v>
      </c>
    </row>
    <row r="1837" s="6" customFormat="1" spans="1:2">
      <c r="A1837" s="12">
        <f>DATE(2012,12,31)-324</f>
        <v>40950</v>
      </c>
      <c r="B1837" s="13">
        <v>38.93</v>
      </c>
    </row>
    <row r="1838" s="6" customFormat="1" spans="1:2">
      <c r="A1838" s="12">
        <f>DATE(2012,12,31)-41</f>
        <v>41233</v>
      </c>
      <c r="B1838" s="13">
        <v>187.16</v>
      </c>
    </row>
    <row r="1839" s="6" customFormat="1" spans="1:2">
      <c r="A1839" s="12">
        <f>DATE(2012,12,31)-1325</f>
        <v>39949</v>
      </c>
      <c r="B1839" s="13">
        <v>513.08</v>
      </c>
    </row>
    <row r="1840" s="6" customFormat="1" spans="1:2">
      <c r="A1840" s="12">
        <f>DATE(2012,12,31)-1325</f>
        <v>39949</v>
      </c>
      <c r="B1840" s="13">
        <v>98.8</v>
      </c>
    </row>
    <row r="1841" s="6" customFormat="1" spans="1:2">
      <c r="A1841" s="12">
        <f>DATE(2012,12,31)-1380</f>
        <v>39894</v>
      </c>
      <c r="B1841" s="13">
        <v>7312.86</v>
      </c>
    </row>
    <row r="1842" s="6" customFormat="1" spans="1:2">
      <c r="A1842" s="12">
        <f>DATE(2012,12,31)-1380</f>
        <v>39894</v>
      </c>
      <c r="B1842" s="13">
        <v>605.16</v>
      </c>
    </row>
    <row r="1843" s="6" customFormat="1" spans="1:2">
      <c r="A1843" s="12">
        <f>DATE(2012,12,31)-1207</f>
        <v>40067</v>
      </c>
      <c r="B1843" s="13">
        <v>460.68</v>
      </c>
    </row>
    <row r="1844" s="6" customFormat="1" spans="1:2">
      <c r="A1844" s="12">
        <f>DATE(2012,12,31)-1207</f>
        <v>40067</v>
      </c>
      <c r="B1844" s="13">
        <v>318.7585</v>
      </c>
    </row>
    <row r="1845" s="6" customFormat="1" spans="1:2">
      <c r="A1845" s="12">
        <f>DATE(2012,12,31)-236</f>
        <v>41038</v>
      </c>
      <c r="B1845" s="13">
        <v>763.85</v>
      </c>
    </row>
    <row r="1846" s="6" customFormat="1" spans="1:2">
      <c r="A1846" s="12">
        <f>DATE(2012,12,31)-236</f>
        <v>41038</v>
      </c>
      <c r="B1846" s="13">
        <v>12.59</v>
      </c>
    </row>
    <row r="1847" s="6" customFormat="1" spans="1:2">
      <c r="A1847" s="12">
        <f>DATE(2012,12,31)-141</f>
        <v>41133</v>
      </c>
      <c r="B1847" s="13">
        <v>9062.44</v>
      </c>
    </row>
    <row r="1848" s="6" customFormat="1" spans="1:2">
      <c r="A1848" s="12">
        <f>DATE(2012,12,31)-141</f>
        <v>41133</v>
      </c>
      <c r="B1848" s="13">
        <v>1662.57</v>
      </c>
    </row>
    <row r="1849" s="6" customFormat="1" spans="1:2">
      <c r="A1849" s="12">
        <f>DATE(2012,12,31)-1264</f>
        <v>40010</v>
      </c>
      <c r="B1849" s="13">
        <v>1020.61</v>
      </c>
    </row>
    <row r="1850" s="6" customFormat="1" spans="1:2">
      <c r="A1850" s="12">
        <f>DATE(2012,12,31)-1264</f>
        <v>40010</v>
      </c>
      <c r="B1850" s="13">
        <v>243.51</v>
      </c>
    </row>
    <row r="1851" s="6" customFormat="1" spans="1:2">
      <c r="A1851" s="12">
        <f>DATE(2012,12,31)-1264</f>
        <v>40010</v>
      </c>
      <c r="B1851" s="13">
        <v>755.6</v>
      </c>
    </row>
    <row r="1852" s="6" customFormat="1" spans="1:2">
      <c r="A1852" s="12">
        <f>DATE(2012,12,31)-1264</f>
        <v>40010</v>
      </c>
      <c r="B1852" s="13">
        <v>592.73</v>
      </c>
    </row>
    <row r="1853" s="6" customFormat="1" spans="1:2">
      <c r="A1853" s="12">
        <f>DATE(2012,12,31)-1328</f>
        <v>39946</v>
      </c>
      <c r="B1853" s="13">
        <v>89.4</v>
      </c>
    </row>
    <row r="1854" s="6" customFormat="1" spans="1:2">
      <c r="A1854" s="12">
        <f>DATE(2012,12,31)-120</f>
        <v>41154</v>
      </c>
      <c r="B1854" s="13">
        <v>116.82</v>
      </c>
    </row>
    <row r="1855" spans="1:2">
      <c r="A1855" s="14">
        <f>DATE(2012,12,31)-120</f>
        <v>41154</v>
      </c>
      <c r="B1855" s="15">
        <v>483.64</v>
      </c>
    </row>
    <row r="1856" s="6" customFormat="1" spans="1:2">
      <c r="A1856" s="12">
        <f>DATE(2012,12,31)-46</f>
        <v>41228</v>
      </c>
      <c r="B1856" s="13">
        <v>268.34</v>
      </c>
    </row>
    <row r="1857" s="6" customFormat="1" spans="1:2">
      <c r="A1857" s="12">
        <f>DATE(2012,12,31)-983</f>
        <v>40291</v>
      </c>
      <c r="B1857" s="13">
        <v>104.89</v>
      </c>
    </row>
    <row r="1858" spans="1:2">
      <c r="A1858" s="14">
        <f>DATE(2012,12,31)-785</f>
        <v>40489</v>
      </c>
      <c r="B1858" s="15">
        <v>4890.58</v>
      </c>
    </row>
    <row r="1859" s="6" customFormat="1" spans="1:2">
      <c r="A1859" s="12">
        <f>DATE(2012,12,31)-970</f>
        <v>40304</v>
      </c>
      <c r="B1859" s="13">
        <v>3331.81</v>
      </c>
    </row>
    <row r="1860" s="6" customFormat="1" spans="1:2">
      <c r="A1860" s="12">
        <f>DATE(2012,12,31)-1197</f>
        <v>40077</v>
      </c>
      <c r="B1860" s="13">
        <v>96.04</v>
      </c>
    </row>
    <row r="1861" s="6" customFormat="1" spans="1:2">
      <c r="A1861" s="12">
        <f>DATE(2012,12,31)-1265</f>
        <v>40009</v>
      </c>
      <c r="B1861" s="13">
        <v>66.12</v>
      </c>
    </row>
    <row r="1862" s="6" customFormat="1" spans="1:2">
      <c r="A1862" s="12">
        <f>DATE(2012,12,31)-502</f>
        <v>40772</v>
      </c>
      <c r="B1862" s="13">
        <v>10714.78</v>
      </c>
    </row>
    <row r="1863" s="6" customFormat="1" spans="1:2">
      <c r="A1863" s="12">
        <f>DATE(2012,12,31)-199</f>
        <v>41075</v>
      </c>
      <c r="B1863" s="13">
        <v>750.03</v>
      </c>
    </row>
    <row r="1864" s="6" customFormat="1" spans="1:2">
      <c r="A1864" s="12">
        <f>DATE(2012,12,31)-1416</f>
        <v>39858</v>
      </c>
      <c r="B1864" s="13">
        <v>256.77</v>
      </c>
    </row>
    <row r="1865" s="6" customFormat="1" spans="1:2">
      <c r="A1865" s="12">
        <f>DATE(2012,12,31)-939</f>
        <v>40335</v>
      </c>
      <c r="B1865" s="13">
        <v>33.64</v>
      </c>
    </row>
    <row r="1866" s="6" customFormat="1" spans="1:2">
      <c r="A1866" s="12">
        <f>DATE(2012,12,31)-939</f>
        <v>40335</v>
      </c>
      <c r="B1866" s="13">
        <v>701.94</v>
      </c>
    </row>
    <row r="1867" spans="1:2">
      <c r="A1867" s="14">
        <f>DATE(2012,12,31)-1067</f>
        <v>40207</v>
      </c>
      <c r="B1867" s="15">
        <v>150.28</v>
      </c>
    </row>
    <row r="1868" s="6" customFormat="1" spans="1:2">
      <c r="A1868" s="12">
        <f>DATE(2012,12,31)-810</f>
        <v>40464</v>
      </c>
      <c r="B1868" s="13">
        <v>971.82</v>
      </c>
    </row>
    <row r="1869" s="6" customFormat="1" spans="1:2">
      <c r="A1869" s="12">
        <f>DATE(2012,12,31)-361</f>
        <v>40913</v>
      </c>
      <c r="B1869" s="13">
        <v>154.44</v>
      </c>
    </row>
    <row r="1870" s="6" customFormat="1" spans="1:2">
      <c r="A1870" s="12">
        <f>DATE(2012,12,31)-1088</f>
        <v>40186</v>
      </c>
      <c r="B1870" s="13">
        <v>436.4835</v>
      </c>
    </row>
    <row r="1871" s="6" customFormat="1" spans="1:2">
      <c r="A1871" s="12">
        <f>DATE(2012,12,31)-432</f>
        <v>40842</v>
      </c>
      <c r="B1871" s="13">
        <v>106.03</v>
      </c>
    </row>
    <row r="1872" s="6" customFormat="1" spans="1:2">
      <c r="A1872" s="12">
        <f>DATE(2012,12,31)-807</f>
        <v>40467</v>
      </c>
      <c r="B1872" s="13">
        <v>173.33</v>
      </c>
    </row>
    <row r="1873" s="6" customFormat="1" spans="1:2">
      <c r="A1873" s="12">
        <f>DATE(2012,12,31)-807</f>
        <v>40467</v>
      </c>
      <c r="B1873" s="13">
        <v>972.35</v>
      </c>
    </row>
    <row r="1874" spans="1:2">
      <c r="A1874" s="14">
        <f>DATE(2012,12,31)-807</f>
        <v>40467</v>
      </c>
      <c r="B1874" s="15">
        <v>231.29</v>
      </c>
    </row>
    <row r="1875" s="6" customFormat="1" spans="1:2">
      <c r="A1875" s="12">
        <f>DATE(2012,12,31)-1123</f>
        <v>40151</v>
      </c>
      <c r="B1875" s="13">
        <v>292.96</v>
      </c>
    </row>
    <row r="1876" s="6" customFormat="1" spans="1:2">
      <c r="A1876" s="12">
        <f>DATE(2012,12,31)-1123</f>
        <v>40151</v>
      </c>
      <c r="B1876" s="13">
        <v>2206.991</v>
      </c>
    </row>
    <row r="1877" s="6" customFormat="1" spans="1:2">
      <c r="A1877" s="12">
        <f>DATE(2012,12,31)-2</f>
        <v>41272</v>
      </c>
      <c r="B1877" s="13">
        <v>176.1</v>
      </c>
    </row>
    <row r="1878" s="6" customFormat="1" spans="1:2">
      <c r="A1878" s="12">
        <f>DATE(2012,12,31)-1231</f>
        <v>40043</v>
      </c>
      <c r="B1878" s="13">
        <v>123.15</v>
      </c>
    </row>
    <row r="1879" spans="1:2">
      <c r="A1879" s="14">
        <f>DATE(2012,12,31)-946</f>
        <v>40328</v>
      </c>
      <c r="B1879" s="15">
        <v>316.61</v>
      </c>
    </row>
    <row r="1880" s="6" customFormat="1" spans="1:2">
      <c r="A1880" s="12">
        <f>DATE(2012,12,31)-953</f>
        <v>40321</v>
      </c>
      <c r="B1880" s="13">
        <v>121</v>
      </c>
    </row>
    <row r="1881" s="6" customFormat="1" spans="1:2">
      <c r="A1881" s="12">
        <f>DATE(2012,12,31)-953</f>
        <v>40321</v>
      </c>
      <c r="B1881" s="13">
        <v>1484.185</v>
      </c>
    </row>
    <row r="1882" s="6" customFormat="1" spans="1:2">
      <c r="A1882" s="12">
        <f>DATE(2012,12,31)-953</f>
        <v>40321</v>
      </c>
      <c r="B1882" s="13">
        <v>259.59</v>
      </c>
    </row>
    <row r="1883" s="6" customFormat="1" spans="1:2">
      <c r="A1883" s="12">
        <f>DATE(2012,12,31)-953</f>
        <v>40321</v>
      </c>
      <c r="B1883" s="13">
        <v>34.93</v>
      </c>
    </row>
    <row r="1884" s="6" customFormat="1" spans="1:2">
      <c r="A1884" s="12">
        <f>DATE(2012,12,31)-953</f>
        <v>40321</v>
      </c>
      <c r="B1884" s="13">
        <v>431.06</v>
      </c>
    </row>
    <row r="1885" s="6" customFormat="1" spans="1:2">
      <c r="A1885" s="12">
        <f>DATE(2012,12,31)-1394</f>
        <v>39880</v>
      </c>
      <c r="B1885" s="13">
        <v>3571.84</v>
      </c>
    </row>
    <row r="1886" s="6" customFormat="1" spans="1:2">
      <c r="A1886" s="12">
        <f>DATE(2012,12,31)-1394</f>
        <v>39880</v>
      </c>
      <c r="B1886" s="13">
        <v>310.44</v>
      </c>
    </row>
    <row r="1887" spans="1:2">
      <c r="A1887" s="14">
        <f>DATE(2012,12,31)-145</f>
        <v>41129</v>
      </c>
      <c r="B1887" s="15">
        <v>27.83</v>
      </c>
    </row>
    <row r="1888" s="6" customFormat="1" spans="1:2">
      <c r="A1888" s="12">
        <f>DATE(2012,12,31)-631</f>
        <v>40643</v>
      </c>
      <c r="B1888" s="13">
        <v>563.18</v>
      </c>
    </row>
    <row r="1889" s="6" customFormat="1" spans="1:2">
      <c r="A1889" s="12">
        <f>DATE(2012,12,31)-631</f>
        <v>40643</v>
      </c>
      <c r="B1889" s="13">
        <v>47.45</v>
      </c>
    </row>
    <row r="1890" s="6" customFormat="1" spans="1:2">
      <c r="A1890" s="12">
        <f>DATE(2012,12,31)-29</f>
        <v>41245</v>
      </c>
      <c r="B1890" s="13">
        <v>16.97</v>
      </c>
    </row>
    <row r="1891" s="6" customFormat="1" spans="1:2">
      <c r="A1891" s="12">
        <f>DATE(2012,12,31)-29</f>
        <v>41245</v>
      </c>
      <c r="B1891" s="13">
        <v>4077.756</v>
      </c>
    </row>
    <row r="1892" s="6" customFormat="1" spans="1:2">
      <c r="A1892" s="12">
        <f>DATE(2012,12,31)-228</f>
        <v>41046</v>
      </c>
      <c r="B1892" s="13">
        <v>40.11</v>
      </c>
    </row>
    <row r="1893" s="6" customFormat="1" spans="1:2">
      <c r="A1893" s="12">
        <f>DATE(2012,12,31)-124</f>
        <v>41150</v>
      </c>
      <c r="B1893" s="13">
        <v>106.1</v>
      </c>
    </row>
    <row r="1894" s="6" customFormat="1" spans="1:2">
      <c r="A1894" s="12">
        <f>DATE(2012,12,31)-137</f>
        <v>41137</v>
      </c>
      <c r="B1894" s="13">
        <v>822.91</v>
      </c>
    </row>
    <row r="1895" s="6" customFormat="1" spans="1:2">
      <c r="A1895" s="12">
        <f>DATE(2012,12,31)-1448</f>
        <v>39826</v>
      </c>
      <c r="B1895" s="13">
        <v>445.34</v>
      </c>
    </row>
    <row r="1896" s="6" customFormat="1" spans="1:2">
      <c r="A1896" s="12">
        <f>DATE(2012,12,31)-1448</f>
        <v>39826</v>
      </c>
      <c r="B1896" s="13">
        <v>660.99</v>
      </c>
    </row>
    <row r="1897" s="6" customFormat="1" spans="1:2">
      <c r="A1897" s="12">
        <f>DATE(2012,12,31)-1428</f>
        <v>39846</v>
      </c>
      <c r="B1897" s="13">
        <v>3152.75</v>
      </c>
    </row>
    <row r="1898" s="6" customFormat="1" spans="1:2">
      <c r="A1898" s="12">
        <f>DATE(2012,12,31)-1428</f>
        <v>39846</v>
      </c>
      <c r="B1898" s="13">
        <v>3609.88</v>
      </c>
    </row>
    <row r="1899" s="6" customFormat="1" spans="1:2">
      <c r="A1899" s="12">
        <f>DATE(2012,12,31)-1345</f>
        <v>39929</v>
      </c>
      <c r="B1899" s="13">
        <v>109.86</v>
      </c>
    </row>
    <row r="1900" s="6" customFormat="1" spans="1:2">
      <c r="A1900" s="12">
        <f>DATE(2012,12,31)-774</f>
        <v>40500</v>
      </c>
      <c r="B1900" s="13">
        <v>440.6</v>
      </c>
    </row>
    <row r="1901" s="6" customFormat="1" spans="1:2">
      <c r="A1901" s="12">
        <f>DATE(2012,12,31)-774</f>
        <v>40500</v>
      </c>
      <c r="B1901" s="13">
        <v>109.9</v>
      </c>
    </row>
    <row r="1902" s="6" customFormat="1" spans="1:2">
      <c r="A1902" s="12">
        <f>DATE(2012,12,31)-774</f>
        <v>40500</v>
      </c>
      <c r="B1902" s="13">
        <v>315.29</v>
      </c>
    </row>
    <row r="1903" s="6" customFormat="1" spans="1:2">
      <c r="A1903" s="12">
        <f>DATE(2012,12,31)-1392</f>
        <v>39882</v>
      </c>
      <c r="B1903" s="13">
        <v>608.93</v>
      </c>
    </row>
    <row r="1904" s="6" customFormat="1" spans="1:2">
      <c r="A1904" s="12">
        <f>DATE(2012,12,31)-272</f>
        <v>41002</v>
      </c>
      <c r="B1904" s="13">
        <v>2703.37</v>
      </c>
    </row>
    <row r="1905" s="6" customFormat="1" spans="1:2">
      <c r="A1905" s="12">
        <f>DATE(2012,12,31)-272</f>
        <v>41002</v>
      </c>
      <c r="B1905" s="13">
        <v>1538.17</v>
      </c>
    </row>
    <row r="1906" s="6" customFormat="1" spans="1:2">
      <c r="A1906" s="12">
        <f>DATE(2012,12,31)-623</f>
        <v>40651</v>
      </c>
      <c r="B1906" s="13">
        <v>1824.13</v>
      </c>
    </row>
    <row r="1907" s="6" customFormat="1" spans="1:2">
      <c r="A1907" s="12">
        <f>DATE(2012,12,31)-623</f>
        <v>40651</v>
      </c>
      <c r="B1907" s="13">
        <v>151.38</v>
      </c>
    </row>
    <row r="1908" s="6" customFormat="1" spans="1:2">
      <c r="A1908" s="12">
        <f>DATE(2012,12,31)-1340</f>
        <v>39934</v>
      </c>
      <c r="B1908" s="13">
        <v>149</v>
      </c>
    </row>
    <row r="1909" s="6" customFormat="1" spans="1:2">
      <c r="A1909" s="12">
        <f>DATE(2012,12,31)-1340</f>
        <v>39934</v>
      </c>
      <c r="B1909" s="13">
        <v>334.29</v>
      </c>
    </row>
    <row r="1910" s="6" customFormat="1" spans="1:2">
      <c r="A1910" s="12">
        <f>DATE(2012,12,31)-1439</f>
        <v>39835</v>
      </c>
      <c r="B1910" s="13">
        <v>28180.08</v>
      </c>
    </row>
    <row r="1911" s="6" customFormat="1" spans="1:2">
      <c r="A1911" s="12">
        <f>DATE(2012,12,31)-458</f>
        <v>40816</v>
      </c>
      <c r="B1911" s="13">
        <v>682.77</v>
      </c>
    </row>
    <row r="1912" s="6" customFormat="1" spans="1:2">
      <c r="A1912" s="12">
        <f>DATE(2012,12,31)-311</f>
        <v>40963</v>
      </c>
      <c r="B1912" s="13">
        <v>282.61</v>
      </c>
    </row>
    <row r="1913" spans="1:2">
      <c r="A1913" s="14">
        <f>DATE(2012,12,31)-222</f>
        <v>41052</v>
      </c>
      <c r="B1913" s="15">
        <v>116.37</v>
      </c>
    </row>
    <row r="1914" s="6" customFormat="1" spans="1:2">
      <c r="A1914" s="12">
        <f>DATE(2012,12,31)-478</f>
        <v>40796</v>
      </c>
      <c r="B1914" s="13">
        <v>209</v>
      </c>
    </row>
    <row r="1915" s="6" customFormat="1" spans="1:2">
      <c r="A1915" s="12">
        <f>DATE(2012,12,31)-1460</f>
        <v>39814</v>
      </c>
      <c r="B1915" s="13">
        <v>872.48</v>
      </c>
    </row>
    <row r="1916" s="6" customFormat="1" spans="1:2">
      <c r="A1916" s="12">
        <f>DATE(2012,12,31)-602</f>
        <v>40672</v>
      </c>
      <c r="B1916" s="13">
        <v>3617.64</v>
      </c>
    </row>
    <row r="1917" spans="1:2">
      <c r="A1917" s="14">
        <f>DATE(2012,12,31)-967</f>
        <v>40307</v>
      </c>
      <c r="B1917" s="15">
        <v>44.08</v>
      </c>
    </row>
    <row r="1918" s="6" customFormat="1" spans="1:2">
      <c r="A1918" s="12">
        <f>DATE(2012,12,31)-1320</f>
        <v>39954</v>
      </c>
      <c r="B1918" s="13">
        <v>281.71</v>
      </c>
    </row>
    <row r="1919" spans="1:2">
      <c r="A1919" s="14">
        <f>DATE(2012,12,31)-1171</f>
        <v>40103</v>
      </c>
      <c r="B1919" s="15">
        <v>2421.44</v>
      </c>
    </row>
    <row r="1920" s="6" customFormat="1" spans="1:2">
      <c r="A1920" s="12">
        <f>DATE(2012,12,31)-924</f>
        <v>40350</v>
      </c>
      <c r="B1920" s="13">
        <v>55</v>
      </c>
    </row>
    <row r="1921" s="6" customFormat="1" spans="1:2">
      <c r="A1921" s="12">
        <f>DATE(2012,12,31)-924</f>
        <v>40350</v>
      </c>
      <c r="B1921" s="13">
        <v>51.66</v>
      </c>
    </row>
    <row r="1922" s="6" customFormat="1" spans="1:2">
      <c r="A1922" s="12">
        <f>DATE(2012,12,31)-924</f>
        <v>40350</v>
      </c>
      <c r="B1922" s="13">
        <v>107.73</v>
      </c>
    </row>
    <row r="1923" spans="1:2">
      <c r="A1923" s="14">
        <f>DATE(2012,12,31)-537</f>
        <v>40737</v>
      </c>
      <c r="B1923" s="15">
        <v>123.93</v>
      </c>
    </row>
    <row r="1924" s="6" customFormat="1" spans="1:2">
      <c r="A1924" s="12">
        <f>DATE(2012,12,31)-1366</f>
        <v>39908</v>
      </c>
      <c r="B1924" s="13">
        <v>1553.38</v>
      </c>
    </row>
    <row r="1925" spans="1:2">
      <c r="A1925" s="14">
        <f>DATE(2012,12,31)-858</f>
        <v>40416</v>
      </c>
      <c r="B1925" s="15">
        <v>597.66</v>
      </c>
    </row>
    <row r="1926" s="6" customFormat="1" spans="1:2">
      <c r="A1926" s="12">
        <f>DATE(2012,12,31)-858</f>
        <v>40416</v>
      </c>
      <c r="B1926" s="13">
        <v>1403.741</v>
      </c>
    </row>
    <row r="1927" s="6" customFormat="1" spans="1:2">
      <c r="A1927" s="12">
        <f>DATE(2012,12,31)-858</f>
        <v>40416</v>
      </c>
      <c r="B1927" s="13">
        <v>1246.3635</v>
      </c>
    </row>
    <row r="1928" s="6" customFormat="1" spans="1:2">
      <c r="A1928" s="12">
        <f>DATE(2012,12,31)-858</f>
        <v>40416</v>
      </c>
      <c r="B1928" s="13">
        <v>2050.712</v>
      </c>
    </row>
    <row r="1929" s="6" customFormat="1" spans="1:2">
      <c r="A1929" s="12">
        <f>DATE(2012,12,31)-631</f>
        <v>40643</v>
      </c>
      <c r="B1929" s="13">
        <v>501.32</v>
      </c>
    </row>
    <row r="1930" s="6" customFormat="1" spans="1:2">
      <c r="A1930" s="12">
        <f>DATE(2012,12,31)-631</f>
        <v>40643</v>
      </c>
      <c r="B1930" s="13">
        <v>275.16</v>
      </c>
    </row>
    <row r="1931" s="6" customFormat="1" spans="1:2">
      <c r="A1931" s="12">
        <f>DATE(2012,12,31)-631</f>
        <v>40643</v>
      </c>
      <c r="B1931" s="13">
        <v>1302.99</v>
      </c>
    </row>
    <row r="1932" s="6" customFormat="1" spans="1:2">
      <c r="A1932" s="12">
        <f>DATE(2012,12,31)-761</f>
        <v>40513</v>
      </c>
      <c r="B1932" s="13">
        <v>118.06</v>
      </c>
    </row>
    <row r="1933" s="6" customFormat="1" spans="1:2">
      <c r="A1933" s="12">
        <f>DATE(2012,12,31)-1100</f>
        <v>40174</v>
      </c>
      <c r="B1933" s="13">
        <v>55.27</v>
      </c>
    </row>
    <row r="1934" s="6" customFormat="1" spans="1:2">
      <c r="A1934" s="12">
        <f>DATE(2012,12,31)-1381</f>
        <v>39893</v>
      </c>
      <c r="B1934" s="13">
        <v>186.79</v>
      </c>
    </row>
    <row r="1935" s="6" customFormat="1" spans="1:2">
      <c r="A1935" s="12">
        <f>DATE(2012,12,31)-1106</f>
        <v>40168</v>
      </c>
      <c r="B1935" s="13">
        <v>2609.53</v>
      </c>
    </row>
    <row r="1936" s="6" customFormat="1" spans="1:2">
      <c r="A1936" s="12">
        <f>DATE(2012,12,31)-873</f>
        <v>40401</v>
      </c>
      <c r="B1936" s="13">
        <v>37.3</v>
      </c>
    </row>
    <row r="1937" s="6" customFormat="1" spans="1:2">
      <c r="A1937" s="12">
        <f>DATE(2012,12,31)-484</f>
        <v>40790</v>
      </c>
      <c r="B1937" s="13">
        <v>12979.1</v>
      </c>
    </row>
    <row r="1938" s="6" customFormat="1" spans="1:2">
      <c r="A1938" s="12">
        <f>DATE(2012,12,31)-248</f>
        <v>41026</v>
      </c>
      <c r="B1938" s="13">
        <v>1446.97</v>
      </c>
    </row>
    <row r="1939" s="6" customFormat="1" spans="1:2">
      <c r="A1939" s="12">
        <f>DATE(2012,12,31)-265</f>
        <v>41009</v>
      </c>
      <c r="B1939" s="13">
        <v>89.18</v>
      </c>
    </row>
    <row r="1940" s="6" customFormat="1" spans="1:2">
      <c r="A1940" s="12">
        <f>DATE(2012,12,31)-265</f>
        <v>41009</v>
      </c>
      <c r="B1940" s="13">
        <v>1540.285</v>
      </c>
    </row>
    <row r="1941" s="6" customFormat="1" spans="1:2">
      <c r="A1941" s="12">
        <f>DATE(2012,12,31)-772</f>
        <v>40502</v>
      </c>
      <c r="B1941" s="13">
        <v>614.34</v>
      </c>
    </row>
    <row r="1942" spans="1:2">
      <c r="A1942" s="14">
        <f>DATE(2012,12,31)-1179</f>
        <v>40095</v>
      </c>
      <c r="B1942" s="15">
        <v>901.32</v>
      </c>
    </row>
    <row r="1943" spans="1:2">
      <c r="A1943" s="14">
        <f>DATE(2012,12,31)-1179</f>
        <v>40095</v>
      </c>
      <c r="B1943" s="15">
        <v>207.21</v>
      </c>
    </row>
    <row r="1944" s="6" customFormat="1" spans="1:2">
      <c r="A1944" s="12">
        <f>DATE(2012,12,31)-176</f>
        <v>41098</v>
      </c>
      <c r="B1944" s="13">
        <v>4332.3</v>
      </c>
    </row>
    <row r="1945" s="6" customFormat="1" spans="1:2">
      <c r="A1945" s="12">
        <f>DATE(2012,12,31)-176</f>
        <v>41098</v>
      </c>
      <c r="B1945" s="13">
        <v>220.09</v>
      </c>
    </row>
    <row r="1946" s="6" customFormat="1" spans="1:2">
      <c r="A1946" s="12">
        <f>DATE(2012,12,31)-176</f>
        <v>41098</v>
      </c>
      <c r="B1946" s="13">
        <v>1220.23</v>
      </c>
    </row>
    <row r="1947" s="6" customFormat="1" spans="1:2">
      <c r="A1947" s="12">
        <f>DATE(2012,12,31)-176</f>
        <v>41098</v>
      </c>
      <c r="B1947" s="13">
        <v>6152.8</v>
      </c>
    </row>
    <row r="1948" spans="1:2">
      <c r="A1948" s="14">
        <f>DATE(2012,12,31)-1223</f>
        <v>40051</v>
      </c>
      <c r="B1948" s="15">
        <v>188.05</v>
      </c>
    </row>
    <row r="1949" spans="1:2">
      <c r="A1949" s="14">
        <f>DATE(2012,12,31)-580</f>
        <v>40694</v>
      </c>
      <c r="B1949" s="15">
        <v>381.24</v>
      </c>
    </row>
    <row r="1950" s="6" customFormat="1" spans="1:2">
      <c r="A1950" s="12">
        <f>DATE(2012,12,31)-1073</f>
        <v>40201</v>
      </c>
      <c r="B1950" s="13">
        <v>808.673</v>
      </c>
    </row>
    <row r="1951" s="6" customFormat="1" spans="1:2">
      <c r="A1951" s="12">
        <f>DATE(2012,12,31)-1367</f>
        <v>39907</v>
      </c>
      <c r="B1951" s="13">
        <v>228.46</v>
      </c>
    </row>
    <row r="1952" s="6" customFormat="1" spans="1:2">
      <c r="A1952" s="12">
        <f>DATE(2012,12,31)-1367</f>
        <v>39907</v>
      </c>
      <c r="B1952" s="13">
        <v>77.61</v>
      </c>
    </row>
    <row r="1953" s="6" customFormat="1" spans="1:2">
      <c r="A1953" s="12">
        <f>DATE(2012,12,31)-98</f>
        <v>41176</v>
      </c>
      <c r="B1953" s="13">
        <v>2052.82</v>
      </c>
    </row>
    <row r="1954" s="6" customFormat="1" spans="1:2">
      <c r="A1954" s="12">
        <f>DATE(2012,12,31)-447</f>
        <v>40827</v>
      </c>
      <c r="B1954" s="13">
        <v>1905.79</v>
      </c>
    </row>
    <row r="1955" s="6" customFormat="1" spans="1:2">
      <c r="A1955" s="12">
        <f>DATE(2012,12,31)-152</f>
        <v>41122</v>
      </c>
      <c r="B1955" s="13">
        <v>180.27</v>
      </c>
    </row>
    <row r="1956" s="6" customFormat="1" spans="1:2">
      <c r="A1956" s="12">
        <f>DATE(2012,12,31)-152</f>
        <v>41122</v>
      </c>
      <c r="B1956" s="13">
        <v>626.96</v>
      </c>
    </row>
    <row r="1957" s="6" customFormat="1" spans="1:2">
      <c r="A1957" s="12">
        <f>DATE(2012,12,31)-152</f>
        <v>41122</v>
      </c>
      <c r="B1957" s="13">
        <v>236.31</v>
      </c>
    </row>
    <row r="1958" s="6" customFormat="1" spans="1:2">
      <c r="A1958" s="12">
        <f>DATE(2012,12,31)-300</f>
        <v>40974</v>
      </c>
      <c r="B1958" s="13">
        <v>170.7</v>
      </c>
    </row>
    <row r="1959" s="6" customFormat="1" spans="1:2">
      <c r="A1959" s="12">
        <f>DATE(2012,12,31)-300</f>
        <v>40974</v>
      </c>
      <c r="B1959" s="13">
        <v>1839.448</v>
      </c>
    </row>
    <row r="1960" s="6" customFormat="1" spans="1:2">
      <c r="A1960" s="12">
        <f>DATE(2012,12,31)-173</f>
        <v>41101</v>
      </c>
      <c r="B1960" s="13">
        <v>1137.62</v>
      </c>
    </row>
    <row r="1961" s="6" customFormat="1" spans="1:2">
      <c r="A1961" s="12">
        <f>DATE(2012,12,31)-939</f>
        <v>40335</v>
      </c>
      <c r="B1961" s="13">
        <v>160.68</v>
      </c>
    </row>
    <row r="1962" s="6" customFormat="1" spans="1:2">
      <c r="A1962" s="12">
        <f>DATE(2012,12,31)-665</f>
        <v>40609</v>
      </c>
      <c r="B1962" s="13">
        <v>27.05</v>
      </c>
    </row>
    <row r="1963" s="6" customFormat="1" spans="1:2">
      <c r="A1963" s="12">
        <f>DATE(2012,12,31)-1045</f>
        <v>40229</v>
      </c>
      <c r="B1963" s="13">
        <v>711.1</v>
      </c>
    </row>
    <row r="1964" s="6" customFormat="1" spans="1:2">
      <c r="A1964" s="12">
        <f>DATE(2012,12,31)-1045</f>
        <v>40229</v>
      </c>
      <c r="B1964" s="13">
        <v>498.16</v>
      </c>
    </row>
    <row r="1965" s="6" customFormat="1" spans="1:2">
      <c r="A1965" s="12">
        <f>DATE(2012,12,31)-959</f>
        <v>40315</v>
      </c>
      <c r="B1965" s="13">
        <v>1837.15</v>
      </c>
    </row>
    <row r="1966" s="6" customFormat="1" spans="1:2">
      <c r="A1966" s="12">
        <f>DATE(2012,12,31)-959</f>
        <v>40315</v>
      </c>
      <c r="B1966" s="13">
        <v>540.22</v>
      </c>
    </row>
    <row r="1967" s="6" customFormat="1" spans="1:2">
      <c r="A1967" s="12">
        <f>DATE(2012,12,31)-959</f>
        <v>40315</v>
      </c>
      <c r="B1967" s="13">
        <v>2035.393</v>
      </c>
    </row>
    <row r="1968" s="6" customFormat="1" spans="1:2">
      <c r="A1968" s="12">
        <f>DATE(2012,12,31)-1217</f>
        <v>40057</v>
      </c>
      <c r="B1968" s="13">
        <v>441.7</v>
      </c>
    </row>
    <row r="1969" s="6" customFormat="1" spans="1:2">
      <c r="A1969" s="12">
        <f>DATE(2012,12,31)-817</f>
        <v>40457</v>
      </c>
      <c r="B1969" s="13">
        <v>1476.12</v>
      </c>
    </row>
    <row r="1970" s="6" customFormat="1" spans="1:2">
      <c r="A1970" s="12">
        <f>DATE(2012,12,31)-803</f>
        <v>40471</v>
      </c>
      <c r="B1970" s="13">
        <v>1764.97</v>
      </c>
    </row>
    <row r="1971" s="6" customFormat="1" spans="1:2">
      <c r="A1971" s="12">
        <f>DATE(2012,12,31)-803</f>
        <v>40471</v>
      </c>
      <c r="B1971" s="13">
        <v>238.34</v>
      </c>
    </row>
    <row r="1972" spans="1:2">
      <c r="A1972" s="14">
        <f>DATE(2012,12,31)-1256</f>
        <v>40018</v>
      </c>
      <c r="B1972" s="15">
        <v>68.45</v>
      </c>
    </row>
    <row r="1973" s="6" customFormat="1" spans="1:2">
      <c r="A1973" s="12">
        <f>DATE(2012,12,31)-515</f>
        <v>40759</v>
      </c>
      <c r="B1973" s="13">
        <v>8218.16</v>
      </c>
    </row>
    <row r="1974" s="6" customFormat="1" spans="1:2">
      <c r="A1974" s="12">
        <f>DATE(2012,12,31)-1365</f>
        <v>39909</v>
      </c>
      <c r="B1974" s="13">
        <v>65.16</v>
      </c>
    </row>
    <row r="1975" s="6" customFormat="1" spans="1:2">
      <c r="A1975" s="12">
        <f>DATE(2012,12,31)-1365</f>
        <v>39909</v>
      </c>
      <c r="B1975" s="13">
        <v>6532.48</v>
      </c>
    </row>
    <row r="1976" s="6" customFormat="1" spans="1:2">
      <c r="A1976" s="12">
        <f>DATE(2012,12,31)-1365</f>
        <v>39909</v>
      </c>
      <c r="B1976" s="13">
        <v>241.9</v>
      </c>
    </row>
    <row r="1977" s="6" customFormat="1" spans="1:2">
      <c r="A1977" s="12">
        <f>DATE(2012,12,31)-1235</f>
        <v>40039</v>
      </c>
      <c r="B1977" s="13">
        <v>158.78</v>
      </c>
    </row>
    <row r="1978" s="6" customFormat="1" spans="1:2">
      <c r="A1978" s="12">
        <f>DATE(2012,12,31)-1235</f>
        <v>40039</v>
      </c>
      <c r="B1978" s="13">
        <v>3296.062</v>
      </c>
    </row>
    <row r="1979" s="6" customFormat="1" spans="1:2">
      <c r="A1979" s="12">
        <f>DATE(2012,12,31)-449</f>
        <v>40825</v>
      </c>
      <c r="B1979" s="13">
        <v>40.1</v>
      </c>
    </row>
    <row r="1980" s="6" customFormat="1" spans="1:2">
      <c r="A1980" s="12">
        <f>DATE(2012,12,31)-449</f>
        <v>40825</v>
      </c>
      <c r="B1980" s="13">
        <v>1414.05</v>
      </c>
    </row>
    <row r="1981" spans="1:2">
      <c r="A1981" s="14">
        <f>DATE(2012,12,31)-859</f>
        <v>40415</v>
      </c>
      <c r="B1981" s="15">
        <v>5.31</v>
      </c>
    </row>
    <row r="1982" s="6" customFormat="1" spans="1:2">
      <c r="A1982" s="12">
        <f>DATE(2012,12,31)-945</f>
        <v>40329</v>
      </c>
      <c r="B1982" s="13">
        <v>103.11</v>
      </c>
    </row>
    <row r="1983" s="6" customFormat="1" spans="1:2">
      <c r="A1983" s="12">
        <f>DATE(2012,12,31)-945</f>
        <v>40329</v>
      </c>
      <c r="B1983" s="13">
        <v>1599.071</v>
      </c>
    </row>
    <row r="1984" s="6" customFormat="1" spans="1:2">
      <c r="A1984" s="12">
        <f>DATE(2012,12,31)-945</f>
        <v>40329</v>
      </c>
      <c r="B1984" s="13">
        <v>968.235</v>
      </c>
    </row>
    <row r="1985" s="6" customFormat="1" spans="1:2">
      <c r="A1985" s="12">
        <f>DATE(2012,12,31)-1030</f>
        <v>40244</v>
      </c>
      <c r="B1985" s="13">
        <v>351.49</v>
      </c>
    </row>
    <row r="1986" s="6" customFormat="1" spans="1:2">
      <c r="A1986" s="12">
        <f>DATE(2012,12,31)-1030</f>
        <v>40244</v>
      </c>
      <c r="B1986" s="13">
        <v>74.13</v>
      </c>
    </row>
    <row r="1987" s="6" customFormat="1" spans="1:2">
      <c r="A1987" s="12">
        <f>DATE(2012,12,31)-1030</f>
        <v>40244</v>
      </c>
      <c r="B1987" s="13">
        <v>195.03</v>
      </c>
    </row>
    <row r="1988" s="6" customFormat="1" spans="1:2">
      <c r="A1988" s="12">
        <f>DATE(2012,12,31)-1390</f>
        <v>39884</v>
      </c>
      <c r="B1988" s="13">
        <v>1233.4775</v>
      </c>
    </row>
    <row r="1989" s="6" customFormat="1" spans="1:2">
      <c r="A1989" s="12">
        <f>DATE(2012,12,31)-1288</f>
        <v>39986</v>
      </c>
      <c r="B1989" s="13">
        <v>2433.55</v>
      </c>
    </row>
    <row r="1990" s="6" customFormat="1" spans="1:2">
      <c r="A1990" s="12">
        <f>DATE(2012,12,31)-188</f>
        <v>41086</v>
      </c>
      <c r="B1990" s="13">
        <v>676.79</v>
      </c>
    </row>
    <row r="1991" s="6" customFormat="1" spans="1:2">
      <c r="A1991" s="12">
        <f>DATE(2012,12,31)-1418</f>
        <v>39856</v>
      </c>
      <c r="B1991" s="13">
        <v>3220.58</v>
      </c>
    </row>
    <row r="1992" s="6" customFormat="1" spans="1:2">
      <c r="A1992" s="12">
        <f>DATE(2012,12,31)-1418</f>
        <v>39856</v>
      </c>
      <c r="B1992" s="13">
        <v>2367.99</v>
      </c>
    </row>
    <row r="1993" s="6" customFormat="1" spans="1:2">
      <c r="A1993" s="12">
        <f>DATE(2012,12,31)-319</f>
        <v>40955</v>
      </c>
      <c r="B1993" s="13">
        <v>31.18</v>
      </c>
    </row>
    <row r="1994" s="6" customFormat="1" spans="1:2">
      <c r="A1994" s="12">
        <f>DATE(2012,12,31)-319</f>
        <v>40955</v>
      </c>
      <c r="B1994" s="13">
        <v>21.99</v>
      </c>
    </row>
    <row r="1995" spans="1:2">
      <c r="A1995" s="14">
        <f>DATE(2012,12,31)-171</f>
        <v>41103</v>
      </c>
      <c r="B1995" s="15">
        <v>2277.03</v>
      </c>
    </row>
    <row r="1996" s="6" customFormat="1" spans="1:2">
      <c r="A1996" s="12">
        <f>DATE(2012,12,31)-318</f>
        <v>40956</v>
      </c>
      <c r="B1996" s="13">
        <v>68.88</v>
      </c>
    </row>
    <row r="1997" s="6" customFormat="1" spans="1:2">
      <c r="A1997" s="12">
        <f>DATE(2012,12,31)-200</f>
        <v>41074</v>
      </c>
      <c r="B1997" s="13">
        <v>263.63</v>
      </c>
    </row>
    <row r="1998" s="6" customFormat="1" spans="1:2">
      <c r="A1998" s="12">
        <f>DATE(2012,12,31)-603</f>
        <v>40671</v>
      </c>
      <c r="B1998" s="13">
        <v>1078.58</v>
      </c>
    </row>
    <row r="1999" s="6" customFormat="1" spans="1:2">
      <c r="A1999" s="12">
        <f>DATE(2012,12,31)-1054</f>
        <v>40220</v>
      </c>
      <c r="B1999" s="13">
        <v>454.09</v>
      </c>
    </row>
    <row r="2000" spans="1:2">
      <c r="A2000" s="14">
        <f>DATE(2012,12,31)-503</f>
        <v>40771</v>
      </c>
      <c r="B2000" s="15">
        <v>14.75</v>
      </c>
    </row>
    <row r="2001" s="6" customFormat="1" spans="1:2">
      <c r="A2001" s="12">
        <f>DATE(2012,12,31)-323</f>
        <v>40951</v>
      </c>
      <c r="B2001" s="13">
        <v>2409.96</v>
      </c>
    </row>
    <row r="2002" s="6" customFormat="1" spans="1:2">
      <c r="A2002" s="12">
        <f>DATE(2012,12,31)-1455</f>
        <v>39819</v>
      </c>
      <c r="B2002" s="13">
        <v>3674.08</v>
      </c>
    </row>
    <row r="2003" s="6" customFormat="1" spans="1:2">
      <c r="A2003" s="12">
        <f>DATE(2012,12,31)-1455</f>
        <v>39819</v>
      </c>
      <c r="B2003" s="13">
        <v>1413.89</v>
      </c>
    </row>
    <row r="2004" s="6" customFormat="1" spans="1:2">
      <c r="A2004" s="12">
        <f>DATE(2012,12,31)-1455</f>
        <v>39819</v>
      </c>
      <c r="B2004" s="13">
        <v>61.7185</v>
      </c>
    </row>
    <row r="2005" s="6" customFormat="1" spans="1:2">
      <c r="A2005" s="12">
        <f>DATE(2012,12,31)-932</f>
        <v>40342</v>
      </c>
      <c r="B2005" s="13">
        <v>42.22</v>
      </c>
    </row>
    <row r="2006" s="6" customFormat="1" spans="1:2">
      <c r="A2006" s="12">
        <f>DATE(2012,12,31)-932</f>
        <v>40342</v>
      </c>
      <c r="B2006" s="13">
        <v>653.44</v>
      </c>
    </row>
    <row r="2007" s="6" customFormat="1" spans="1:2">
      <c r="A2007" s="12">
        <f>DATE(2012,12,31)-1292</f>
        <v>39982</v>
      </c>
      <c r="B2007" s="13">
        <v>110.79</v>
      </c>
    </row>
    <row r="2008" s="6" customFormat="1" spans="1:2">
      <c r="A2008" s="12">
        <f>DATE(2012,12,31)-1248</f>
        <v>40026</v>
      </c>
      <c r="B2008" s="13">
        <v>192.41</v>
      </c>
    </row>
    <row r="2009" s="6" customFormat="1" spans="1:2">
      <c r="A2009" s="12">
        <f>DATE(2012,12,31)-1139</f>
        <v>40135</v>
      </c>
      <c r="B2009" s="13">
        <v>174.55</v>
      </c>
    </row>
    <row r="2010" s="6" customFormat="1" spans="1:2">
      <c r="A2010" s="12">
        <f>DATE(2012,12,31)-1065</f>
        <v>40209</v>
      </c>
      <c r="B2010" s="13">
        <v>6580.16</v>
      </c>
    </row>
    <row r="2011" s="6" customFormat="1" spans="1:2">
      <c r="A2011" s="12">
        <f>DATE(2012,12,31)-1344</f>
        <v>39930</v>
      </c>
      <c r="B2011" s="13">
        <v>10823.84</v>
      </c>
    </row>
    <row r="2012" s="6" customFormat="1" spans="1:2">
      <c r="A2012" s="12">
        <f>DATE(2012,12,31)-478</f>
        <v>40796</v>
      </c>
      <c r="B2012" s="13">
        <v>522.06</v>
      </c>
    </row>
    <row r="2013" s="6" customFormat="1" spans="1:2">
      <c r="A2013" s="12">
        <f>DATE(2012,12,31)-478</f>
        <v>40796</v>
      </c>
      <c r="B2013" s="13">
        <v>1218.08</v>
      </c>
    </row>
    <row r="2014" s="6" customFormat="1" spans="1:2">
      <c r="A2014" s="12">
        <f>DATE(2012,12,31)-69</f>
        <v>41205</v>
      </c>
      <c r="B2014" s="13">
        <v>5350.61</v>
      </c>
    </row>
    <row r="2015" s="6" customFormat="1" spans="1:2">
      <c r="A2015" s="12">
        <f>DATE(2012,12,31)-1065</f>
        <v>40209</v>
      </c>
      <c r="B2015" s="13">
        <v>44.05</v>
      </c>
    </row>
    <row r="2016" s="6" customFormat="1" spans="1:2">
      <c r="A2016" s="12">
        <f>DATE(2012,12,31)-1065</f>
        <v>40209</v>
      </c>
      <c r="B2016" s="13">
        <v>3872.38</v>
      </c>
    </row>
    <row r="2017" s="6" customFormat="1" spans="1:2">
      <c r="A2017" s="12">
        <f>DATE(2012,12,31)-1426</f>
        <v>39848</v>
      </c>
      <c r="B2017" s="13">
        <v>74.34</v>
      </c>
    </row>
    <row r="2018" s="6" customFormat="1" spans="1:2">
      <c r="A2018" s="12">
        <f>DATE(2012,12,31)-1426</f>
        <v>39848</v>
      </c>
      <c r="B2018" s="13">
        <v>228.8</v>
      </c>
    </row>
    <row r="2019" s="6" customFormat="1" spans="1:2">
      <c r="A2019" s="12">
        <f>DATE(2012,12,31)-1426</f>
        <v>39848</v>
      </c>
      <c r="B2019" s="13">
        <v>6089.05</v>
      </c>
    </row>
    <row r="2020" s="6" customFormat="1" spans="1:2">
      <c r="A2020" s="12">
        <f>DATE(2012,12,31)-515</f>
        <v>40759</v>
      </c>
      <c r="B2020" s="13">
        <v>931.1495</v>
      </c>
    </row>
    <row r="2021" s="6" customFormat="1" spans="1:2">
      <c r="A2021" s="12">
        <f>DATE(2012,12,31)-809</f>
        <v>40465</v>
      </c>
      <c r="B2021" s="13">
        <v>184.46</v>
      </c>
    </row>
    <row r="2022" s="6" customFormat="1" spans="1:2">
      <c r="A2022" s="12">
        <f>DATE(2012,12,31)-1029</f>
        <v>40245</v>
      </c>
      <c r="B2022" s="13">
        <v>5610.84</v>
      </c>
    </row>
    <row r="2023" s="6" customFormat="1" spans="1:2">
      <c r="A2023" s="12">
        <f>DATE(2012,12,31)-1029</f>
        <v>40245</v>
      </c>
      <c r="B2023" s="13">
        <v>455.34</v>
      </c>
    </row>
    <row r="2024" s="6" customFormat="1" spans="1:2">
      <c r="A2024" s="12">
        <f>DATE(2012,12,31)-1029</f>
        <v>40245</v>
      </c>
      <c r="B2024" s="13">
        <v>2329.646</v>
      </c>
    </row>
    <row r="2025" s="6" customFormat="1" spans="1:2">
      <c r="A2025" s="12">
        <f>DATE(2012,12,31)-685</f>
        <v>40589</v>
      </c>
      <c r="B2025" s="13">
        <v>4733.88</v>
      </c>
    </row>
    <row r="2026" s="6" customFormat="1" spans="1:2">
      <c r="A2026" s="12">
        <f>DATE(2012,12,31)-30</f>
        <v>41244</v>
      </c>
      <c r="B2026" s="13">
        <v>3731.59</v>
      </c>
    </row>
    <row r="2027" s="6" customFormat="1" spans="1:2">
      <c r="A2027" s="12">
        <f>DATE(2012,12,31)-30</f>
        <v>41244</v>
      </c>
      <c r="B2027" s="13">
        <v>33367.85</v>
      </c>
    </row>
    <row r="2028" s="6" customFormat="1" spans="1:2">
      <c r="A2028" s="12">
        <f>DATE(2012,12,31)-30</f>
        <v>41244</v>
      </c>
      <c r="B2028" s="13">
        <v>1299.91</v>
      </c>
    </row>
    <row r="2029" s="6" customFormat="1" spans="1:2">
      <c r="A2029" s="12">
        <f>DATE(2012,12,31)-123</f>
        <v>41151</v>
      </c>
      <c r="B2029" s="13">
        <v>1428.64</v>
      </c>
    </row>
    <row r="2030" s="6" customFormat="1" spans="1:2">
      <c r="A2030" s="12">
        <f>DATE(2012,12,31)-585</f>
        <v>40689</v>
      </c>
      <c r="B2030" s="13">
        <v>823.63</v>
      </c>
    </row>
    <row r="2031" s="6" customFormat="1" spans="1:2">
      <c r="A2031" s="12">
        <f>DATE(2012,12,31)-585</f>
        <v>40689</v>
      </c>
      <c r="B2031" s="13">
        <v>286.73</v>
      </c>
    </row>
    <row r="2032" s="6" customFormat="1" spans="1:2">
      <c r="A2032" s="12">
        <f>DATE(2012,12,31)-225</f>
        <v>41049</v>
      </c>
      <c r="B2032" s="13">
        <v>214.03</v>
      </c>
    </row>
    <row r="2033" s="6" customFormat="1" spans="1:2">
      <c r="A2033" s="12">
        <f>DATE(2012,12,31)-778</f>
        <v>40496</v>
      </c>
      <c r="B2033" s="13">
        <v>574.99</v>
      </c>
    </row>
    <row r="2034" s="6" customFormat="1" spans="1:2">
      <c r="A2034" s="12">
        <f>DATE(2012,12,31)-556</f>
        <v>40718</v>
      </c>
      <c r="B2034" s="13">
        <v>839.7</v>
      </c>
    </row>
    <row r="2035" s="6" customFormat="1" spans="1:2">
      <c r="A2035" s="12">
        <f>DATE(2012,12,31)-556</f>
        <v>40718</v>
      </c>
      <c r="B2035" s="13">
        <v>1662.5</v>
      </c>
    </row>
    <row r="2036" s="6" customFormat="1" spans="1:2">
      <c r="A2036" s="12">
        <f>DATE(2012,12,31)-695</f>
        <v>40579</v>
      </c>
      <c r="B2036" s="13">
        <v>438.47</v>
      </c>
    </row>
    <row r="2037" s="6" customFormat="1" spans="1:2">
      <c r="A2037" s="12">
        <f>DATE(2012,12,31)-1295</f>
        <v>39979</v>
      </c>
      <c r="B2037" s="13">
        <v>78.44</v>
      </c>
    </row>
    <row r="2038" s="6" customFormat="1" spans="1:2">
      <c r="A2038" s="12">
        <f>DATE(2012,12,31)-833</f>
        <v>40441</v>
      </c>
      <c r="B2038" s="13">
        <v>3819.42</v>
      </c>
    </row>
    <row r="2039" s="6" customFormat="1" spans="1:2">
      <c r="A2039" s="12">
        <f>DATE(2012,12,31)-833</f>
        <v>40441</v>
      </c>
      <c r="B2039" s="13">
        <v>208.78</v>
      </c>
    </row>
    <row r="2040" s="6" customFormat="1" spans="1:2">
      <c r="A2040" s="12">
        <f>DATE(2012,12,31)-1365</f>
        <v>39909</v>
      </c>
      <c r="B2040" s="13">
        <v>1556.61</v>
      </c>
    </row>
    <row r="2041" s="6" customFormat="1" spans="1:2">
      <c r="A2041" s="12">
        <f>DATE(2012,12,31)-1365</f>
        <v>39909</v>
      </c>
      <c r="B2041" s="13">
        <v>645.14</v>
      </c>
    </row>
    <row r="2042" s="6" customFormat="1" spans="1:2">
      <c r="A2042" s="12">
        <f>DATE(2012,12,31)-1365</f>
        <v>39909</v>
      </c>
      <c r="B2042" s="13">
        <v>4851.5025</v>
      </c>
    </row>
    <row r="2043" s="6" customFormat="1" spans="1:2">
      <c r="A2043" s="12">
        <f>DATE(2012,12,31)-897</f>
        <v>40377</v>
      </c>
      <c r="B2043" s="13">
        <v>745.99</v>
      </c>
    </row>
    <row r="2044" s="6" customFormat="1" spans="1:2">
      <c r="A2044" s="12">
        <f>DATE(2012,12,31)-822</f>
        <v>40452</v>
      </c>
      <c r="B2044" s="13">
        <v>245.96</v>
      </c>
    </row>
    <row r="2045" s="6" customFormat="1" spans="1:2">
      <c r="A2045" s="12">
        <f>DATE(2012,12,31)-395</f>
        <v>40879</v>
      </c>
      <c r="B2045" s="13">
        <v>953.0455</v>
      </c>
    </row>
    <row r="2046" s="6" customFormat="1" spans="1:2">
      <c r="A2046" s="12">
        <f>DATE(2012,12,31)-1451</f>
        <v>39823</v>
      </c>
      <c r="B2046" s="13">
        <v>199.12</v>
      </c>
    </row>
    <row r="2047" s="6" customFormat="1" spans="1:2">
      <c r="A2047" s="12">
        <f>DATE(2012,12,31)-1451</f>
        <v>39823</v>
      </c>
      <c r="B2047" s="13">
        <v>63.14</v>
      </c>
    </row>
    <row r="2048" s="6" customFormat="1" spans="1:2">
      <c r="A2048" s="12">
        <f>DATE(2012,12,31)-854</f>
        <v>40420</v>
      </c>
      <c r="B2048" s="13">
        <v>320.42</v>
      </c>
    </row>
    <row r="2049" s="6" customFormat="1" spans="1:2">
      <c r="A2049" s="12">
        <f>DATE(2012,12,31)-854</f>
        <v>40420</v>
      </c>
      <c r="B2049" s="13">
        <v>266.64</v>
      </c>
    </row>
    <row r="2050" s="6" customFormat="1" spans="1:2">
      <c r="A2050" s="12">
        <f>DATE(2012,12,31)-1426</f>
        <v>39848</v>
      </c>
      <c r="B2050" s="13">
        <v>671.03</v>
      </c>
    </row>
    <row r="2051" s="6" customFormat="1" spans="1:2">
      <c r="A2051" s="12">
        <f>DATE(2012,12,31)-76</f>
        <v>41198</v>
      </c>
      <c r="B2051" s="13">
        <v>363.54</v>
      </c>
    </row>
    <row r="2052" s="6" customFormat="1" spans="1:2">
      <c r="A2052" s="12">
        <f>DATE(2012,12,31)-1072</f>
        <v>40202</v>
      </c>
      <c r="B2052" s="13">
        <v>1325.06</v>
      </c>
    </row>
    <row r="2053" s="6" customFormat="1" spans="1:2">
      <c r="A2053" s="12">
        <f>DATE(2012,12,31)-411</f>
        <v>40863</v>
      </c>
      <c r="B2053" s="13">
        <v>257.75</v>
      </c>
    </row>
    <row r="2054" spans="1:2">
      <c r="A2054" s="14">
        <f>DATE(2012,12,31)-411</f>
        <v>40863</v>
      </c>
      <c r="B2054" s="15">
        <v>39.69</v>
      </c>
    </row>
    <row r="2055" s="6" customFormat="1" spans="1:2">
      <c r="A2055" s="12">
        <f>DATE(2012,12,31)-411</f>
        <v>40863</v>
      </c>
      <c r="B2055" s="13">
        <v>5139.882</v>
      </c>
    </row>
    <row r="2056" s="6" customFormat="1" spans="1:2">
      <c r="A2056" s="12">
        <f>DATE(2012,12,31)-722</f>
        <v>40552</v>
      </c>
      <c r="B2056" s="13">
        <v>268.94</v>
      </c>
    </row>
    <row r="2057" s="6" customFormat="1" spans="1:2">
      <c r="A2057" s="12">
        <f>DATE(2012,12,31)-722</f>
        <v>40552</v>
      </c>
      <c r="B2057" s="13">
        <v>847.82</v>
      </c>
    </row>
    <row r="2058" s="6" customFormat="1" spans="1:2">
      <c r="A2058" s="12">
        <f>DATE(2012,12,31)-117</f>
        <v>41157</v>
      </c>
      <c r="B2058" s="13">
        <v>1992.45</v>
      </c>
    </row>
    <row r="2059" s="6" customFormat="1" spans="1:2">
      <c r="A2059" s="12">
        <f>DATE(2012,12,31)-358</f>
        <v>40916</v>
      </c>
      <c r="B2059" s="13">
        <v>310.87</v>
      </c>
    </row>
    <row r="2060" s="6" customFormat="1" spans="1:2">
      <c r="A2060" s="12">
        <f>DATE(2012,12,31)-165</f>
        <v>41109</v>
      </c>
      <c r="B2060" s="13">
        <v>8532.152</v>
      </c>
    </row>
    <row r="2061" s="6" customFormat="1" spans="1:2">
      <c r="A2061" s="12">
        <f>DATE(2012,12,31)-165</f>
        <v>41109</v>
      </c>
      <c r="B2061" s="13">
        <v>2269.41</v>
      </c>
    </row>
    <row r="2062" spans="1:2">
      <c r="A2062" s="14">
        <f>DATE(2012,12,31)-1091</f>
        <v>40183</v>
      </c>
      <c r="B2062" s="15">
        <v>111.48</v>
      </c>
    </row>
    <row r="2063" s="6" customFormat="1" spans="1:2">
      <c r="A2063" s="12">
        <f>DATE(2012,12,31)-1091</f>
        <v>40183</v>
      </c>
      <c r="B2063" s="13">
        <v>2322.812</v>
      </c>
    </row>
    <row r="2064" s="6" customFormat="1" spans="1:2">
      <c r="A2064" s="12">
        <f>DATE(2012,12,31)-1218</f>
        <v>40056</v>
      </c>
      <c r="B2064" s="13">
        <v>42.3</v>
      </c>
    </row>
    <row r="2065" s="6" customFormat="1" spans="1:2">
      <c r="A2065" s="12">
        <f>DATE(2012,12,31)-292</f>
        <v>40982</v>
      </c>
      <c r="B2065" s="13">
        <v>2009.05</v>
      </c>
    </row>
    <row r="2066" s="6" customFormat="1" spans="1:2">
      <c r="A2066" s="12">
        <f>DATE(2012,12,31)-1179</f>
        <v>40095</v>
      </c>
      <c r="B2066" s="13">
        <v>94.86</v>
      </c>
    </row>
    <row r="2067" s="6" customFormat="1" spans="1:2">
      <c r="A2067" s="12">
        <f>DATE(2012,12,31)-1179</f>
        <v>40095</v>
      </c>
      <c r="B2067" s="13">
        <v>744.12</v>
      </c>
    </row>
    <row r="2068" s="6" customFormat="1" spans="1:2">
      <c r="A2068" s="12">
        <f>DATE(2012,12,31)-763</f>
        <v>40511</v>
      </c>
      <c r="B2068" s="13">
        <v>438.07</v>
      </c>
    </row>
    <row r="2069" s="6" customFormat="1" spans="1:2">
      <c r="A2069" s="12">
        <f>DATE(2012,12,31)-763</f>
        <v>40511</v>
      </c>
      <c r="B2069" s="13">
        <v>116.37</v>
      </c>
    </row>
    <row r="2070" s="6" customFormat="1" spans="1:2">
      <c r="A2070" s="12">
        <f>DATE(2012,12,31)-1051</f>
        <v>40223</v>
      </c>
      <c r="B2070" s="13">
        <v>1576.223</v>
      </c>
    </row>
    <row r="2071" s="6" customFormat="1" spans="1:2">
      <c r="A2071" s="12">
        <f>DATE(2012,12,31)-1071</f>
        <v>40203</v>
      </c>
      <c r="B2071" s="13">
        <v>9062.73</v>
      </c>
    </row>
    <row r="2072" s="6" customFormat="1" spans="1:2">
      <c r="A2072" s="12">
        <f>DATE(2012,12,31)-1071</f>
        <v>40203</v>
      </c>
      <c r="B2072" s="13">
        <v>1584.1</v>
      </c>
    </row>
    <row r="2073" s="6" customFormat="1" spans="1:2">
      <c r="A2073" s="12">
        <f>DATE(2012,12,31)-357</f>
        <v>40917</v>
      </c>
      <c r="B2073" s="13">
        <v>278.902</v>
      </c>
    </row>
    <row r="2074" s="6" customFormat="1" spans="1:2">
      <c r="A2074" s="12">
        <f>DATE(2012,12,31)-1418</f>
        <v>39856</v>
      </c>
      <c r="B2074" s="13">
        <v>103.62</v>
      </c>
    </row>
    <row r="2075" s="6" customFormat="1" spans="1:2">
      <c r="A2075" s="12">
        <f>DATE(2012,12,31)-1418</f>
        <v>39856</v>
      </c>
      <c r="B2075" s="13">
        <v>124.84</v>
      </c>
    </row>
    <row r="2076" s="6" customFormat="1" spans="1:2">
      <c r="A2076" s="12">
        <f>DATE(2012,12,31)-234</f>
        <v>41040</v>
      </c>
      <c r="B2076" s="13">
        <v>3378.18</v>
      </c>
    </row>
    <row r="2077" s="6" customFormat="1" spans="1:2">
      <c r="A2077" s="12">
        <f>DATE(2012,12,31)-234</f>
        <v>41040</v>
      </c>
      <c r="B2077" s="13">
        <v>1443.266</v>
      </c>
    </row>
    <row r="2078" s="6" customFormat="1" spans="1:2">
      <c r="A2078" s="12">
        <f>DATE(2012,12,31)-373</f>
        <v>40901</v>
      </c>
      <c r="B2078" s="13">
        <v>3800.4</v>
      </c>
    </row>
    <row r="2079" spans="1:2">
      <c r="A2079" s="14">
        <f>DATE(2012,12,31)-978</f>
        <v>40296</v>
      </c>
      <c r="B2079" s="15">
        <v>391.23</v>
      </c>
    </row>
    <row r="2080" s="6" customFormat="1" spans="1:2">
      <c r="A2080" s="12">
        <f>DATE(2012,12,31)-976</f>
        <v>40298</v>
      </c>
      <c r="B2080" s="13">
        <v>174.9</v>
      </c>
    </row>
    <row r="2081" s="6" customFormat="1" spans="1:2">
      <c r="A2081" s="12">
        <f>DATE(2012,12,31)-976</f>
        <v>40298</v>
      </c>
      <c r="B2081" s="13">
        <v>103.8</v>
      </c>
    </row>
    <row r="2082" s="6" customFormat="1" spans="1:2">
      <c r="A2082" s="12">
        <f>DATE(2012,12,31)-976</f>
        <v>40298</v>
      </c>
      <c r="B2082" s="13">
        <v>2557.51</v>
      </c>
    </row>
    <row r="2083" s="6" customFormat="1" spans="1:2">
      <c r="A2083" s="12">
        <f>DATE(2012,12,31)-605</f>
        <v>40669</v>
      </c>
      <c r="B2083" s="13">
        <v>978.4</v>
      </c>
    </row>
    <row r="2084" s="6" customFormat="1" spans="1:2">
      <c r="A2084" s="12">
        <f>DATE(2012,12,31)-605</f>
        <v>40669</v>
      </c>
      <c r="B2084" s="13">
        <v>5126.418</v>
      </c>
    </row>
    <row r="2085" s="6" customFormat="1" spans="1:2">
      <c r="A2085" s="12">
        <f>DATE(2012,12,31)-461</f>
        <v>40813</v>
      </c>
      <c r="B2085" s="13">
        <v>473.9855</v>
      </c>
    </row>
    <row r="2086" s="6" customFormat="1" spans="1:2">
      <c r="A2086" s="12">
        <f>DATE(2012,12,31)-1416</f>
        <v>39858</v>
      </c>
      <c r="B2086" s="13">
        <v>1003.43</v>
      </c>
    </row>
    <row r="2087" s="6" customFormat="1" spans="1:2">
      <c r="A2087" s="12">
        <f>DATE(2012,12,31)-1403</f>
        <v>39871</v>
      </c>
      <c r="B2087" s="13">
        <v>1685.941</v>
      </c>
    </row>
    <row r="2088" s="6" customFormat="1" spans="1:2">
      <c r="A2088" s="12">
        <f>DATE(2012,12,31)-583</f>
        <v>40691</v>
      </c>
      <c r="B2088" s="13">
        <v>647.78</v>
      </c>
    </row>
    <row r="2089" s="6" customFormat="1" spans="1:2">
      <c r="A2089" s="12">
        <f>DATE(2012,12,31)-827</f>
        <v>40447</v>
      </c>
      <c r="B2089" s="13">
        <v>525</v>
      </c>
    </row>
    <row r="2090" s="6" customFormat="1" spans="1:2">
      <c r="A2090" s="12">
        <f>DATE(2012,12,31)-594</f>
        <v>40680</v>
      </c>
      <c r="B2090" s="13">
        <v>2779.2</v>
      </c>
    </row>
    <row r="2091" s="6" customFormat="1" spans="1:2">
      <c r="A2091" s="12">
        <f>DATE(2012,12,31)-594</f>
        <v>40680</v>
      </c>
      <c r="B2091" s="13">
        <v>65.21</v>
      </c>
    </row>
    <row r="2092" spans="1:2">
      <c r="A2092" s="14">
        <f>DATE(2012,12,31)-528</f>
        <v>40746</v>
      </c>
      <c r="B2092" s="15">
        <v>231.35</v>
      </c>
    </row>
    <row r="2093" s="6" customFormat="1" spans="1:2">
      <c r="A2093" s="12">
        <f>DATE(2012,12,31)-949</f>
        <v>40325</v>
      </c>
      <c r="B2093" s="13">
        <v>12043.88</v>
      </c>
    </row>
    <row r="2094" s="6" customFormat="1" spans="1:2">
      <c r="A2094" s="12">
        <f>DATE(2012,12,31)-949</f>
        <v>40325</v>
      </c>
      <c r="B2094" s="13">
        <v>195.12</v>
      </c>
    </row>
    <row r="2095" s="6" customFormat="1" spans="1:2">
      <c r="A2095" s="12">
        <f>DATE(2012,12,31)-170</f>
        <v>41104</v>
      </c>
      <c r="B2095" s="13">
        <v>898.9</v>
      </c>
    </row>
    <row r="2096" s="6" customFormat="1" spans="1:2">
      <c r="A2096" s="12">
        <f>DATE(2012,12,31)-797</f>
        <v>40477</v>
      </c>
      <c r="B2096" s="13">
        <v>279.77</v>
      </c>
    </row>
    <row r="2097" s="6" customFormat="1" spans="1:2">
      <c r="A2097" s="12">
        <f>DATE(2012,12,31)-797</f>
        <v>40477</v>
      </c>
      <c r="B2097" s="13">
        <v>154.21</v>
      </c>
    </row>
    <row r="2098" s="6" customFormat="1" spans="1:2">
      <c r="A2098" s="12">
        <f>DATE(2012,12,31)-1419</f>
        <v>39855</v>
      </c>
      <c r="B2098" s="13">
        <v>8475.962</v>
      </c>
    </row>
    <row r="2099" s="6" customFormat="1" spans="1:2">
      <c r="A2099" s="12">
        <f>DATE(2012,12,31)-1419</f>
        <v>39855</v>
      </c>
      <c r="B2099" s="13">
        <v>3015.494</v>
      </c>
    </row>
    <row r="2100" spans="1:2">
      <c r="A2100" s="14">
        <f>DATE(2012,12,31)-376</f>
        <v>40898</v>
      </c>
      <c r="B2100" s="15">
        <v>1200.13</v>
      </c>
    </row>
    <row r="2101" s="6" customFormat="1" spans="1:2">
      <c r="A2101" s="12">
        <f>DATE(2012,12,31)-376</f>
        <v>40898</v>
      </c>
      <c r="B2101" s="13">
        <v>229.43</v>
      </c>
    </row>
    <row r="2102" s="6" customFormat="1" spans="1:2">
      <c r="A2102" s="12">
        <f>DATE(2012,12,31)-1055</f>
        <v>40219</v>
      </c>
      <c r="B2102" s="13">
        <v>633.13</v>
      </c>
    </row>
    <row r="2103" s="6" customFormat="1" spans="1:2">
      <c r="A2103" s="12">
        <f>DATE(2012,12,31)-767</f>
        <v>40507</v>
      </c>
      <c r="B2103" s="13">
        <v>306.77</v>
      </c>
    </row>
    <row r="2104" s="6" customFormat="1" spans="1:2">
      <c r="A2104" s="12">
        <f>DATE(2012,12,31)-1123</f>
        <v>40151</v>
      </c>
      <c r="B2104" s="13">
        <v>410.35</v>
      </c>
    </row>
    <row r="2105" s="6" customFormat="1" spans="1:2">
      <c r="A2105" s="12">
        <f>DATE(2012,12,31)-300</f>
        <v>40974</v>
      </c>
      <c r="B2105" s="13">
        <v>1681.6</v>
      </c>
    </row>
    <row r="2106" s="6" customFormat="1" spans="1:2">
      <c r="A2106" s="12">
        <f>DATE(2012,12,31)-864</f>
        <v>40410</v>
      </c>
      <c r="B2106" s="13">
        <v>1378.72</v>
      </c>
    </row>
    <row r="2107" s="6" customFormat="1" spans="1:2">
      <c r="A2107" s="12">
        <f>DATE(2012,12,31)-1129</f>
        <v>40145</v>
      </c>
      <c r="B2107" s="13">
        <v>941.4</v>
      </c>
    </row>
    <row r="2108" s="6" customFormat="1" spans="1:2">
      <c r="A2108" s="12">
        <f>DATE(2012,12,31)-1184</f>
        <v>40090</v>
      </c>
      <c r="B2108" s="13">
        <v>1548.43</v>
      </c>
    </row>
    <row r="2109" s="6" customFormat="1" spans="1:2">
      <c r="A2109" s="12">
        <f>DATE(2012,12,31)-1184</f>
        <v>40090</v>
      </c>
      <c r="B2109" s="13">
        <v>54.84</v>
      </c>
    </row>
    <row r="2110" spans="1:2">
      <c r="A2110" s="14">
        <f>DATE(2012,12,31)-783</f>
        <v>40491</v>
      </c>
      <c r="B2110" s="15">
        <v>207.01</v>
      </c>
    </row>
    <row r="2111" s="6" customFormat="1" spans="1:2">
      <c r="A2111" s="12">
        <f>DATE(2012,12,31)-1081</f>
        <v>40193</v>
      </c>
      <c r="B2111" s="13">
        <v>3753.42</v>
      </c>
    </row>
    <row r="2112" spans="1:2">
      <c r="A2112" s="14">
        <f>DATE(2012,12,31)-1081</f>
        <v>40193</v>
      </c>
      <c r="B2112" s="15">
        <v>1130.79</v>
      </c>
    </row>
    <row r="2113" s="6" customFormat="1" spans="1:2">
      <c r="A2113" s="12">
        <f>DATE(2012,12,31)-277</f>
        <v>40997</v>
      </c>
      <c r="B2113" s="13">
        <v>109.43</v>
      </c>
    </row>
    <row r="2114" s="6" customFormat="1" spans="1:2">
      <c r="A2114" s="12">
        <f>DATE(2012,12,31)-1154</f>
        <v>40120</v>
      </c>
      <c r="B2114" s="13">
        <v>460.43</v>
      </c>
    </row>
    <row r="2115" s="6" customFormat="1" spans="1:2">
      <c r="A2115" s="12">
        <f>DATE(2012,12,31)-704</f>
        <v>40570</v>
      </c>
      <c r="B2115" s="13">
        <v>283.58</v>
      </c>
    </row>
    <row r="2116" s="6" customFormat="1" spans="1:2">
      <c r="A2116" s="12">
        <f>DATE(2012,12,31)-704</f>
        <v>40570</v>
      </c>
      <c r="B2116" s="13">
        <v>5403.37</v>
      </c>
    </row>
    <row r="2117" s="6" customFormat="1" spans="1:2">
      <c r="A2117" s="12">
        <f>DATE(2012,12,31)-704</f>
        <v>40570</v>
      </c>
      <c r="B2117" s="13">
        <v>82.15</v>
      </c>
    </row>
    <row r="2118" s="6" customFormat="1" spans="1:2">
      <c r="A2118" s="12">
        <f>DATE(2012,12,31)-1222</f>
        <v>40052</v>
      </c>
      <c r="B2118" s="13">
        <v>2066.16</v>
      </c>
    </row>
    <row r="2119" s="6" customFormat="1" spans="1:2">
      <c r="A2119" s="12">
        <f>DATE(2012,12,31)-748</f>
        <v>40526</v>
      </c>
      <c r="B2119" s="13">
        <v>230.72</v>
      </c>
    </row>
    <row r="2120" s="6" customFormat="1" spans="1:2">
      <c r="A2120" s="12">
        <f>DATE(2012,12,31)-748</f>
        <v>40526</v>
      </c>
      <c r="B2120" s="13">
        <v>293.47</v>
      </c>
    </row>
    <row r="2121" s="6" customFormat="1" spans="1:2">
      <c r="A2121" s="12">
        <f>DATE(2012,12,31)-748</f>
        <v>40526</v>
      </c>
      <c r="B2121" s="13">
        <v>88.7</v>
      </c>
    </row>
    <row r="2122" s="6" customFormat="1" spans="1:2">
      <c r="A2122" s="12">
        <f>DATE(2012,12,31)-748</f>
        <v>40526</v>
      </c>
      <c r="B2122" s="13">
        <v>262.78</v>
      </c>
    </row>
    <row r="2123" s="6" customFormat="1" spans="1:2">
      <c r="A2123" s="12">
        <f>DATE(2012,12,31)-748</f>
        <v>40526</v>
      </c>
      <c r="B2123" s="13">
        <v>142.15</v>
      </c>
    </row>
    <row r="2124" s="6" customFormat="1" spans="1:2">
      <c r="A2124" s="12">
        <f>DATE(2012,12,31)-1110</f>
        <v>40164</v>
      </c>
      <c r="B2124" s="13">
        <v>970.47</v>
      </c>
    </row>
    <row r="2125" s="6" customFormat="1" spans="1:2">
      <c r="A2125" s="12">
        <f>DATE(2012,12,31)-1138</f>
        <v>40136</v>
      </c>
      <c r="B2125" s="13">
        <v>5203.9</v>
      </c>
    </row>
    <row r="2126" spans="1:2">
      <c r="A2126" s="14">
        <f>DATE(2012,12,31)-1138</f>
        <v>40136</v>
      </c>
      <c r="B2126" s="15">
        <v>744.12</v>
      </c>
    </row>
    <row r="2127" s="6" customFormat="1" spans="1:2">
      <c r="A2127" s="12">
        <f>DATE(2012,12,31)-271</f>
        <v>41003</v>
      </c>
      <c r="B2127" s="13">
        <v>330.22</v>
      </c>
    </row>
    <row r="2128" s="6" customFormat="1" spans="1:2">
      <c r="A2128" s="12">
        <f>DATE(2012,12,31)-1384</f>
        <v>39890</v>
      </c>
      <c r="B2128" s="13">
        <v>356.4645</v>
      </c>
    </row>
    <row r="2129" s="6" customFormat="1" spans="1:2">
      <c r="A2129" s="12">
        <f>DATE(2012,12,31)-906</f>
        <v>40368</v>
      </c>
      <c r="B2129" s="13">
        <v>1340.93</v>
      </c>
    </row>
    <row r="2130" s="6" customFormat="1" spans="1:2">
      <c r="A2130" s="12">
        <f>DATE(2012,12,31)-655</f>
        <v>40619</v>
      </c>
      <c r="B2130" s="13">
        <v>4605.36</v>
      </c>
    </row>
    <row r="2131" s="6" customFormat="1" spans="1:2">
      <c r="A2131" s="12">
        <f>DATE(2012,12,31)-655</f>
        <v>40619</v>
      </c>
      <c r="B2131" s="13">
        <v>1753.51</v>
      </c>
    </row>
    <row r="2132" s="6" customFormat="1" spans="1:2">
      <c r="A2132" s="12">
        <f>DATE(2012,12,31)-788</f>
        <v>40486</v>
      </c>
      <c r="B2132" s="13">
        <v>5287.16</v>
      </c>
    </row>
    <row r="2133" s="6" customFormat="1" spans="1:2">
      <c r="A2133" s="12">
        <f>DATE(2012,12,31)-1025</f>
        <v>40249</v>
      </c>
      <c r="B2133" s="13">
        <v>2185.9535</v>
      </c>
    </row>
    <row r="2134" s="6" customFormat="1" spans="1:2">
      <c r="A2134" s="12">
        <f>DATE(2012,12,31)-1025</f>
        <v>40249</v>
      </c>
      <c r="B2134" s="13">
        <v>1323.5435</v>
      </c>
    </row>
    <row r="2135" spans="1:2">
      <c r="A2135" s="14">
        <f>DATE(2012,12,31)-266</f>
        <v>41008</v>
      </c>
      <c r="B2135" s="15">
        <v>341.42</v>
      </c>
    </row>
    <row r="2136" s="6" customFormat="1" spans="1:2">
      <c r="A2136" s="12">
        <f>DATE(2012,12,31)-266</f>
        <v>41008</v>
      </c>
      <c r="B2136" s="13">
        <v>381.39</v>
      </c>
    </row>
    <row r="2137" s="6" customFormat="1" spans="1:2">
      <c r="A2137" s="12">
        <f>DATE(2012,12,31)-410</f>
        <v>40864</v>
      </c>
      <c r="B2137" s="13">
        <v>3581.52</v>
      </c>
    </row>
    <row r="2138" s="6" customFormat="1" spans="1:2">
      <c r="A2138" s="12">
        <f>DATE(2012,12,31)-410</f>
        <v>40864</v>
      </c>
      <c r="B2138" s="13">
        <v>90.15</v>
      </c>
    </row>
    <row r="2139" s="6" customFormat="1" spans="1:2">
      <c r="A2139" s="12">
        <f>DATE(2012,12,31)-1430</f>
        <v>39844</v>
      </c>
      <c r="B2139" s="13">
        <v>257.91</v>
      </c>
    </row>
    <row r="2140" s="6" customFormat="1" spans="1:2">
      <c r="A2140" s="12">
        <f>DATE(2012,12,31)-890</f>
        <v>40384</v>
      </c>
      <c r="B2140" s="13">
        <v>2389.3</v>
      </c>
    </row>
    <row r="2141" s="6" customFormat="1" spans="1:2">
      <c r="A2141" s="12">
        <f>DATE(2012,12,31)-890</f>
        <v>40384</v>
      </c>
      <c r="B2141" s="13">
        <v>222.258</v>
      </c>
    </row>
    <row r="2142" s="6" customFormat="1" spans="1:2">
      <c r="A2142" s="12">
        <f>DATE(2012,12,31)-146</f>
        <v>41128</v>
      </c>
      <c r="B2142" s="13">
        <v>6216.6</v>
      </c>
    </row>
    <row r="2143" s="6" customFormat="1" spans="1:2">
      <c r="A2143" s="12">
        <f>DATE(2012,12,31)-692</f>
        <v>40582</v>
      </c>
      <c r="B2143" s="13">
        <v>229.88</v>
      </c>
    </row>
    <row r="2144" s="6" customFormat="1" spans="1:2">
      <c r="A2144" s="12">
        <f>DATE(2012,12,31)-840</f>
        <v>40434</v>
      </c>
      <c r="B2144" s="13">
        <v>101.13</v>
      </c>
    </row>
    <row r="2145" s="6" customFormat="1" spans="1:2">
      <c r="A2145" s="12">
        <f>DATE(2012,12,31)-840</f>
        <v>40434</v>
      </c>
      <c r="B2145" s="13">
        <v>526.45</v>
      </c>
    </row>
    <row r="2146" s="6" customFormat="1" spans="1:2">
      <c r="A2146" s="12">
        <f>DATE(2012,12,31)-248</f>
        <v>41026</v>
      </c>
      <c r="B2146" s="13">
        <v>1014.87</v>
      </c>
    </row>
    <row r="2147" s="6" customFormat="1" spans="1:2">
      <c r="A2147" s="12">
        <f>DATE(2012,12,31)-946</f>
        <v>40328</v>
      </c>
      <c r="B2147" s="13">
        <v>321.71</v>
      </c>
    </row>
    <row r="2148" s="6" customFormat="1" spans="1:2">
      <c r="A2148" s="12">
        <f>DATE(2012,12,31)-836</f>
        <v>40438</v>
      </c>
      <c r="B2148" s="13">
        <v>765.96</v>
      </c>
    </row>
    <row r="2149" s="6" customFormat="1" spans="1:2">
      <c r="A2149" s="12">
        <f>DATE(2012,12,31)-1059</f>
        <v>40215</v>
      </c>
      <c r="B2149" s="13">
        <v>223.33</v>
      </c>
    </row>
    <row r="2150" s="6" customFormat="1" spans="1:2">
      <c r="A2150" s="12">
        <f>DATE(2012,12,31)-1059</f>
        <v>40215</v>
      </c>
      <c r="B2150" s="13">
        <v>1178.04</v>
      </c>
    </row>
    <row r="2151" spans="1:2">
      <c r="A2151" s="14">
        <f>DATE(2012,12,31)-1059</f>
        <v>40215</v>
      </c>
      <c r="B2151" s="15">
        <v>121.94</v>
      </c>
    </row>
    <row r="2152" s="6" customFormat="1" spans="1:2">
      <c r="A2152" s="12">
        <f>DATE(2012,12,31)-232</f>
        <v>41042</v>
      </c>
      <c r="B2152" s="13">
        <v>3988.0895</v>
      </c>
    </row>
    <row r="2153" s="6" customFormat="1" spans="1:2">
      <c r="A2153" s="12">
        <f>DATE(2012,12,31)-232</f>
        <v>41042</v>
      </c>
      <c r="B2153" s="13">
        <v>2202.45</v>
      </c>
    </row>
    <row r="2154" s="6" customFormat="1" spans="1:2">
      <c r="A2154" s="12">
        <f>DATE(2012,12,31)-232</f>
        <v>41042</v>
      </c>
      <c r="B2154" s="13">
        <v>2514.5125</v>
      </c>
    </row>
    <row r="2155" s="6" customFormat="1" spans="1:2">
      <c r="A2155" s="12">
        <f>DATE(2012,12,31)-525</f>
        <v>40749</v>
      </c>
      <c r="B2155" s="13">
        <v>2896.14</v>
      </c>
    </row>
    <row r="2156" s="6" customFormat="1" spans="1:2">
      <c r="A2156" s="12">
        <f>DATE(2012,12,31)-691</f>
        <v>40583</v>
      </c>
      <c r="B2156" s="13">
        <v>1444.96</v>
      </c>
    </row>
    <row r="2157" s="6" customFormat="1" spans="1:2">
      <c r="A2157" s="12">
        <f>DATE(2012,12,31)-691</f>
        <v>40583</v>
      </c>
      <c r="B2157" s="13">
        <v>941.6215</v>
      </c>
    </row>
    <row r="2158" s="6" customFormat="1" spans="1:2">
      <c r="A2158" s="12">
        <f>DATE(2012,12,31)-674</f>
        <v>40600</v>
      </c>
      <c r="B2158" s="13">
        <v>862.64</v>
      </c>
    </row>
    <row r="2159" spans="1:2">
      <c r="A2159" s="14">
        <f>DATE(2012,12,31)-891</f>
        <v>40383</v>
      </c>
      <c r="B2159" s="15">
        <v>293.3</v>
      </c>
    </row>
    <row r="2160" s="6" customFormat="1" spans="1:2">
      <c r="A2160" s="12">
        <f>DATE(2012,12,31)-348</f>
        <v>40926</v>
      </c>
      <c r="B2160" s="13">
        <v>901.374</v>
      </c>
    </row>
    <row r="2161" s="6" customFormat="1" spans="1:2">
      <c r="A2161" s="12">
        <f>DATE(2012,12,31)-234</f>
        <v>41040</v>
      </c>
      <c r="B2161" s="13">
        <v>156.82</v>
      </c>
    </row>
    <row r="2162" s="6" customFormat="1" spans="1:2">
      <c r="A2162" s="12">
        <f>DATE(2012,12,31)-208</f>
        <v>41066</v>
      </c>
      <c r="B2162" s="13">
        <v>426.34</v>
      </c>
    </row>
    <row r="2163" s="6" customFormat="1" spans="1:2">
      <c r="A2163" s="12">
        <f>DATE(2012,12,31)-283</f>
        <v>40991</v>
      </c>
      <c r="B2163" s="13">
        <v>386.71</v>
      </c>
    </row>
    <row r="2164" s="6" customFormat="1" spans="1:2">
      <c r="A2164" s="12">
        <f>DATE(2012,12,31)-283</f>
        <v>40991</v>
      </c>
      <c r="B2164" s="13">
        <v>134.06</v>
      </c>
    </row>
    <row r="2165" spans="1:2">
      <c r="A2165" s="14">
        <f>DATE(2012,12,31)-880</f>
        <v>40394</v>
      </c>
      <c r="B2165" s="15">
        <v>50.93</v>
      </c>
    </row>
    <row r="2166" spans="1:2">
      <c r="A2166" s="14">
        <f>DATE(2012,12,31)-880</f>
        <v>40394</v>
      </c>
      <c r="B2166" s="15">
        <v>792.8</v>
      </c>
    </row>
    <row r="2167" s="6" customFormat="1" spans="1:2">
      <c r="A2167" s="12">
        <f>DATE(2012,12,31)-880</f>
        <v>40394</v>
      </c>
      <c r="B2167" s="13">
        <v>782.4505</v>
      </c>
    </row>
    <row r="2168" s="6" customFormat="1" spans="1:2">
      <c r="A2168" s="12">
        <f>DATE(2012,12,31)-552</f>
        <v>40722</v>
      </c>
      <c r="B2168" s="13">
        <v>123.13</v>
      </c>
    </row>
    <row r="2169" s="6" customFormat="1" spans="1:2">
      <c r="A2169" s="12">
        <f>DATE(2012,12,31)-552</f>
        <v>40722</v>
      </c>
      <c r="B2169" s="13">
        <v>1425.21</v>
      </c>
    </row>
    <row r="2170" s="6" customFormat="1" spans="1:2">
      <c r="A2170" s="12">
        <f>DATE(2012,12,31)-464</f>
        <v>40810</v>
      </c>
      <c r="B2170" s="13">
        <v>35.51</v>
      </c>
    </row>
    <row r="2171" s="6" customFormat="1" spans="1:2">
      <c r="A2171" s="12">
        <f>DATE(2012,12,31)-464</f>
        <v>40810</v>
      </c>
      <c r="B2171" s="13">
        <v>1105.66</v>
      </c>
    </row>
    <row r="2172" s="6" customFormat="1" spans="1:2">
      <c r="A2172" s="12">
        <f>DATE(2012,12,31)-494</f>
        <v>40780</v>
      </c>
      <c r="B2172" s="13">
        <v>8581.25</v>
      </c>
    </row>
    <row r="2173" s="6" customFormat="1" spans="1:2">
      <c r="A2173" s="12">
        <f>DATE(2012,12,31)-494</f>
        <v>40780</v>
      </c>
      <c r="B2173" s="13">
        <v>135.99</v>
      </c>
    </row>
    <row r="2174" spans="1:2">
      <c r="A2174" s="14">
        <f>DATE(2012,12,31)-88</f>
        <v>41186</v>
      </c>
      <c r="B2174" s="15">
        <v>2182.91</v>
      </c>
    </row>
    <row r="2175" spans="1:2">
      <c r="A2175" s="14">
        <f>DATE(2012,12,31)-88</f>
        <v>41186</v>
      </c>
      <c r="B2175" s="15">
        <v>1144.35</v>
      </c>
    </row>
    <row r="2176" s="6" customFormat="1" spans="1:2">
      <c r="A2176" s="12">
        <f>DATE(2012,12,31)-88</f>
        <v>41186</v>
      </c>
      <c r="B2176" s="13">
        <v>1496.83</v>
      </c>
    </row>
    <row r="2177" s="6" customFormat="1" spans="1:2">
      <c r="A2177" s="12">
        <f>DATE(2012,12,31)-1186</f>
        <v>40088</v>
      </c>
      <c r="B2177" s="13">
        <v>7937.59</v>
      </c>
    </row>
    <row r="2178" s="6" customFormat="1" spans="1:2">
      <c r="A2178" s="12">
        <f>DATE(2012,12,31)-1186</f>
        <v>40088</v>
      </c>
      <c r="B2178" s="13">
        <v>9396.41</v>
      </c>
    </row>
    <row r="2179" s="6" customFormat="1" spans="1:2">
      <c r="A2179" s="12">
        <f>DATE(2012,12,31)-266</f>
        <v>41008</v>
      </c>
      <c r="B2179" s="13">
        <v>3400.63</v>
      </c>
    </row>
    <row r="2180" s="6" customFormat="1" spans="1:2">
      <c r="A2180" s="12">
        <f>DATE(2012,12,31)-27</f>
        <v>41247</v>
      </c>
      <c r="B2180" s="13">
        <v>102.9</v>
      </c>
    </row>
    <row r="2181" s="6" customFormat="1" spans="1:2">
      <c r="A2181" s="12">
        <f>DATE(2012,12,31)-545</f>
        <v>40729</v>
      </c>
      <c r="B2181" s="13">
        <v>2510.71</v>
      </c>
    </row>
    <row r="2182" s="6" customFormat="1" spans="1:2">
      <c r="A2182" s="12">
        <f>DATE(2012,12,31)-77</f>
        <v>41197</v>
      </c>
      <c r="B2182" s="13">
        <v>2123.64</v>
      </c>
    </row>
    <row r="2183" s="6" customFormat="1" spans="1:2">
      <c r="A2183" s="12">
        <f>DATE(2012,12,31)-1434</f>
        <v>39840</v>
      </c>
      <c r="B2183" s="13">
        <v>100.87</v>
      </c>
    </row>
    <row r="2184" spans="1:2">
      <c r="A2184" s="14">
        <f>DATE(2012,12,31)-1434</f>
        <v>39840</v>
      </c>
      <c r="B2184" s="15">
        <v>1863.02</v>
      </c>
    </row>
    <row r="2185" spans="1:2">
      <c r="A2185" s="14">
        <f>DATE(2012,12,31)-1434</f>
        <v>39840</v>
      </c>
      <c r="B2185" s="15">
        <v>55.89</v>
      </c>
    </row>
    <row r="2186" s="6" customFormat="1" spans="1:2">
      <c r="A2186" s="12">
        <f>DATE(2012,12,31)-713</f>
        <v>40561</v>
      </c>
      <c r="B2186" s="13">
        <v>5405.44</v>
      </c>
    </row>
    <row r="2187" spans="1:2">
      <c r="A2187" s="14">
        <f>DATE(2012,12,31)-1016</f>
        <v>40258</v>
      </c>
      <c r="B2187" s="15">
        <v>838.81</v>
      </c>
    </row>
    <row r="2188" s="6" customFormat="1" spans="1:2">
      <c r="A2188" s="12">
        <f>DATE(2012,12,31)-1234</f>
        <v>40040</v>
      </c>
      <c r="B2188" s="13">
        <v>189.6</v>
      </c>
    </row>
    <row r="2189" s="6" customFormat="1" spans="1:2">
      <c r="A2189" s="12">
        <f>DATE(2012,12,31)-1234</f>
        <v>40040</v>
      </c>
      <c r="B2189" s="13">
        <v>397.732</v>
      </c>
    </row>
    <row r="2190" s="6" customFormat="1" spans="1:2">
      <c r="A2190" s="12">
        <f>DATE(2012,12,31)-970</f>
        <v>40304</v>
      </c>
      <c r="B2190" s="13">
        <v>43.23</v>
      </c>
    </row>
    <row r="2191" s="6" customFormat="1" spans="1:2">
      <c r="A2191" s="12">
        <f>DATE(2012,12,31)-628</f>
        <v>40646</v>
      </c>
      <c r="B2191" s="13">
        <v>71.77</v>
      </c>
    </row>
    <row r="2192" s="6" customFormat="1" spans="1:2">
      <c r="A2192" s="12">
        <f>DATE(2012,12,31)-119</f>
        <v>41155</v>
      </c>
      <c r="B2192" s="13">
        <v>824.51</v>
      </c>
    </row>
    <row r="2193" s="6" customFormat="1" spans="1:2">
      <c r="A2193" s="12">
        <f>DATE(2012,12,31)-276</f>
        <v>40998</v>
      </c>
      <c r="B2193" s="13">
        <v>2339.64</v>
      </c>
    </row>
    <row r="2194" s="6" customFormat="1" spans="1:2">
      <c r="A2194" s="12">
        <f>DATE(2012,12,31)-748</f>
        <v>40526</v>
      </c>
      <c r="B2194" s="13">
        <v>126.88</v>
      </c>
    </row>
    <row r="2195" spans="1:2">
      <c r="A2195" s="14">
        <f>DATE(2012,12,31)-748</f>
        <v>40526</v>
      </c>
      <c r="B2195" s="15">
        <v>906.64</v>
      </c>
    </row>
    <row r="2196" s="6" customFormat="1" spans="1:2">
      <c r="A2196" s="12">
        <f>DATE(2012,12,31)-748</f>
        <v>40526</v>
      </c>
      <c r="B2196" s="13">
        <v>882.96</v>
      </c>
    </row>
    <row r="2197" s="6" customFormat="1" spans="1:2">
      <c r="A2197" s="12">
        <f>DATE(2012,12,31)-748</f>
        <v>40526</v>
      </c>
      <c r="B2197" s="13">
        <v>58.14</v>
      </c>
    </row>
    <row r="2198" s="6" customFormat="1" spans="1:2">
      <c r="A2198" s="12">
        <f>DATE(2012,12,31)-1340</f>
        <v>39934</v>
      </c>
      <c r="B2198" s="13">
        <v>528.6</v>
      </c>
    </row>
    <row r="2199" s="6" customFormat="1" spans="1:2">
      <c r="A2199" s="12">
        <f>DATE(2012,12,31)-1340</f>
        <v>39934</v>
      </c>
      <c r="B2199" s="13">
        <v>107.41</v>
      </c>
    </row>
    <row r="2200" s="6" customFormat="1" spans="1:2">
      <c r="A2200" s="12">
        <f>DATE(2012,12,31)-62</f>
        <v>41212</v>
      </c>
      <c r="B2200" s="13">
        <v>5198.12</v>
      </c>
    </row>
    <row r="2201" s="6" customFormat="1" spans="1:2">
      <c r="A2201" s="12">
        <f>DATE(2012,12,31)-62</f>
        <v>41212</v>
      </c>
      <c r="B2201" s="13">
        <v>188.53</v>
      </c>
    </row>
    <row r="2202" s="6" customFormat="1" spans="1:2">
      <c r="A2202" s="12">
        <f>DATE(2012,12,31)-62</f>
        <v>41212</v>
      </c>
      <c r="B2202" s="13">
        <v>718.41</v>
      </c>
    </row>
    <row r="2203" s="6" customFormat="1" spans="1:2">
      <c r="A2203" s="12">
        <f>DATE(2012,12,31)-788</f>
        <v>40486</v>
      </c>
      <c r="B2203" s="13">
        <v>275.06</v>
      </c>
    </row>
    <row r="2204" s="6" customFormat="1" spans="1:2">
      <c r="A2204" s="12">
        <f>DATE(2012,12,31)-1161</f>
        <v>40113</v>
      </c>
      <c r="B2204" s="13">
        <v>124.01</v>
      </c>
    </row>
    <row r="2205" s="6" customFormat="1" spans="1:2">
      <c r="A2205" s="12">
        <f>DATE(2012,12,31)-1161</f>
        <v>40113</v>
      </c>
      <c r="B2205" s="13">
        <v>1836.84</v>
      </c>
    </row>
    <row r="2206" s="6" customFormat="1" spans="1:2">
      <c r="A2206" s="12">
        <f>DATE(2012,12,31)-826</f>
        <v>40448</v>
      </c>
      <c r="B2206" s="13">
        <v>2174.96</v>
      </c>
    </row>
    <row r="2207" s="6" customFormat="1" spans="1:2">
      <c r="A2207" s="12">
        <f>DATE(2012,12,31)-630</f>
        <v>40644</v>
      </c>
      <c r="B2207" s="13">
        <v>1837.44</v>
      </c>
    </row>
    <row r="2208" s="6" customFormat="1" spans="1:2">
      <c r="A2208" s="12">
        <f>DATE(2012,12,31)-630</f>
        <v>40644</v>
      </c>
      <c r="B2208" s="13">
        <v>3722.29</v>
      </c>
    </row>
    <row r="2209" s="6" customFormat="1" spans="1:2">
      <c r="A2209" s="12">
        <f>DATE(2012,12,31)-630</f>
        <v>40644</v>
      </c>
      <c r="B2209" s="13">
        <v>28.05</v>
      </c>
    </row>
    <row r="2210" s="6" customFormat="1" spans="1:2">
      <c r="A2210" s="12">
        <f>DATE(2012,12,31)-55</f>
        <v>41219</v>
      </c>
      <c r="B2210" s="13">
        <v>311.44</v>
      </c>
    </row>
    <row r="2211" s="6" customFormat="1" spans="1:2">
      <c r="A2211" s="12">
        <f>DATE(2012,12,31)-55</f>
        <v>41219</v>
      </c>
      <c r="B2211" s="13">
        <v>215.65</v>
      </c>
    </row>
    <row r="2212" s="6" customFormat="1" spans="1:2">
      <c r="A2212" s="12">
        <f>DATE(2012,12,31)-387</f>
        <v>40887</v>
      </c>
      <c r="B2212" s="13">
        <v>951.09</v>
      </c>
    </row>
    <row r="2213" s="6" customFormat="1" spans="1:2">
      <c r="A2213" s="12">
        <f>DATE(2012,12,31)-1235</f>
        <v>40039</v>
      </c>
      <c r="B2213" s="13">
        <v>2172.515</v>
      </c>
    </row>
    <row r="2214" s="6" customFormat="1" spans="1:2">
      <c r="A2214" s="12">
        <f>DATE(2012,12,31)-510</f>
        <v>40764</v>
      </c>
      <c r="B2214" s="13">
        <v>10.33</v>
      </c>
    </row>
    <row r="2215" s="6" customFormat="1" spans="1:2">
      <c r="A2215" s="12">
        <f>DATE(2012,12,31)-510</f>
        <v>40764</v>
      </c>
      <c r="B2215" s="13">
        <v>14.39</v>
      </c>
    </row>
    <row r="2216" s="6" customFormat="1" spans="1:2">
      <c r="A2216" s="12">
        <f>DATE(2012,12,31)-7</f>
        <v>41267</v>
      </c>
      <c r="B2216" s="13">
        <v>51.03</v>
      </c>
    </row>
    <row r="2217" s="6" customFormat="1" spans="1:2">
      <c r="A2217" s="12">
        <f>DATE(2012,12,31)-1122</f>
        <v>40152</v>
      </c>
      <c r="B2217" s="13">
        <v>436.98</v>
      </c>
    </row>
    <row r="2218" s="6" customFormat="1" spans="1:2">
      <c r="A2218" s="12">
        <f>DATE(2012,12,31)-361</f>
        <v>40913</v>
      </c>
      <c r="B2218" s="13">
        <v>2160.27</v>
      </c>
    </row>
    <row r="2219" spans="1:2">
      <c r="A2219" s="14">
        <f>DATE(2012,12,31)-361</f>
        <v>40913</v>
      </c>
      <c r="B2219" s="15">
        <v>169.22</v>
      </c>
    </row>
    <row r="2220" s="6" customFormat="1" spans="1:2">
      <c r="A2220" s="12">
        <f>DATE(2012,12,31)-361</f>
        <v>40913</v>
      </c>
      <c r="B2220" s="13">
        <v>1319.421</v>
      </c>
    </row>
    <row r="2221" spans="1:2">
      <c r="A2221" s="14">
        <f>DATE(2012,12,31)-361</f>
        <v>40913</v>
      </c>
      <c r="B2221" s="15">
        <v>550.93</v>
      </c>
    </row>
    <row r="2222" s="6" customFormat="1" spans="1:2">
      <c r="A2222" s="12">
        <f>DATE(2012,12,31)-229</f>
        <v>41045</v>
      </c>
      <c r="B2222" s="13">
        <v>121.12</v>
      </c>
    </row>
    <row r="2223" s="6" customFormat="1" spans="1:2">
      <c r="A2223" s="12">
        <f>DATE(2012,12,31)-895</f>
        <v>40379</v>
      </c>
      <c r="B2223" s="13">
        <v>6933.45</v>
      </c>
    </row>
    <row r="2224" s="6" customFormat="1" spans="1:2">
      <c r="A2224" s="12">
        <f>DATE(2012,12,31)-895</f>
        <v>40379</v>
      </c>
      <c r="B2224" s="13">
        <v>54.99</v>
      </c>
    </row>
    <row r="2225" s="6" customFormat="1" spans="1:2">
      <c r="A2225" s="12">
        <f>DATE(2012,12,31)-712</f>
        <v>40562</v>
      </c>
      <c r="B2225" s="13">
        <v>42.21</v>
      </c>
    </row>
    <row r="2226" s="6" customFormat="1" spans="1:2">
      <c r="A2226" s="12">
        <f>DATE(2012,12,31)-163</f>
        <v>41111</v>
      </c>
      <c r="B2226" s="13">
        <v>480.43</v>
      </c>
    </row>
    <row r="2227" spans="1:2">
      <c r="A2227" s="14">
        <f>DATE(2012,12,31)-163</f>
        <v>41111</v>
      </c>
      <c r="B2227" s="15">
        <v>1001.99</v>
      </c>
    </row>
    <row r="2228" s="6" customFormat="1" spans="1:2">
      <c r="A2228" s="12">
        <f>DATE(2012,12,31)-665</f>
        <v>40609</v>
      </c>
      <c r="B2228" s="13">
        <v>226.18</v>
      </c>
    </row>
    <row r="2229" s="6" customFormat="1" spans="1:2">
      <c r="A2229" s="12">
        <f>DATE(2012,12,31)-1114</f>
        <v>40160</v>
      </c>
      <c r="B2229" s="13">
        <v>13255.93</v>
      </c>
    </row>
    <row r="2230" s="6" customFormat="1" spans="1:2">
      <c r="A2230" s="12">
        <f>DATE(2012,12,31)-169</f>
        <v>41105</v>
      </c>
      <c r="B2230" s="13">
        <v>217.14</v>
      </c>
    </row>
    <row r="2231" s="6" customFormat="1" spans="1:2">
      <c r="A2231" s="12">
        <f>DATE(2012,12,31)-169</f>
        <v>41105</v>
      </c>
      <c r="B2231" s="13">
        <v>426.7</v>
      </c>
    </row>
    <row r="2232" s="6" customFormat="1" spans="1:2">
      <c r="A2232" s="12">
        <f>DATE(2012,12,31)-603</f>
        <v>40671</v>
      </c>
      <c r="B2232" s="13">
        <v>2968.66</v>
      </c>
    </row>
    <row r="2233" s="6" customFormat="1" spans="1:2">
      <c r="A2233" s="12">
        <f>DATE(2012,12,31)-65</f>
        <v>41209</v>
      </c>
      <c r="B2233" s="13">
        <v>519.96</v>
      </c>
    </row>
    <row r="2234" s="6" customFormat="1" spans="1:2">
      <c r="A2234" s="12">
        <f>DATE(2012,12,31)-1193</f>
        <v>40081</v>
      </c>
      <c r="B2234" s="13">
        <v>3083.04</v>
      </c>
    </row>
    <row r="2235" s="6" customFormat="1" spans="1:2">
      <c r="A2235" s="12">
        <f>DATE(2012,12,31)-1193</f>
        <v>40081</v>
      </c>
      <c r="B2235" s="13">
        <v>27.96</v>
      </c>
    </row>
    <row r="2236" s="6" customFormat="1" spans="1:2">
      <c r="A2236" s="12">
        <f>DATE(2012,12,31)-42</f>
        <v>41232</v>
      </c>
      <c r="B2236" s="13">
        <v>21921.28</v>
      </c>
    </row>
    <row r="2237" s="6" customFormat="1" spans="1:2">
      <c r="A2237" s="12">
        <f>DATE(2012,12,31)-527</f>
        <v>40747</v>
      </c>
      <c r="B2237" s="13">
        <v>514.86</v>
      </c>
    </row>
    <row r="2238" s="6" customFormat="1" spans="1:2">
      <c r="A2238" s="12">
        <f>DATE(2012,12,31)-156</f>
        <v>41118</v>
      </c>
      <c r="B2238" s="13">
        <v>2692.6895</v>
      </c>
    </row>
    <row r="2239" s="6" customFormat="1" spans="1:2">
      <c r="A2239" s="12">
        <f>DATE(2012,12,31)-156</f>
        <v>41118</v>
      </c>
      <c r="B2239" s="13">
        <v>151.19</v>
      </c>
    </row>
    <row r="2240" s="6" customFormat="1" spans="1:2">
      <c r="A2240" s="12">
        <f>DATE(2012,12,31)-363</f>
        <v>40911</v>
      </c>
      <c r="B2240" s="13">
        <v>3353.54</v>
      </c>
    </row>
    <row r="2241" s="6" customFormat="1" spans="1:2">
      <c r="A2241" s="12">
        <f>DATE(2012,12,31)-363</f>
        <v>40911</v>
      </c>
      <c r="B2241" s="13">
        <v>69.38</v>
      </c>
    </row>
    <row r="2242" s="6" customFormat="1" spans="1:2">
      <c r="A2242" s="12">
        <f>DATE(2012,12,31)-363</f>
        <v>40911</v>
      </c>
      <c r="B2242" s="13">
        <v>2354.15</v>
      </c>
    </row>
    <row r="2243" s="6" customFormat="1" spans="1:2">
      <c r="A2243" s="12">
        <f>DATE(2012,12,31)-893</f>
        <v>40381</v>
      </c>
      <c r="B2243" s="13">
        <v>136.68</v>
      </c>
    </row>
    <row r="2244" s="6" customFormat="1" spans="1:2">
      <c r="A2244" s="12">
        <f>DATE(2012,12,31)-893</f>
        <v>40381</v>
      </c>
      <c r="B2244" s="13">
        <v>1452.48</v>
      </c>
    </row>
    <row r="2245" s="6" customFormat="1" spans="1:2">
      <c r="A2245" s="12">
        <f>DATE(2012,12,31)-893</f>
        <v>40381</v>
      </c>
      <c r="B2245" s="13">
        <v>3555.29</v>
      </c>
    </row>
    <row r="2246" s="6" customFormat="1" spans="1:2">
      <c r="A2246" s="12">
        <f>DATE(2012,12,31)-1065</f>
        <v>40209</v>
      </c>
      <c r="B2246" s="13">
        <v>78.51</v>
      </c>
    </row>
    <row r="2247" s="6" customFormat="1" spans="1:2">
      <c r="A2247" s="12">
        <f>DATE(2012,12,31)-266</f>
        <v>41008</v>
      </c>
      <c r="B2247" s="13">
        <v>300.2</v>
      </c>
    </row>
    <row r="2248" s="6" customFormat="1" spans="1:2">
      <c r="A2248" s="12">
        <f>DATE(2012,12,31)-266</f>
        <v>41008</v>
      </c>
      <c r="B2248" s="13">
        <v>1364.8025</v>
      </c>
    </row>
    <row r="2249" s="6" customFormat="1" spans="1:2">
      <c r="A2249" s="12">
        <f>DATE(2012,12,31)-816</f>
        <v>40458</v>
      </c>
      <c r="B2249" s="13">
        <v>2435.5135</v>
      </c>
    </row>
    <row r="2250" s="6" customFormat="1" spans="1:2">
      <c r="A2250" s="12">
        <f>DATE(2012,12,31)-1168</f>
        <v>40106</v>
      </c>
      <c r="B2250" s="13">
        <v>14521.39</v>
      </c>
    </row>
    <row r="2251" s="6" customFormat="1" spans="1:2">
      <c r="A2251" s="12">
        <f>DATE(2012,12,31)-1168</f>
        <v>40106</v>
      </c>
      <c r="B2251" s="13">
        <v>3925.9715</v>
      </c>
    </row>
    <row r="2252" spans="1:2">
      <c r="A2252" s="14">
        <f>DATE(2012,12,31)-66</f>
        <v>41208</v>
      </c>
      <c r="B2252" s="15">
        <v>218.71</v>
      </c>
    </row>
    <row r="2253" spans="1:2">
      <c r="A2253" s="14">
        <f>DATE(2012,12,31)-66</f>
        <v>41208</v>
      </c>
      <c r="B2253" s="15">
        <v>103.68</v>
      </c>
    </row>
    <row r="2254" s="6" customFormat="1" spans="1:2">
      <c r="A2254" s="12">
        <f>DATE(2012,12,31)-1313</f>
        <v>39961</v>
      </c>
      <c r="B2254" s="13">
        <v>550.29</v>
      </c>
    </row>
    <row r="2255" s="6" customFormat="1" spans="1:2">
      <c r="A2255" s="12">
        <f>DATE(2012,12,31)-1373</f>
        <v>39901</v>
      </c>
      <c r="B2255" s="13">
        <v>1068.7</v>
      </c>
    </row>
    <row r="2256" s="6" customFormat="1" spans="1:2">
      <c r="A2256" s="12">
        <f>DATE(2012,12,31)-1373</f>
        <v>39901</v>
      </c>
      <c r="B2256" s="13">
        <v>568.7435</v>
      </c>
    </row>
    <row r="2257" s="6" customFormat="1" spans="1:2">
      <c r="A2257" s="12">
        <f>DATE(2012,12,31)-1038</f>
        <v>40236</v>
      </c>
      <c r="B2257" s="13">
        <v>13.3</v>
      </c>
    </row>
    <row r="2258" s="6" customFormat="1" spans="1:2">
      <c r="A2258" s="12">
        <f>DATE(2012,12,31)-1038</f>
        <v>40236</v>
      </c>
      <c r="B2258" s="13">
        <v>3379.01</v>
      </c>
    </row>
    <row r="2259" s="6" customFormat="1" spans="1:2">
      <c r="A2259" s="12">
        <f>DATE(2012,12,31)-1038</f>
        <v>40236</v>
      </c>
      <c r="B2259" s="13">
        <v>687.52</v>
      </c>
    </row>
    <row r="2260" s="6" customFormat="1" spans="1:2">
      <c r="A2260" s="12">
        <f>DATE(2012,12,31)-1038</f>
        <v>40236</v>
      </c>
      <c r="B2260" s="13">
        <v>4538.66</v>
      </c>
    </row>
    <row r="2261" s="6" customFormat="1" spans="1:2">
      <c r="A2261" s="12">
        <f>DATE(2012,12,31)-118</f>
        <v>41156</v>
      </c>
      <c r="B2261" s="13">
        <v>2506.38</v>
      </c>
    </row>
    <row r="2262" s="6" customFormat="1" spans="1:2">
      <c r="A2262" s="12">
        <f>DATE(2012,12,31)-240</f>
        <v>41034</v>
      </c>
      <c r="B2262" s="13">
        <v>102.73</v>
      </c>
    </row>
    <row r="2263" spans="1:2">
      <c r="A2263" s="14">
        <f>DATE(2012,12,31)-544</f>
        <v>40730</v>
      </c>
      <c r="B2263" s="15">
        <v>9.69</v>
      </c>
    </row>
    <row r="2264" spans="1:2">
      <c r="A2264" s="14">
        <f>DATE(2012,12,31)-544</f>
        <v>40730</v>
      </c>
      <c r="B2264" s="15">
        <v>331.99</v>
      </c>
    </row>
    <row r="2265" s="6" customFormat="1" spans="1:2">
      <c r="A2265" s="12">
        <f>DATE(2012,12,31)-414</f>
        <v>40860</v>
      </c>
      <c r="B2265" s="13">
        <v>14960.096</v>
      </c>
    </row>
    <row r="2266" s="6" customFormat="1" spans="1:2">
      <c r="A2266" s="12">
        <f>DATE(2012,12,31)-730</f>
        <v>40544</v>
      </c>
      <c r="B2266" s="13">
        <v>62.84</v>
      </c>
    </row>
    <row r="2267" s="6" customFormat="1" spans="1:2">
      <c r="A2267" s="12">
        <f>DATE(2012,12,31)-898</f>
        <v>40376</v>
      </c>
      <c r="B2267" s="13">
        <v>5610.612</v>
      </c>
    </row>
    <row r="2268" s="6" customFormat="1" spans="1:2">
      <c r="A2268" s="12">
        <f>DATE(2012,12,31)-898</f>
        <v>40376</v>
      </c>
      <c r="B2268" s="13">
        <v>426.64</v>
      </c>
    </row>
    <row r="2269" s="6" customFormat="1" spans="1:2">
      <c r="A2269" s="12">
        <f>DATE(2012,12,31)-633</f>
        <v>40641</v>
      </c>
      <c r="B2269" s="13">
        <v>894.64</v>
      </c>
    </row>
    <row r="2270" s="6" customFormat="1" spans="1:2">
      <c r="A2270" s="12">
        <f>DATE(2012,12,31)-438</f>
        <v>40836</v>
      </c>
      <c r="B2270" s="13">
        <v>1856.9695</v>
      </c>
    </row>
    <row r="2271" s="6" customFormat="1" spans="1:2">
      <c r="A2271" s="12">
        <f>DATE(2012,12,31)-1187</f>
        <v>40087</v>
      </c>
      <c r="B2271" s="13">
        <v>7156.56</v>
      </c>
    </row>
    <row r="2272" s="6" customFormat="1" spans="1:2">
      <c r="A2272" s="12">
        <f>DATE(2012,12,31)-966</f>
        <v>40308</v>
      </c>
      <c r="B2272" s="13">
        <v>1538.33</v>
      </c>
    </row>
    <row r="2273" spans="1:2">
      <c r="A2273" s="14">
        <f>DATE(2012,12,31)-966</f>
        <v>40308</v>
      </c>
      <c r="B2273" s="15">
        <v>147.46</v>
      </c>
    </row>
    <row r="2274" s="6" customFormat="1" spans="1:2">
      <c r="A2274" s="12">
        <f>DATE(2012,12,31)-154</f>
        <v>41120</v>
      </c>
      <c r="B2274" s="13">
        <v>113.25</v>
      </c>
    </row>
    <row r="2275" s="6" customFormat="1" spans="1:2">
      <c r="A2275" s="12">
        <f>DATE(2012,12,31)-517</f>
        <v>40757</v>
      </c>
      <c r="B2275" s="13">
        <v>157.94</v>
      </c>
    </row>
    <row r="2276" spans="1:2">
      <c r="A2276" s="14">
        <f>DATE(2012,12,31)-231</f>
        <v>41043</v>
      </c>
      <c r="B2276" s="15">
        <v>1343.6</v>
      </c>
    </row>
    <row r="2277" spans="1:2">
      <c r="A2277" s="14">
        <f>DATE(2012,12,31)-231</f>
        <v>41043</v>
      </c>
      <c r="B2277" s="15">
        <v>35.28</v>
      </c>
    </row>
    <row r="2278" s="6" customFormat="1" spans="1:2">
      <c r="A2278" s="12">
        <f>DATE(2012,12,31)-282</f>
        <v>40992</v>
      </c>
      <c r="B2278" s="13">
        <v>86.38</v>
      </c>
    </row>
    <row r="2279" spans="1:2">
      <c r="A2279" s="14">
        <f>DATE(2012,12,31)-1245</f>
        <v>40029</v>
      </c>
      <c r="B2279" s="15">
        <v>241.19</v>
      </c>
    </row>
    <row r="2280" s="6" customFormat="1" spans="1:2">
      <c r="A2280" s="12">
        <f>DATE(2012,12,31)-449</f>
        <v>40825</v>
      </c>
      <c r="B2280" s="13">
        <v>272.01</v>
      </c>
    </row>
    <row r="2281" s="6" customFormat="1" spans="1:2">
      <c r="A2281" s="12">
        <f>DATE(2012,12,31)-449</f>
        <v>40825</v>
      </c>
      <c r="B2281" s="13">
        <v>171.5</v>
      </c>
    </row>
    <row r="2282" s="6" customFormat="1" spans="1:2">
      <c r="A2282" s="12">
        <f>DATE(2012,12,31)-148</f>
        <v>41126</v>
      </c>
      <c r="B2282" s="13">
        <v>128.21</v>
      </c>
    </row>
    <row r="2283" spans="1:2">
      <c r="A2283" s="14">
        <f>DATE(2012,12,31)-596</f>
        <v>40678</v>
      </c>
      <c r="B2283" s="15">
        <v>73.5</v>
      </c>
    </row>
    <row r="2284" s="6" customFormat="1" spans="1:2">
      <c r="A2284" s="12">
        <f>DATE(2012,12,31)-1258</f>
        <v>40016</v>
      </c>
      <c r="B2284" s="13">
        <v>252.79</v>
      </c>
    </row>
    <row r="2285" s="6" customFormat="1" spans="1:2">
      <c r="A2285" s="12">
        <f>DATE(2012,12,31)-130</f>
        <v>41144</v>
      </c>
      <c r="B2285" s="13">
        <v>134.42</v>
      </c>
    </row>
    <row r="2286" spans="1:2">
      <c r="A2286" s="14">
        <f>DATE(2012,12,31)-234</f>
        <v>41040</v>
      </c>
      <c r="B2286" s="15">
        <v>94.39</v>
      </c>
    </row>
    <row r="2287" s="6" customFormat="1" spans="1:2">
      <c r="A2287" s="12">
        <f>DATE(2012,12,31)-1121</f>
        <v>40153</v>
      </c>
      <c r="B2287" s="13">
        <v>87.23</v>
      </c>
    </row>
    <row r="2288" s="6" customFormat="1" spans="1:2">
      <c r="A2288" s="12">
        <f>DATE(2012,12,31)-682</f>
        <v>40592</v>
      </c>
      <c r="B2288" s="13">
        <v>3089.06</v>
      </c>
    </row>
    <row r="2289" s="6" customFormat="1" spans="1:2">
      <c r="A2289" s="12">
        <f>DATE(2012,12,31)-682</f>
        <v>40592</v>
      </c>
      <c r="B2289" s="13">
        <v>20265.22</v>
      </c>
    </row>
    <row r="2290" s="6" customFormat="1" spans="1:2">
      <c r="A2290" s="12">
        <f>DATE(2012,12,31)-850</f>
        <v>40424</v>
      </c>
      <c r="B2290" s="13">
        <v>1642.43</v>
      </c>
    </row>
    <row r="2291" s="6" customFormat="1" spans="1:2">
      <c r="A2291" s="12">
        <f>DATE(2012,12,31)-93</f>
        <v>41181</v>
      </c>
      <c r="B2291" s="13">
        <v>80.29</v>
      </c>
    </row>
    <row r="2292" s="6" customFormat="1" spans="1:2">
      <c r="A2292" s="12">
        <f>DATE(2012,12,31)-93</f>
        <v>41181</v>
      </c>
      <c r="B2292" s="13">
        <v>2628.9225</v>
      </c>
    </row>
    <row r="2293" s="6" customFormat="1" spans="1:2">
      <c r="A2293" s="12">
        <f>DATE(2012,12,31)-570</f>
        <v>40704</v>
      </c>
      <c r="B2293" s="13">
        <v>158.97</v>
      </c>
    </row>
    <row r="2294" s="6" customFormat="1" spans="1:2">
      <c r="A2294" s="12">
        <f>DATE(2012,12,31)-570</f>
        <v>40704</v>
      </c>
      <c r="B2294" s="13">
        <v>138.96</v>
      </c>
    </row>
    <row r="2295" s="6" customFormat="1" spans="1:2">
      <c r="A2295" s="12">
        <f>DATE(2012,12,31)-967</f>
        <v>40307</v>
      </c>
      <c r="B2295" s="13">
        <v>50.97</v>
      </c>
    </row>
    <row r="2296" s="6" customFormat="1" spans="1:2">
      <c r="A2296" s="12">
        <f>DATE(2012,12,31)-967</f>
        <v>40307</v>
      </c>
      <c r="B2296" s="13">
        <v>4.99</v>
      </c>
    </row>
    <row r="2297" s="6" customFormat="1" spans="1:2">
      <c r="A2297" s="12">
        <f>DATE(2012,12,31)-1412</f>
        <v>39862</v>
      </c>
      <c r="B2297" s="13">
        <v>10554.63</v>
      </c>
    </row>
    <row r="2298" s="6" customFormat="1" spans="1:2">
      <c r="A2298" s="12">
        <f>DATE(2012,12,31)-1412</f>
        <v>39862</v>
      </c>
      <c r="B2298" s="13">
        <v>1749.64</v>
      </c>
    </row>
    <row r="2299" s="6" customFormat="1" spans="1:2">
      <c r="A2299" s="12">
        <f>DATE(2012,12,31)-330</f>
        <v>40944</v>
      </c>
      <c r="B2299" s="13">
        <v>75.19</v>
      </c>
    </row>
    <row r="2300" s="6" customFormat="1" spans="1:2">
      <c r="A2300" s="12">
        <f>DATE(2012,12,31)-330</f>
        <v>40944</v>
      </c>
      <c r="B2300" s="13">
        <v>3028.86</v>
      </c>
    </row>
    <row r="2301" s="6" customFormat="1" spans="1:2">
      <c r="A2301" s="12">
        <f>DATE(2012,12,31)-750</f>
        <v>40524</v>
      </c>
      <c r="B2301" s="13">
        <v>63.96</v>
      </c>
    </row>
    <row r="2302" s="6" customFormat="1" spans="1:2">
      <c r="A2302" s="12">
        <f>DATE(2012,12,31)-750</f>
        <v>40524</v>
      </c>
      <c r="B2302" s="13">
        <v>177.23</v>
      </c>
    </row>
    <row r="2303" s="6" customFormat="1" spans="1:2">
      <c r="A2303" s="12">
        <f>DATE(2012,12,31)-457</f>
        <v>40817</v>
      </c>
      <c r="B2303" s="13">
        <v>6766.856</v>
      </c>
    </row>
    <row r="2304" s="6" customFormat="1" spans="1:2">
      <c r="A2304" s="12">
        <f>DATE(2012,12,31)-1178</f>
        <v>40096</v>
      </c>
      <c r="B2304" s="13">
        <v>659.13</v>
      </c>
    </row>
    <row r="2305" s="6" customFormat="1" spans="1:2">
      <c r="A2305" s="12">
        <f>DATE(2012,12,31)-1417</f>
        <v>39857</v>
      </c>
      <c r="B2305" s="13">
        <v>3699.22</v>
      </c>
    </row>
    <row r="2306" s="6" customFormat="1" spans="1:2">
      <c r="A2306" s="12">
        <f>DATE(2012,12,31)-1417</f>
        <v>39857</v>
      </c>
      <c r="B2306" s="13">
        <v>48.93</v>
      </c>
    </row>
    <row r="2307" s="6" customFormat="1" spans="1:2">
      <c r="A2307" s="12">
        <f>DATE(2012,12,31)-738</f>
        <v>40536</v>
      </c>
      <c r="B2307" s="13">
        <v>51.14</v>
      </c>
    </row>
    <row r="2308" s="6" customFormat="1" spans="1:2">
      <c r="A2308" s="12">
        <f>DATE(2012,12,31)-888</f>
        <v>40386</v>
      </c>
      <c r="B2308" s="13">
        <v>652.33</v>
      </c>
    </row>
    <row r="2309" s="6" customFormat="1" spans="1:2">
      <c r="A2309" s="12">
        <f>DATE(2012,12,31)-966</f>
        <v>40308</v>
      </c>
      <c r="B2309" s="13">
        <v>1209.168</v>
      </c>
    </row>
    <row r="2310" s="6" customFormat="1" spans="1:2">
      <c r="A2310" s="12">
        <f>DATE(2012,12,31)-670</f>
        <v>40604</v>
      </c>
      <c r="B2310" s="13">
        <v>7640.225</v>
      </c>
    </row>
    <row r="2311" s="6" customFormat="1" spans="1:2">
      <c r="A2311" s="12">
        <f>DATE(2012,12,31)-995</f>
        <v>40279</v>
      </c>
      <c r="B2311" s="13">
        <v>312.63</v>
      </c>
    </row>
    <row r="2312" s="6" customFormat="1" spans="1:2">
      <c r="A2312" s="12">
        <f>DATE(2012,12,31)-995</f>
        <v>40279</v>
      </c>
      <c r="B2312" s="13">
        <v>441.4</v>
      </c>
    </row>
    <row r="2313" s="6" customFormat="1" spans="1:2">
      <c r="A2313" s="12">
        <f>DATE(2012,12,31)-612</f>
        <v>40662</v>
      </c>
      <c r="B2313" s="13">
        <v>1959.43</v>
      </c>
    </row>
    <row r="2314" s="6" customFormat="1" spans="1:2">
      <c r="A2314" s="12">
        <f>DATE(2012,12,31)-612</f>
        <v>40662</v>
      </c>
      <c r="B2314" s="13">
        <v>14072.64</v>
      </c>
    </row>
    <row r="2315" s="6" customFormat="1" spans="1:2">
      <c r="A2315" s="12">
        <f>DATE(2012,12,31)-1383</f>
        <v>39891</v>
      </c>
      <c r="B2315" s="13">
        <v>936.802</v>
      </c>
    </row>
    <row r="2316" s="6" customFormat="1" spans="1:2">
      <c r="A2316" s="12">
        <f>DATE(2012,12,31)-1149</f>
        <v>40125</v>
      </c>
      <c r="B2316" s="13">
        <v>6481.95</v>
      </c>
    </row>
    <row r="2317" s="6" customFormat="1" spans="1:2">
      <c r="A2317" s="12">
        <f>DATE(2012,12,31)-187</f>
        <v>41087</v>
      </c>
      <c r="B2317" s="13">
        <v>1943.72</v>
      </c>
    </row>
    <row r="2318" s="6" customFormat="1" spans="1:2">
      <c r="A2318" s="12">
        <f>DATE(2012,12,31)-187</f>
        <v>41087</v>
      </c>
      <c r="B2318" s="13">
        <v>18.37</v>
      </c>
    </row>
    <row r="2319" s="6" customFormat="1" spans="1:2">
      <c r="A2319" s="12">
        <f>DATE(2012,12,31)-187</f>
        <v>41087</v>
      </c>
      <c r="B2319" s="13">
        <v>6175.777</v>
      </c>
    </row>
    <row r="2320" s="6" customFormat="1" spans="1:2">
      <c r="A2320" s="12">
        <f>DATE(2012,12,31)-86</f>
        <v>41188</v>
      </c>
      <c r="B2320" s="13">
        <v>24.36</v>
      </c>
    </row>
    <row r="2321" s="6" customFormat="1" spans="1:2">
      <c r="A2321" s="12">
        <f>DATE(2012,12,31)-617</f>
        <v>40657</v>
      </c>
      <c r="B2321" s="13">
        <v>5549.79</v>
      </c>
    </row>
    <row r="2322" s="6" customFormat="1" spans="1:2">
      <c r="A2322" s="12">
        <f>DATE(2012,12,31)-250</f>
        <v>41024</v>
      </c>
      <c r="B2322" s="13">
        <v>3.96</v>
      </c>
    </row>
    <row r="2323" s="6" customFormat="1" spans="1:2">
      <c r="A2323" s="12">
        <f>DATE(2012,12,31)-560</f>
        <v>40714</v>
      </c>
      <c r="B2323" s="13">
        <v>1390.49</v>
      </c>
    </row>
    <row r="2324" s="6" customFormat="1" spans="1:2">
      <c r="A2324" s="12">
        <f>DATE(2012,12,31)-823</f>
        <v>40451</v>
      </c>
      <c r="B2324" s="13">
        <v>157.97</v>
      </c>
    </row>
    <row r="2325" s="6" customFormat="1" spans="1:2">
      <c r="A2325" s="12">
        <f>DATE(2012,12,31)-1255</f>
        <v>40019</v>
      </c>
      <c r="B2325" s="13">
        <v>101.47</v>
      </c>
    </row>
    <row r="2326" spans="1:2">
      <c r="A2326" s="14">
        <f>DATE(2012,12,31)-1455</f>
        <v>39819</v>
      </c>
      <c r="B2326" s="15">
        <v>37.06</v>
      </c>
    </row>
    <row r="2327" s="6" customFormat="1" spans="1:2">
      <c r="A2327" s="12">
        <f>DATE(2012,12,31)-1190</f>
        <v>40084</v>
      </c>
      <c r="B2327" s="13">
        <v>1737.06</v>
      </c>
    </row>
    <row r="2328" s="6" customFormat="1" spans="1:2">
      <c r="A2328" s="12">
        <f>DATE(2012,12,31)-5</f>
        <v>41269</v>
      </c>
      <c r="B2328" s="13">
        <v>95.71</v>
      </c>
    </row>
    <row r="2329" s="6" customFormat="1" spans="1:2">
      <c r="A2329" s="12">
        <f>DATE(2012,12,31)-39</f>
        <v>41235</v>
      </c>
      <c r="B2329" s="13">
        <v>2469.15</v>
      </c>
    </row>
    <row r="2330" spans="1:2">
      <c r="A2330" s="14">
        <f>DATE(2012,12,31)-621</f>
        <v>40653</v>
      </c>
      <c r="B2330" s="15">
        <v>302.59</v>
      </c>
    </row>
    <row r="2331" spans="1:2">
      <c r="A2331" s="14">
        <f>DATE(2012,12,31)-621</f>
        <v>40653</v>
      </c>
      <c r="B2331" s="15">
        <v>2703.45</v>
      </c>
    </row>
    <row r="2332" s="6" customFormat="1" spans="1:2">
      <c r="A2332" s="12">
        <f>DATE(2012,12,31)-296</f>
        <v>40978</v>
      </c>
      <c r="B2332" s="13">
        <v>2430.34</v>
      </c>
    </row>
    <row r="2333" s="6" customFormat="1" spans="1:2">
      <c r="A2333" s="12">
        <f>DATE(2012,12,31)-296</f>
        <v>40978</v>
      </c>
      <c r="B2333" s="13">
        <v>218.6</v>
      </c>
    </row>
    <row r="2334" s="6" customFormat="1" spans="1:2">
      <c r="A2334" s="12">
        <f>DATE(2012,12,31)-367</f>
        <v>40907</v>
      </c>
      <c r="B2334" s="13">
        <v>852.75</v>
      </c>
    </row>
    <row r="2335" s="6" customFormat="1" spans="1:2">
      <c r="A2335" s="12">
        <f>DATE(2012,12,31)-367</f>
        <v>40907</v>
      </c>
      <c r="B2335" s="13">
        <v>172.33</v>
      </c>
    </row>
    <row r="2336" s="6" customFormat="1" spans="1:2">
      <c r="A2336" s="12">
        <f>DATE(2012,12,31)-928</f>
        <v>40346</v>
      </c>
      <c r="B2336" s="13">
        <v>167.37</v>
      </c>
    </row>
    <row r="2337" s="6" customFormat="1" spans="1:2">
      <c r="A2337" s="12">
        <f>DATE(2012,12,31)-928</f>
        <v>40346</v>
      </c>
      <c r="B2337" s="13">
        <v>1026.6385</v>
      </c>
    </row>
    <row r="2338" s="6" customFormat="1" spans="1:2">
      <c r="A2338" s="12">
        <f>DATE(2012,12,31)-351</f>
        <v>40923</v>
      </c>
      <c r="B2338" s="13">
        <v>1585.6</v>
      </c>
    </row>
    <row r="2339" s="6" customFormat="1" spans="1:2">
      <c r="A2339" s="12">
        <f>DATE(2012,12,31)-351</f>
        <v>40923</v>
      </c>
      <c r="B2339" s="13">
        <v>215.85</v>
      </c>
    </row>
    <row r="2340" s="6" customFormat="1" spans="1:2">
      <c r="A2340" s="12">
        <f>DATE(2012,12,31)-800</f>
        <v>40474</v>
      </c>
      <c r="B2340" s="13">
        <v>158.78</v>
      </c>
    </row>
    <row r="2341" s="6" customFormat="1" spans="1:2">
      <c r="A2341" s="12">
        <f>DATE(2012,12,31)-800</f>
        <v>40474</v>
      </c>
      <c r="B2341" s="13">
        <v>463.42</v>
      </c>
    </row>
    <row r="2342" s="6" customFormat="1" spans="1:2">
      <c r="A2342" s="12">
        <f>DATE(2012,12,31)-710</f>
        <v>40564</v>
      </c>
      <c r="B2342" s="13">
        <v>997</v>
      </c>
    </row>
    <row r="2343" s="6" customFormat="1" spans="1:2">
      <c r="A2343" s="12">
        <f>DATE(2012,12,31)-63</f>
        <v>41211</v>
      </c>
      <c r="B2343" s="13">
        <v>12837.11</v>
      </c>
    </row>
    <row r="2344" s="6" customFormat="1" spans="1:2">
      <c r="A2344" s="12">
        <f>DATE(2012,12,31)-329</f>
        <v>40945</v>
      </c>
      <c r="B2344" s="13">
        <v>2357.9085</v>
      </c>
    </row>
    <row r="2345" s="6" customFormat="1" spans="1:2">
      <c r="A2345" s="12">
        <f>DATE(2012,12,31)-199</f>
        <v>41075</v>
      </c>
      <c r="B2345" s="13">
        <v>379.8</v>
      </c>
    </row>
    <row r="2346" spans="1:2">
      <c r="A2346" s="14">
        <f>DATE(2012,12,31)-199</f>
        <v>41075</v>
      </c>
      <c r="B2346" s="15">
        <v>107.7</v>
      </c>
    </row>
    <row r="2347" s="6" customFormat="1" spans="1:2">
      <c r="A2347" s="12">
        <f>DATE(2012,12,31)-991</f>
        <v>40283</v>
      </c>
      <c r="B2347" s="13">
        <v>144.84</v>
      </c>
    </row>
    <row r="2348" s="6" customFormat="1" spans="1:2">
      <c r="A2348" s="12">
        <f>DATE(2012,12,31)-991</f>
        <v>40283</v>
      </c>
      <c r="B2348" s="13">
        <v>127.16</v>
      </c>
    </row>
    <row r="2349" s="6" customFormat="1" spans="1:2">
      <c r="A2349" s="12">
        <f>DATE(2012,12,31)-16</f>
        <v>41258</v>
      </c>
      <c r="B2349" s="13">
        <v>14.74</v>
      </c>
    </row>
    <row r="2350" s="6" customFormat="1" spans="1:2">
      <c r="A2350" s="12">
        <f>DATE(2012,12,31)-16</f>
        <v>41258</v>
      </c>
      <c r="B2350" s="13">
        <v>117.68</v>
      </c>
    </row>
    <row r="2351" s="6" customFormat="1" spans="1:2">
      <c r="A2351" s="12">
        <f>DATE(2012,12,31)-1455</f>
        <v>39819</v>
      </c>
      <c r="B2351" s="13">
        <v>46.86</v>
      </c>
    </row>
    <row r="2352" spans="1:2">
      <c r="A2352" s="14">
        <f>DATE(2012,12,31)-1455</f>
        <v>39819</v>
      </c>
      <c r="B2352" s="15">
        <v>1089.59</v>
      </c>
    </row>
    <row r="2353" s="6" customFormat="1" spans="1:2">
      <c r="A2353" s="12">
        <f>DATE(2012,12,31)-500</f>
        <v>40774</v>
      </c>
      <c r="B2353" s="13">
        <v>397.55</v>
      </c>
    </row>
    <row r="2354" s="6" customFormat="1" spans="1:2">
      <c r="A2354" s="12">
        <f>DATE(2012,12,31)-500</f>
        <v>40774</v>
      </c>
      <c r="B2354" s="13">
        <v>676.26</v>
      </c>
    </row>
    <row r="2355" s="6" customFormat="1" spans="1:2">
      <c r="A2355" s="12">
        <f>DATE(2012,12,31)-750</f>
        <v>40524</v>
      </c>
      <c r="B2355" s="13">
        <v>126.74</v>
      </c>
    </row>
    <row r="2356" s="6" customFormat="1" spans="1:2">
      <c r="A2356" s="12">
        <f>DATE(2012,12,31)-411</f>
        <v>40863</v>
      </c>
      <c r="B2356" s="13">
        <v>1383.919</v>
      </c>
    </row>
    <row r="2357" s="6" customFormat="1" spans="1:2">
      <c r="A2357" s="12">
        <f>DATE(2012,12,31)-744</f>
        <v>40530</v>
      </c>
      <c r="B2357" s="13">
        <v>48.41</v>
      </c>
    </row>
    <row r="2358" spans="1:2">
      <c r="A2358" s="14">
        <f>DATE(2012,12,31)-1442</f>
        <v>39832</v>
      </c>
      <c r="B2358" s="15">
        <v>3568.45</v>
      </c>
    </row>
    <row r="2359" s="6" customFormat="1" spans="1:2">
      <c r="A2359" s="12">
        <f>DATE(2012,12,31)-1175</f>
        <v>40099</v>
      </c>
      <c r="B2359" s="13">
        <v>1401.75</v>
      </c>
    </row>
    <row r="2360" s="6" customFormat="1" spans="1:2">
      <c r="A2360" s="12">
        <f>DATE(2012,12,31)-1173</f>
        <v>40101</v>
      </c>
      <c r="B2360" s="13">
        <v>513.5</v>
      </c>
    </row>
    <row r="2361" s="6" customFormat="1" spans="1:2">
      <c r="A2361" s="12">
        <f>DATE(2012,12,31)-730</f>
        <v>40544</v>
      </c>
      <c r="B2361" s="13">
        <v>72.67</v>
      </c>
    </row>
    <row r="2362" s="6" customFormat="1" spans="1:2">
      <c r="A2362" s="12">
        <f>DATE(2012,12,31)-62</f>
        <v>41212</v>
      </c>
      <c r="B2362" s="13">
        <v>80.53</v>
      </c>
    </row>
    <row r="2363" s="6" customFormat="1" spans="1:2">
      <c r="A2363" s="12">
        <f>DATE(2012,12,31)-978</f>
        <v>40296</v>
      </c>
      <c r="B2363" s="13">
        <v>4177.52</v>
      </c>
    </row>
    <row r="2364" s="6" customFormat="1" spans="1:2">
      <c r="A2364" s="12">
        <f>DATE(2012,12,31)-978</f>
        <v>40296</v>
      </c>
      <c r="B2364" s="13">
        <v>3351.08</v>
      </c>
    </row>
    <row r="2365" s="6" customFormat="1" spans="1:2">
      <c r="A2365" s="12">
        <f>DATE(2012,12,31)-163</f>
        <v>41111</v>
      </c>
      <c r="B2365" s="13">
        <v>2604.315</v>
      </c>
    </row>
    <row r="2366" s="6" customFormat="1" spans="1:2">
      <c r="A2366" s="12">
        <f>DATE(2012,12,31)-324</f>
        <v>40950</v>
      </c>
      <c r="B2366" s="13">
        <v>4550.06</v>
      </c>
    </row>
    <row r="2367" s="6" customFormat="1" spans="1:2">
      <c r="A2367" s="12">
        <f>DATE(2012,12,31)-1163</f>
        <v>40111</v>
      </c>
      <c r="B2367" s="13">
        <v>128.31</v>
      </c>
    </row>
    <row r="2368" s="6" customFormat="1" spans="1:2">
      <c r="A2368" s="12">
        <f>DATE(2012,12,31)-294</f>
        <v>40980</v>
      </c>
      <c r="B2368" s="13">
        <v>236.45</v>
      </c>
    </row>
    <row r="2369" s="6" customFormat="1" spans="1:2">
      <c r="A2369" s="12">
        <f>DATE(2012,12,31)-1433</f>
        <v>39841</v>
      </c>
      <c r="B2369" s="13">
        <v>267.53</v>
      </c>
    </row>
    <row r="2370" s="6" customFormat="1" spans="1:2">
      <c r="A2370" s="12">
        <f>DATE(2012,12,31)-1433</f>
        <v>39841</v>
      </c>
      <c r="B2370" s="13">
        <v>1065.26</v>
      </c>
    </row>
    <row r="2371" s="6" customFormat="1" spans="1:2">
      <c r="A2371" s="12">
        <f>DATE(2012,12,31)-103</f>
        <v>41171</v>
      </c>
      <c r="B2371" s="13">
        <v>3081.471</v>
      </c>
    </row>
    <row r="2372" s="6" customFormat="1" spans="1:2">
      <c r="A2372" s="12">
        <f>DATE(2012,12,31)-1435</f>
        <v>39839</v>
      </c>
      <c r="B2372" s="13">
        <v>4321.63</v>
      </c>
    </row>
    <row r="2373" spans="1:2">
      <c r="A2373" s="14">
        <f>DATE(2012,12,31)-1435</f>
        <v>39839</v>
      </c>
      <c r="B2373" s="15">
        <v>67.14</v>
      </c>
    </row>
    <row r="2374" s="6" customFormat="1" spans="1:2">
      <c r="A2374" s="12">
        <f>DATE(2012,12,31)-99</f>
        <v>41175</v>
      </c>
      <c r="B2374" s="13">
        <v>2951.97</v>
      </c>
    </row>
    <row r="2375" s="6" customFormat="1" spans="1:2">
      <c r="A2375" s="12">
        <f>DATE(2012,12,31)-218</f>
        <v>41056</v>
      </c>
      <c r="B2375" s="13">
        <v>2236.16</v>
      </c>
    </row>
    <row r="2376" s="6" customFormat="1" spans="1:2">
      <c r="A2376" s="12">
        <f>DATE(2012,12,31)-161</f>
        <v>41113</v>
      </c>
      <c r="B2376" s="13">
        <v>157.85</v>
      </c>
    </row>
    <row r="2377" s="6" customFormat="1" spans="1:2">
      <c r="A2377" s="12">
        <f>DATE(2012,12,31)-828</f>
        <v>40446</v>
      </c>
      <c r="B2377" s="13">
        <v>2911.64</v>
      </c>
    </row>
    <row r="2378" s="6" customFormat="1" spans="1:2">
      <c r="A2378" s="12">
        <f>DATE(2012,12,31)-1161</f>
        <v>40113</v>
      </c>
      <c r="B2378" s="13">
        <v>2951.438</v>
      </c>
    </row>
    <row r="2379" s="6" customFormat="1" spans="1:2">
      <c r="A2379" s="12">
        <f>DATE(2012,12,31)-612</f>
        <v>40662</v>
      </c>
      <c r="B2379" s="13">
        <v>2283.22</v>
      </c>
    </row>
    <row r="2380" s="6" customFormat="1" spans="1:2">
      <c r="A2380" s="12">
        <f>DATE(2012,12,31)-612</f>
        <v>40662</v>
      </c>
      <c r="B2380" s="13">
        <v>11365.616</v>
      </c>
    </row>
    <row r="2381" s="6" customFormat="1" spans="1:2">
      <c r="A2381" s="12">
        <f>DATE(2012,12,31)-502</f>
        <v>40772</v>
      </c>
      <c r="B2381" s="13">
        <v>50.19</v>
      </c>
    </row>
    <row r="2382" s="6" customFormat="1" spans="1:2">
      <c r="A2382" s="12">
        <f>DATE(2012,12,31)-901</f>
        <v>40373</v>
      </c>
      <c r="B2382" s="13">
        <v>158.19</v>
      </c>
    </row>
    <row r="2383" s="6" customFormat="1" spans="1:2">
      <c r="A2383" s="12">
        <f>DATE(2012,12,31)-1139</f>
        <v>40135</v>
      </c>
      <c r="B2383" s="13">
        <v>988.42</v>
      </c>
    </row>
    <row r="2384" s="6" customFormat="1" spans="1:2">
      <c r="A2384" s="12">
        <f>DATE(2012,12,31)-474</f>
        <v>40800</v>
      </c>
      <c r="B2384" s="13">
        <v>5472.12</v>
      </c>
    </row>
    <row r="2385" s="6" customFormat="1" spans="1:2">
      <c r="A2385" s="12">
        <f>DATE(2012,12,31)-832</f>
        <v>40442</v>
      </c>
      <c r="B2385" s="13">
        <v>1810.67</v>
      </c>
    </row>
    <row r="2386" s="6" customFormat="1" spans="1:2">
      <c r="A2386" s="12">
        <f>DATE(2012,12,31)-636</f>
        <v>40638</v>
      </c>
      <c r="B2386" s="13">
        <v>5793.46</v>
      </c>
    </row>
    <row r="2387" s="6" customFormat="1" spans="1:2">
      <c r="A2387" s="12">
        <f>DATE(2012,12,31)-636</f>
        <v>40638</v>
      </c>
      <c r="B2387" s="13">
        <v>4558.21</v>
      </c>
    </row>
    <row r="2388" s="6" customFormat="1" spans="1:2">
      <c r="A2388" s="12">
        <f>DATE(2012,12,31)-636</f>
        <v>40638</v>
      </c>
      <c r="B2388" s="13">
        <v>4361.6985</v>
      </c>
    </row>
    <row r="2389" s="6" customFormat="1" spans="1:2">
      <c r="A2389" s="12">
        <f>DATE(2012,12,31)-591</f>
        <v>40683</v>
      </c>
      <c r="B2389" s="13">
        <v>258.54</v>
      </c>
    </row>
    <row r="2390" s="6" customFormat="1" spans="1:2">
      <c r="A2390" s="12">
        <f>DATE(2012,12,31)-591</f>
        <v>40683</v>
      </c>
      <c r="B2390" s="13">
        <v>4610.2895</v>
      </c>
    </row>
    <row r="2391" s="6" customFormat="1" spans="1:2">
      <c r="A2391" s="12">
        <f>DATE(2012,12,31)-1334</f>
        <v>39940</v>
      </c>
      <c r="B2391" s="13">
        <v>130.49</v>
      </c>
    </row>
    <row r="2392" spans="1:2">
      <c r="A2392" s="14">
        <f>DATE(2012,12,31)-1349</f>
        <v>39925</v>
      </c>
      <c r="B2392" s="15">
        <v>159.11</v>
      </c>
    </row>
    <row r="2393" s="6" customFormat="1" spans="1:2">
      <c r="A2393" s="12">
        <f>DATE(2012,12,31)-1124</f>
        <v>40150</v>
      </c>
      <c r="B2393" s="13">
        <v>34.66</v>
      </c>
    </row>
    <row r="2394" s="6" customFormat="1" spans="1:2">
      <c r="A2394" s="12">
        <f>DATE(2012,12,31)-896</f>
        <v>40378</v>
      </c>
      <c r="B2394" s="13">
        <v>2405.4575</v>
      </c>
    </row>
    <row r="2395" s="6" customFormat="1" spans="1:2">
      <c r="A2395" s="12">
        <f>DATE(2012,12,31)-517</f>
        <v>40757</v>
      </c>
      <c r="B2395" s="13">
        <v>195.61</v>
      </c>
    </row>
    <row r="2396" s="6" customFormat="1" spans="1:2">
      <c r="A2396" s="12">
        <f>DATE(2012,12,31)-393</f>
        <v>40881</v>
      </c>
      <c r="B2396" s="13">
        <v>1127.81</v>
      </c>
    </row>
    <row r="2397" s="6" customFormat="1" spans="1:2">
      <c r="A2397" s="12">
        <f>DATE(2012,12,31)-430</f>
        <v>40844</v>
      </c>
      <c r="B2397" s="13">
        <v>110.38</v>
      </c>
    </row>
    <row r="2398" s="6" customFormat="1" spans="1:2">
      <c r="A2398" s="12">
        <f>DATE(2012,12,31)-505</f>
        <v>40769</v>
      </c>
      <c r="B2398" s="13">
        <v>3218.42</v>
      </c>
    </row>
    <row r="2399" s="6" customFormat="1" spans="1:2">
      <c r="A2399" s="12">
        <f>DATE(2012,12,31)-870</f>
        <v>40404</v>
      </c>
      <c r="B2399" s="13">
        <v>101.25</v>
      </c>
    </row>
    <row r="2400" s="6" customFormat="1" spans="1:2">
      <c r="A2400" s="12">
        <f>DATE(2012,12,31)-546</f>
        <v>40728</v>
      </c>
      <c r="B2400" s="13">
        <v>2162.8165</v>
      </c>
    </row>
    <row r="2401" s="6" customFormat="1" spans="1:2">
      <c r="A2401" s="12">
        <f>DATE(2012,12,31)-1314</f>
        <v>39960</v>
      </c>
      <c r="B2401" s="13">
        <v>149.7</v>
      </c>
    </row>
    <row r="2402" s="6" customFormat="1" spans="1:2">
      <c r="A2402" s="12">
        <f>DATE(2012,12,31)-1314</f>
        <v>39960</v>
      </c>
      <c r="B2402" s="13">
        <v>728.127</v>
      </c>
    </row>
    <row r="2403" s="6" customFormat="1" spans="1:2">
      <c r="A2403" s="12">
        <f>DATE(2012,12,31)-867</f>
        <v>40407</v>
      </c>
      <c r="B2403" s="13">
        <v>633.56</v>
      </c>
    </row>
    <row r="2404" s="6" customFormat="1" spans="1:2">
      <c r="A2404" s="12">
        <f>DATE(2012,12,31)-852</f>
        <v>40422</v>
      </c>
      <c r="B2404" s="13">
        <v>284.6735</v>
      </c>
    </row>
    <row r="2405" s="6" customFormat="1" spans="1:2">
      <c r="A2405" s="12">
        <f>DATE(2012,12,31)-852</f>
        <v>40422</v>
      </c>
      <c r="B2405" s="13">
        <v>372.01</v>
      </c>
    </row>
    <row r="2406" s="6" customFormat="1" spans="1:2">
      <c r="A2406" s="12">
        <f>DATE(2012,12,31)-185</f>
        <v>41089</v>
      </c>
      <c r="B2406" s="13">
        <v>3755.43</v>
      </c>
    </row>
    <row r="2407" s="6" customFormat="1" spans="1:2">
      <c r="A2407" s="12">
        <f>DATE(2012,12,31)-185</f>
        <v>41089</v>
      </c>
      <c r="B2407" s="13">
        <v>347.93</v>
      </c>
    </row>
    <row r="2408" s="6" customFormat="1" spans="1:2">
      <c r="A2408" s="12">
        <f>DATE(2012,12,31)-498</f>
        <v>40776</v>
      </c>
      <c r="B2408" s="13">
        <v>249.48</v>
      </c>
    </row>
    <row r="2409" s="6" customFormat="1" spans="1:2">
      <c r="A2409" s="12">
        <f>DATE(2012,12,31)-1301</f>
        <v>39973</v>
      </c>
      <c r="B2409" s="13">
        <v>138.84</v>
      </c>
    </row>
    <row r="2410" s="6" customFormat="1" spans="1:2">
      <c r="A2410" s="12">
        <f>DATE(2012,12,31)-227</f>
        <v>41047</v>
      </c>
      <c r="B2410" s="13">
        <v>861.41</v>
      </c>
    </row>
    <row r="2411" s="6" customFormat="1" spans="1:2">
      <c r="A2411" s="12">
        <f>DATE(2012,12,31)-1037</f>
        <v>40237</v>
      </c>
      <c r="B2411" s="13">
        <v>9473.31</v>
      </c>
    </row>
    <row r="2412" s="6" customFormat="1" spans="1:2">
      <c r="A2412" s="12">
        <f>DATE(2012,12,31)-202</f>
        <v>41072</v>
      </c>
      <c r="B2412" s="13">
        <v>399.76</v>
      </c>
    </row>
    <row r="2413" s="6" customFormat="1" spans="1:2">
      <c r="A2413" s="12">
        <f>DATE(2012,12,31)-202</f>
        <v>41072</v>
      </c>
      <c r="B2413" s="13">
        <v>5393.27</v>
      </c>
    </row>
    <row r="2414" s="6" customFormat="1" spans="1:2">
      <c r="A2414" s="12">
        <f>DATE(2012,12,31)-187</f>
        <v>41087</v>
      </c>
      <c r="B2414" s="13">
        <v>99.08</v>
      </c>
    </row>
    <row r="2415" s="6" customFormat="1" spans="1:2">
      <c r="A2415" s="12">
        <f>DATE(2012,12,31)-62</f>
        <v>41212</v>
      </c>
      <c r="B2415" s="13">
        <v>462.12</v>
      </c>
    </row>
    <row r="2416" s="6" customFormat="1" spans="1:2">
      <c r="A2416" s="12">
        <f>DATE(2012,12,31)-473</f>
        <v>40801</v>
      </c>
      <c r="B2416" s="13">
        <v>381.79</v>
      </c>
    </row>
    <row r="2417" s="6" customFormat="1" spans="1:2">
      <c r="A2417" s="12">
        <f>DATE(2012,12,31)-473</f>
        <v>40801</v>
      </c>
      <c r="B2417" s="13">
        <v>1529.3115</v>
      </c>
    </row>
    <row r="2418" s="6" customFormat="1" spans="1:2">
      <c r="A2418" s="12">
        <f>DATE(2012,12,31)-853</f>
        <v>40421</v>
      </c>
      <c r="B2418" s="13">
        <v>105.99</v>
      </c>
    </row>
    <row r="2419" spans="1:2">
      <c r="A2419" s="14">
        <f>DATE(2012,12,31)-220</f>
        <v>41054</v>
      </c>
      <c r="B2419" s="15">
        <v>15.73</v>
      </c>
    </row>
    <row r="2420" spans="1:2">
      <c r="A2420" s="14">
        <f>DATE(2012,12,31)-220</f>
        <v>41054</v>
      </c>
      <c r="B2420" s="15">
        <v>1041.74</v>
      </c>
    </row>
    <row r="2421" s="6" customFormat="1" spans="1:2">
      <c r="A2421" s="12">
        <f>DATE(2012,12,31)-220</f>
        <v>41054</v>
      </c>
      <c r="B2421" s="13">
        <v>4300.626</v>
      </c>
    </row>
    <row r="2422" s="6" customFormat="1" spans="1:2">
      <c r="A2422" s="12">
        <f>DATE(2012,12,31)-815</f>
        <v>40459</v>
      </c>
      <c r="B2422" s="13">
        <v>512.87</v>
      </c>
    </row>
    <row r="2423" s="6" customFormat="1" spans="1:2">
      <c r="A2423" s="12">
        <f>DATE(2012,12,31)-291</f>
        <v>40983</v>
      </c>
      <c r="B2423" s="13">
        <v>102.59</v>
      </c>
    </row>
    <row r="2424" s="6" customFormat="1" spans="1:2">
      <c r="A2424" s="12">
        <f>DATE(2012,12,31)-291</f>
        <v>40983</v>
      </c>
      <c r="B2424" s="13">
        <v>1695.65</v>
      </c>
    </row>
    <row r="2425" s="6" customFormat="1" spans="1:2">
      <c r="A2425" s="12">
        <f>DATE(2012,12,31)-484</f>
        <v>40790</v>
      </c>
      <c r="B2425" s="13">
        <v>220.97</v>
      </c>
    </row>
    <row r="2426" s="6" customFormat="1" spans="1:2">
      <c r="A2426" s="12">
        <f>DATE(2012,12,31)-484</f>
        <v>40790</v>
      </c>
      <c r="B2426" s="13">
        <v>21555.6</v>
      </c>
    </row>
    <row r="2427" s="6" customFormat="1" spans="1:2">
      <c r="A2427" s="12">
        <f>DATE(2012,12,31)-1044</f>
        <v>40230</v>
      </c>
      <c r="B2427" s="13">
        <v>71.12</v>
      </c>
    </row>
    <row r="2428" s="6" customFormat="1" spans="1:2">
      <c r="A2428" s="12">
        <f>DATE(2012,12,31)-163</f>
        <v>41111</v>
      </c>
      <c r="B2428" s="13">
        <v>489.07</v>
      </c>
    </row>
    <row r="2429" s="6" customFormat="1" spans="1:2">
      <c r="A2429" s="12">
        <f>DATE(2012,12,31)-1426</f>
        <v>39848</v>
      </c>
      <c r="B2429" s="13">
        <v>7.01</v>
      </c>
    </row>
    <row r="2430" s="6" customFormat="1" spans="1:2">
      <c r="A2430" s="12">
        <f>DATE(2012,12,31)-845</f>
        <v>40429</v>
      </c>
      <c r="B2430" s="13">
        <v>82.56</v>
      </c>
    </row>
    <row r="2431" s="6" customFormat="1" spans="1:2">
      <c r="A2431" s="12">
        <f>DATE(2012,12,31)-845</f>
        <v>40429</v>
      </c>
      <c r="B2431" s="13">
        <v>141.07</v>
      </c>
    </row>
    <row r="2432" s="6" customFormat="1" spans="1:2">
      <c r="A2432" s="12">
        <f>DATE(2012,12,31)-1132</f>
        <v>40142</v>
      </c>
      <c r="B2432" s="13">
        <v>848.92</v>
      </c>
    </row>
    <row r="2433" s="6" customFormat="1" spans="1:2">
      <c r="A2433" s="12">
        <f>DATE(2012,12,31)-1132</f>
        <v>40142</v>
      </c>
      <c r="B2433" s="13">
        <v>6930.97</v>
      </c>
    </row>
    <row r="2434" s="6" customFormat="1" spans="1:2">
      <c r="A2434" s="12">
        <f>DATE(2012,12,31)-1132</f>
        <v>40142</v>
      </c>
      <c r="B2434" s="13">
        <v>2219.7325</v>
      </c>
    </row>
    <row r="2435" s="6" customFormat="1" spans="1:2">
      <c r="A2435" s="12">
        <f>DATE(2012,12,31)-1342</f>
        <v>39932</v>
      </c>
      <c r="B2435" s="13">
        <v>1116.03</v>
      </c>
    </row>
    <row r="2436" spans="1:2">
      <c r="A2436" s="14">
        <f>DATE(2012,12,31)-1224</f>
        <v>40050</v>
      </c>
      <c r="B2436" s="15">
        <v>36.52</v>
      </c>
    </row>
    <row r="2437" spans="1:2">
      <c r="A2437" s="14">
        <f>DATE(2012,12,31)-232</f>
        <v>41042</v>
      </c>
      <c r="B2437" s="15">
        <v>1883.82</v>
      </c>
    </row>
    <row r="2438" s="6" customFormat="1" spans="1:2">
      <c r="A2438" s="12">
        <f>DATE(2012,12,31)-232</f>
        <v>41042</v>
      </c>
      <c r="B2438" s="13">
        <v>1118.2515</v>
      </c>
    </row>
    <row r="2439" s="6" customFormat="1" spans="1:2">
      <c r="A2439" s="12">
        <f>DATE(2012,12,31)-232</f>
        <v>41042</v>
      </c>
      <c r="B2439" s="13">
        <v>609.4</v>
      </c>
    </row>
    <row r="2440" s="6" customFormat="1" spans="1:2">
      <c r="A2440" s="12">
        <f>DATE(2012,12,31)-65</f>
        <v>41209</v>
      </c>
      <c r="B2440" s="13">
        <v>2305.75</v>
      </c>
    </row>
    <row r="2441" s="6" customFormat="1" spans="1:2">
      <c r="A2441" s="12">
        <f>DATE(2012,12,31)-224</f>
        <v>41050</v>
      </c>
      <c r="B2441" s="13">
        <v>80.45</v>
      </c>
    </row>
    <row r="2442" spans="1:2">
      <c r="A2442" s="14">
        <f>DATE(2012,12,31)-262</f>
        <v>41012</v>
      </c>
      <c r="B2442" s="15">
        <v>368.99</v>
      </c>
    </row>
    <row r="2443" s="6" customFormat="1" spans="1:2">
      <c r="A2443" s="12">
        <f>DATE(2012,12,31)-262</f>
        <v>41012</v>
      </c>
      <c r="B2443" s="13">
        <v>264.63</v>
      </c>
    </row>
    <row r="2444" s="6" customFormat="1" spans="1:2">
      <c r="A2444" s="12">
        <f>DATE(2012,12,31)-172</f>
        <v>41102</v>
      </c>
      <c r="B2444" s="13">
        <v>311.65</v>
      </c>
    </row>
    <row r="2445" s="6" customFormat="1" spans="1:2">
      <c r="A2445" s="12">
        <f>DATE(2012,12,31)-172</f>
        <v>41102</v>
      </c>
      <c r="B2445" s="13">
        <v>101.19</v>
      </c>
    </row>
    <row r="2446" s="6" customFormat="1" spans="1:2">
      <c r="A2446" s="12">
        <f>DATE(2012,12,31)-1202</f>
        <v>40072</v>
      </c>
      <c r="B2446" s="13">
        <v>644.4</v>
      </c>
    </row>
    <row r="2447" s="6" customFormat="1" spans="1:2">
      <c r="A2447" s="12">
        <f>DATE(2012,12,31)-473</f>
        <v>40801</v>
      </c>
      <c r="B2447" s="13">
        <v>79.02</v>
      </c>
    </row>
    <row r="2448" spans="1:2">
      <c r="A2448" s="14">
        <f>DATE(2012,12,31)-1370</f>
        <v>39904</v>
      </c>
      <c r="B2448" s="15">
        <v>17.62</v>
      </c>
    </row>
    <row r="2449" s="6" customFormat="1" spans="1:2">
      <c r="A2449" s="12">
        <f>DATE(2012,12,31)-174</f>
        <v>41100</v>
      </c>
      <c r="B2449" s="13">
        <v>1077.28</v>
      </c>
    </row>
    <row r="2450" spans="1:2">
      <c r="A2450" s="14">
        <f>DATE(2012,12,31)-174</f>
        <v>41100</v>
      </c>
      <c r="B2450" s="15">
        <v>61.52</v>
      </c>
    </row>
    <row r="2451" s="6" customFormat="1" spans="1:2">
      <c r="A2451" s="12">
        <f>DATE(2012,12,31)-102</f>
        <v>41172</v>
      </c>
      <c r="B2451" s="13">
        <v>149.51</v>
      </c>
    </row>
    <row r="2452" s="6" customFormat="1" spans="1:2">
      <c r="A2452" s="12">
        <f>DATE(2012,12,31)-1083</f>
        <v>40191</v>
      </c>
      <c r="B2452" s="13">
        <v>981.9</v>
      </c>
    </row>
    <row r="2453" s="6" customFormat="1" spans="1:2">
      <c r="A2453" s="12">
        <f>DATE(2012,12,31)-184</f>
        <v>41090</v>
      </c>
      <c r="B2453" s="13">
        <v>78.93</v>
      </c>
    </row>
    <row r="2454" s="6" customFormat="1" spans="1:2">
      <c r="A2454" s="12">
        <f>DATE(2012,12,31)-67</f>
        <v>41207</v>
      </c>
      <c r="B2454" s="13">
        <v>239.3</v>
      </c>
    </row>
    <row r="2455" s="6" customFormat="1" spans="1:2">
      <c r="A2455" s="12">
        <f>DATE(2012,12,31)-67</f>
        <v>41207</v>
      </c>
      <c r="B2455" s="13">
        <v>260.41</v>
      </c>
    </row>
    <row r="2456" s="6" customFormat="1" spans="1:2">
      <c r="A2456" s="12">
        <f>DATE(2012,12,31)-828</f>
        <v>40446</v>
      </c>
      <c r="B2456" s="13">
        <v>187.14</v>
      </c>
    </row>
    <row r="2457" s="6" customFormat="1" spans="1:2">
      <c r="A2457" s="12">
        <f>DATE(2012,12,31)-828</f>
        <v>40446</v>
      </c>
      <c r="B2457" s="13">
        <v>385.7</v>
      </c>
    </row>
    <row r="2458" s="6" customFormat="1" spans="1:2">
      <c r="A2458" s="12">
        <f>DATE(2012,12,31)-828</f>
        <v>40446</v>
      </c>
      <c r="B2458" s="13">
        <v>1048.39</v>
      </c>
    </row>
    <row r="2459" s="6" customFormat="1" spans="1:2">
      <c r="A2459" s="12">
        <f>DATE(2012,12,31)-950</f>
        <v>40324</v>
      </c>
      <c r="B2459" s="13">
        <v>182.89</v>
      </c>
    </row>
    <row r="2460" s="6" customFormat="1" spans="1:2">
      <c r="A2460" s="12">
        <f>DATE(2012,12,31)-635</f>
        <v>40639</v>
      </c>
      <c r="B2460" s="13">
        <v>139</v>
      </c>
    </row>
    <row r="2461" s="6" customFormat="1" spans="1:2">
      <c r="A2461" s="12">
        <f>DATE(2012,12,31)-238</f>
        <v>41036</v>
      </c>
      <c r="B2461" s="13">
        <v>28.73</v>
      </c>
    </row>
    <row r="2462" s="6" customFormat="1" spans="1:2">
      <c r="A2462" s="12">
        <f>DATE(2012,12,31)-238</f>
        <v>41036</v>
      </c>
      <c r="B2462" s="13">
        <v>67.88</v>
      </c>
    </row>
    <row r="2463" spans="1:2">
      <c r="A2463" s="14">
        <f>DATE(2012,12,31)-493</f>
        <v>40781</v>
      </c>
      <c r="B2463" s="15">
        <v>2507.48</v>
      </c>
    </row>
    <row r="2464" s="6" customFormat="1" spans="1:2">
      <c r="A2464" s="12">
        <f>DATE(2012,12,31)-417</f>
        <v>40857</v>
      </c>
      <c r="B2464" s="13">
        <v>608.33</v>
      </c>
    </row>
    <row r="2465" s="6" customFormat="1" spans="1:2">
      <c r="A2465" s="12">
        <f>DATE(2012,12,31)-1240</f>
        <v>40034</v>
      </c>
      <c r="B2465" s="13">
        <v>865.21</v>
      </c>
    </row>
    <row r="2466" s="6" customFormat="1" spans="1:2">
      <c r="A2466" s="12">
        <f>DATE(2012,12,31)-812</f>
        <v>40462</v>
      </c>
      <c r="B2466" s="13">
        <v>430.13</v>
      </c>
    </row>
    <row r="2467" s="6" customFormat="1" spans="1:2">
      <c r="A2467" s="12">
        <f>DATE(2012,12,31)-133</f>
        <v>41141</v>
      </c>
      <c r="B2467" s="13">
        <v>975.12</v>
      </c>
    </row>
    <row r="2468" spans="1:2">
      <c r="A2468" s="14">
        <f>DATE(2012,12,31)-133</f>
        <v>41141</v>
      </c>
      <c r="B2468" s="15">
        <v>1490.56</v>
      </c>
    </row>
    <row r="2469" spans="1:2">
      <c r="A2469" s="14">
        <f>DATE(2012,12,31)-133</f>
        <v>41141</v>
      </c>
      <c r="B2469" s="15">
        <v>105.44</v>
      </c>
    </row>
    <row r="2470" s="6" customFormat="1" spans="1:2">
      <c r="A2470" s="12">
        <f>DATE(2012,12,31)-879</f>
        <v>40395</v>
      </c>
      <c r="B2470" s="13">
        <v>1567.51</v>
      </c>
    </row>
    <row r="2471" s="6" customFormat="1" spans="1:2">
      <c r="A2471" s="12">
        <f>DATE(2012,12,31)-879</f>
        <v>40395</v>
      </c>
      <c r="B2471" s="13">
        <v>1914.65</v>
      </c>
    </row>
    <row r="2472" s="6" customFormat="1" spans="1:2">
      <c r="A2472" s="12">
        <f>DATE(2012,12,31)-508</f>
        <v>40766</v>
      </c>
      <c r="B2472" s="13">
        <v>1053.74</v>
      </c>
    </row>
    <row r="2473" spans="1:2">
      <c r="A2473" s="14">
        <f>DATE(2012,12,31)-113</f>
        <v>41161</v>
      </c>
      <c r="B2473" s="15">
        <v>1201.68</v>
      </c>
    </row>
    <row r="2474" s="6" customFormat="1" spans="1:2">
      <c r="A2474" s="12">
        <f>DATE(2012,12,31)-113</f>
        <v>41161</v>
      </c>
      <c r="B2474" s="13">
        <v>2784.57</v>
      </c>
    </row>
    <row r="2475" s="6" customFormat="1" spans="1:2">
      <c r="A2475" s="12">
        <f>DATE(2012,12,31)-629</f>
        <v>40645</v>
      </c>
      <c r="B2475" s="13">
        <v>473.88</v>
      </c>
    </row>
    <row r="2476" s="6" customFormat="1" spans="1:2">
      <c r="A2476" s="12">
        <f>DATE(2012,12,31)-629</f>
        <v>40645</v>
      </c>
      <c r="B2476" s="13">
        <v>849.031</v>
      </c>
    </row>
    <row r="2477" s="6" customFormat="1" spans="1:2">
      <c r="A2477" s="12">
        <f>DATE(2012,12,31)-270</f>
        <v>41004</v>
      </c>
      <c r="B2477" s="13">
        <v>87.31</v>
      </c>
    </row>
    <row r="2478" s="6" customFormat="1" spans="1:2">
      <c r="A2478" s="12">
        <f>DATE(2012,12,31)-831</f>
        <v>40443</v>
      </c>
      <c r="B2478" s="13">
        <v>2660.6105</v>
      </c>
    </row>
    <row r="2479" s="6" customFormat="1" spans="1:2">
      <c r="A2479" s="12">
        <f>DATE(2012,12,31)-1012</f>
        <v>40262</v>
      </c>
      <c r="B2479" s="13">
        <v>5202.896</v>
      </c>
    </row>
    <row r="2480" s="6" customFormat="1" spans="1:2">
      <c r="A2480" s="12">
        <f>DATE(2012,12,31)-676</f>
        <v>40598</v>
      </c>
      <c r="B2480" s="13">
        <v>4502.26</v>
      </c>
    </row>
    <row r="2481" s="6" customFormat="1" spans="1:2">
      <c r="A2481" s="12">
        <f>DATE(2012,12,31)-676</f>
        <v>40598</v>
      </c>
      <c r="B2481" s="13">
        <v>192.23</v>
      </c>
    </row>
    <row r="2482" s="6" customFormat="1" spans="1:2">
      <c r="A2482" s="12">
        <f>DATE(2012,12,31)-1236</f>
        <v>40038</v>
      </c>
      <c r="B2482" s="13">
        <v>65.52</v>
      </c>
    </row>
    <row r="2483" spans="1:2">
      <c r="A2483" s="14">
        <f>DATE(2012,12,31)-1061</f>
        <v>40213</v>
      </c>
      <c r="B2483" s="15">
        <v>19.98</v>
      </c>
    </row>
    <row r="2484" s="6" customFormat="1" spans="1:2">
      <c r="A2484" s="12">
        <f>DATE(2012,12,31)-1288</f>
        <v>39986</v>
      </c>
      <c r="B2484" s="13">
        <v>1211.98</v>
      </c>
    </row>
    <row r="2485" s="6" customFormat="1" spans="1:2">
      <c r="A2485" s="12">
        <f>DATE(2012,12,31)-463</f>
        <v>40811</v>
      </c>
      <c r="B2485" s="13">
        <v>8127.51</v>
      </c>
    </row>
    <row r="2486" s="6" customFormat="1" spans="1:2">
      <c r="A2486" s="12">
        <f>DATE(2012,12,31)-463</f>
        <v>40811</v>
      </c>
      <c r="B2486" s="13">
        <v>5352.9345</v>
      </c>
    </row>
    <row r="2487" s="6" customFormat="1" spans="1:2">
      <c r="A2487" s="12">
        <f>DATE(2012,12,31)-290</f>
        <v>40984</v>
      </c>
      <c r="B2487" s="13">
        <v>83.31</v>
      </c>
    </row>
    <row r="2488" s="6" customFormat="1" spans="1:2">
      <c r="A2488" s="12">
        <f>DATE(2012,12,31)-125</f>
        <v>41149</v>
      </c>
      <c r="B2488" s="13">
        <v>3316.08</v>
      </c>
    </row>
    <row r="2489" s="6" customFormat="1" spans="1:2">
      <c r="A2489" s="12">
        <f>DATE(2012,12,31)-1286</f>
        <v>39988</v>
      </c>
      <c r="B2489" s="13">
        <v>347.84</v>
      </c>
    </row>
    <row r="2490" s="6" customFormat="1" spans="1:2">
      <c r="A2490" s="12">
        <f>DATE(2012,12,31)-573</f>
        <v>40701</v>
      </c>
      <c r="B2490" s="13">
        <v>207.08</v>
      </c>
    </row>
    <row r="2491" s="6" customFormat="1" spans="1:2">
      <c r="A2491" s="12">
        <f>DATE(2012,12,31)-573</f>
        <v>40701</v>
      </c>
      <c r="B2491" s="13">
        <v>234.28</v>
      </c>
    </row>
    <row r="2492" s="6" customFormat="1" spans="1:2">
      <c r="A2492" s="12">
        <f>DATE(2012,12,31)-573</f>
        <v>40701</v>
      </c>
      <c r="B2492" s="13">
        <v>1779.8915</v>
      </c>
    </row>
    <row r="2493" s="6" customFormat="1" spans="1:2">
      <c r="A2493" s="12">
        <f>DATE(2012,12,31)-849</f>
        <v>40425</v>
      </c>
      <c r="B2493" s="13">
        <v>270.32</v>
      </c>
    </row>
    <row r="2494" s="6" customFormat="1" spans="1:2">
      <c r="A2494" s="12">
        <f>DATE(2012,12,31)-849</f>
        <v>40425</v>
      </c>
      <c r="B2494" s="13">
        <v>361.98</v>
      </c>
    </row>
    <row r="2495" s="6" customFormat="1" spans="1:2">
      <c r="A2495" s="12">
        <f>DATE(2012,12,31)-1263</f>
        <v>40011</v>
      </c>
      <c r="B2495" s="13">
        <v>82.03</v>
      </c>
    </row>
    <row r="2496" s="6" customFormat="1" spans="1:2">
      <c r="A2496" s="12">
        <f>DATE(2012,12,31)-1263</f>
        <v>40011</v>
      </c>
      <c r="B2496" s="13">
        <v>290.91</v>
      </c>
    </row>
    <row r="2497" s="6" customFormat="1" spans="1:2">
      <c r="A2497" s="12">
        <f>DATE(2012,12,31)-1155</f>
        <v>40119</v>
      </c>
      <c r="B2497" s="13">
        <v>235.09</v>
      </c>
    </row>
    <row r="2498" s="6" customFormat="1" spans="1:2">
      <c r="A2498" s="12">
        <f>DATE(2012,12,31)-1155</f>
        <v>40119</v>
      </c>
      <c r="B2498" s="13">
        <v>187.46</v>
      </c>
    </row>
    <row r="2499" s="6" customFormat="1" spans="1:2">
      <c r="A2499" s="12">
        <f>DATE(2012,12,31)-1248</f>
        <v>40026</v>
      </c>
      <c r="B2499" s="13">
        <v>3075.83</v>
      </c>
    </row>
    <row r="2500" s="6" customFormat="1" spans="1:2">
      <c r="A2500" s="12">
        <f>DATE(2012,12,31)-1248</f>
        <v>40026</v>
      </c>
      <c r="B2500" s="13">
        <v>73.37</v>
      </c>
    </row>
    <row r="2501" s="6" customFormat="1" spans="1:2">
      <c r="A2501" s="12">
        <f>DATE(2012,12,31)-1248</f>
        <v>40026</v>
      </c>
      <c r="B2501" s="13">
        <v>527.6</v>
      </c>
    </row>
    <row r="2502" s="6" customFormat="1" spans="1:2">
      <c r="A2502" s="12">
        <f>DATE(2012,12,31)-631</f>
        <v>40643</v>
      </c>
      <c r="B2502" s="13">
        <v>4598.73</v>
      </c>
    </row>
    <row r="2503" s="6" customFormat="1" spans="1:2">
      <c r="A2503" s="12">
        <f>DATE(2012,12,31)-631</f>
        <v>40643</v>
      </c>
      <c r="B2503" s="13">
        <v>2673.08</v>
      </c>
    </row>
    <row r="2504" s="6" customFormat="1" spans="1:2">
      <c r="A2504" s="12">
        <f>DATE(2012,12,31)-631</f>
        <v>40643</v>
      </c>
      <c r="B2504" s="13">
        <v>396.69</v>
      </c>
    </row>
    <row r="2505" s="6" customFormat="1" spans="1:2">
      <c r="A2505" s="12">
        <f>DATE(2012,12,31)-274</f>
        <v>41000</v>
      </c>
      <c r="B2505" s="13">
        <v>197.45</v>
      </c>
    </row>
    <row r="2506" s="6" customFormat="1" spans="1:2">
      <c r="A2506" s="12">
        <f>DATE(2012,12,31)-274</f>
        <v>41000</v>
      </c>
      <c r="B2506" s="13">
        <v>82.98</v>
      </c>
    </row>
    <row r="2507" spans="1:2">
      <c r="A2507" s="14">
        <f>DATE(2012,12,31)-878</f>
        <v>40396</v>
      </c>
      <c r="B2507" s="15">
        <v>9293.82</v>
      </c>
    </row>
    <row r="2508" spans="1:2">
      <c r="A2508" s="14">
        <f>DATE(2012,12,31)-878</f>
        <v>40396</v>
      </c>
      <c r="B2508" s="15">
        <v>80.79</v>
      </c>
    </row>
    <row r="2509" spans="1:2">
      <c r="A2509" s="14">
        <f>DATE(2012,12,31)-843</f>
        <v>40431</v>
      </c>
      <c r="B2509" s="15">
        <v>1111.23</v>
      </c>
    </row>
    <row r="2510" s="6" customFormat="1" spans="1:2">
      <c r="A2510" s="12">
        <f>DATE(2012,12,31)-834</f>
        <v>40440</v>
      </c>
      <c r="B2510" s="13">
        <v>965.82</v>
      </c>
    </row>
    <row r="2511" s="6" customFormat="1" spans="1:2">
      <c r="A2511" s="12">
        <f>DATE(2012,12,31)-888</f>
        <v>40386</v>
      </c>
      <c r="B2511" s="13">
        <v>64.5</v>
      </c>
    </row>
    <row r="2512" s="6" customFormat="1" spans="1:2">
      <c r="A2512" s="12">
        <f>DATE(2012,12,31)-888</f>
        <v>40386</v>
      </c>
      <c r="B2512" s="13">
        <v>9944.49</v>
      </c>
    </row>
    <row r="2513" s="6" customFormat="1" spans="1:2">
      <c r="A2513" s="12">
        <f>DATE(2012,12,31)-689</f>
        <v>40585</v>
      </c>
      <c r="B2513" s="13">
        <v>172.34</v>
      </c>
    </row>
    <row r="2514" s="6" customFormat="1" spans="1:2">
      <c r="A2514" s="12">
        <f>DATE(2012,12,31)-1152</f>
        <v>40122</v>
      </c>
      <c r="B2514" s="13">
        <v>155.8</v>
      </c>
    </row>
    <row r="2515" s="6" customFormat="1" spans="1:2">
      <c r="A2515" s="12">
        <f>DATE(2012,12,31)-473</f>
        <v>40801</v>
      </c>
      <c r="B2515" s="13">
        <v>925.03</v>
      </c>
    </row>
    <row r="2516" s="6" customFormat="1" spans="1:2">
      <c r="A2516" s="12">
        <f>DATE(2012,12,31)-356</f>
        <v>40918</v>
      </c>
      <c r="B2516" s="13">
        <v>322.73</v>
      </c>
    </row>
    <row r="2517" s="6" customFormat="1" spans="1:2">
      <c r="A2517" s="12">
        <f>DATE(2012,12,31)-1404</f>
        <v>39870</v>
      </c>
      <c r="B2517" s="13">
        <v>184.35</v>
      </c>
    </row>
    <row r="2518" s="6" customFormat="1" spans="1:2">
      <c r="A2518" s="12">
        <f>DATE(2012,12,31)-1404</f>
        <v>39870</v>
      </c>
      <c r="B2518" s="13">
        <v>10281.79</v>
      </c>
    </row>
    <row r="2519" s="6" customFormat="1" spans="1:2">
      <c r="A2519" s="12">
        <f>DATE(2012,12,31)-1063</f>
        <v>40211</v>
      </c>
      <c r="B2519" s="13">
        <v>441.99</v>
      </c>
    </row>
    <row r="2520" s="6" customFormat="1" spans="1:2">
      <c r="A2520" s="12">
        <f>DATE(2012,12,31)-1063</f>
        <v>40211</v>
      </c>
      <c r="B2520" s="13">
        <v>245.19</v>
      </c>
    </row>
    <row r="2521" s="6" customFormat="1" spans="1:2">
      <c r="A2521" s="12">
        <f>DATE(2012,12,31)-1179</f>
        <v>40095</v>
      </c>
      <c r="B2521" s="13">
        <v>114.12</v>
      </c>
    </row>
    <row r="2522" s="6" customFormat="1" spans="1:2">
      <c r="A2522" s="12">
        <f>DATE(2012,12,31)-1179</f>
        <v>40095</v>
      </c>
      <c r="B2522" s="13">
        <v>436.05</v>
      </c>
    </row>
    <row r="2523" s="6" customFormat="1" spans="1:2">
      <c r="A2523" s="12">
        <f>DATE(2012,12,31)-1179</f>
        <v>40095</v>
      </c>
      <c r="B2523" s="13">
        <v>5247.4835</v>
      </c>
    </row>
    <row r="2524" s="6" customFormat="1" spans="1:2">
      <c r="A2524" s="12">
        <f>DATE(2012,12,31)-1347</f>
        <v>39927</v>
      </c>
      <c r="B2524" s="13">
        <v>7.96</v>
      </c>
    </row>
    <row r="2525" s="6" customFormat="1" spans="1:2">
      <c r="A2525" s="12">
        <f>DATE(2012,12,31)-563</f>
        <v>40711</v>
      </c>
      <c r="B2525" s="13">
        <v>148.65</v>
      </c>
    </row>
    <row r="2526" s="6" customFormat="1" spans="1:2">
      <c r="A2526" s="12">
        <f>DATE(2012,12,31)-563</f>
        <v>40711</v>
      </c>
      <c r="B2526" s="13">
        <v>198.21</v>
      </c>
    </row>
    <row r="2527" s="6" customFormat="1" spans="1:2">
      <c r="A2527" s="12">
        <f>DATE(2012,12,31)-897</f>
        <v>40377</v>
      </c>
      <c r="B2527" s="13">
        <v>237.89</v>
      </c>
    </row>
    <row r="2528" s="6" customFormat="1" spans="1:2">
      <c r="A2528" s="12">
        <f>DATE(2012,12,31)-31</f>
        <v>41243</v>
      </c>
      <c r="B2528" s="13">
        <v>212.91</v>
      </c>
    </row>
    <row r="2529" s="6" customFormat="1" spans="1:2">
      <c r="A2529" s="12">
        <f>DATE(2012,12,31)-31</f>
        <v>41243</v>
      </c>
      <c r="B2529" s="13">
        <v>1275.61</v>
      </c>
    </row>
    <row r="2530" s="6" customFormat="1" spans="1:2">
      <c r="A2530" s="12">
        <f>DATE(2012,12,31)-31</f>
        <v>41243</v>
      </c>
      <c r="B2530" s="13">
        <v>5972.59</v>
      </c>
    </row>
    <row r="2531" s="6" customFormat="1" spans="1:2">
      <c r="A2531" s="12">
        <f>DATE(2012,12,31)-718</f>
        <v>40556</v>
      </c>
      <c r="B2531" s="13">
        <v>1271.0475</v>
      </c>
    </row>
    <row r="2532" s="6" customFormat="1" spans="1:2">
      <c r="A2532" s="12">
        <f>DATE(2012,12,31)-1200</f>
        <v>40074</v>
      </c>
      <c r="B2532" s="13">
        <v>1394.36</v>
      </c>
    </row>
    <row r="2533" spans="1:2">
      <c r="A2533" s="14">
        <f>DATE(2012,12,31)-263</f>
        <v>41011</v>
      </c>
      <c r="B2533" s="15">
        <v>6608.24</v>
      </c>
    </row>
    <row r="2534" spans="1:2">
      <c r="A2534" s="14">
        <f>DATE(2012,12,31)-92</f>
        <v>41182</v>
      </c>
      <c r="B2534" s="15">
        <v>150.16</v>
      </c>
    </row>
    <row r="2535" s="6" customFormat="1" spans="1:2">
      <c r="A2535" s="12">
        <f>DATE(2012,12,31)-466</f>
        <v>40808</v>
      </c>
      <c r="B2535" s="13">
        <v>76.89</v>
      </c>
    </row>
    <row r="2536" s="6" customFormat="1" spans="1:2">
      <c r="A2536" s="12">
        <f>DATE(2012,12,31)-391</f>
        <v>40883</v>
      </c>
      <c r="B2536" s="13">
        <v>598.49</v>
      </c>
    </row>
    <row r="2537" s="6" customFormat="1" spans="1:2">
      <c r="A2537" s="12">
        <f>DATE(2012,12,31)-1220</f>
        <v>40054</v>
      </c>
      <c r="B2537" s="13">
        <v>1548.45</v>
      </c>
    </row>
    <row r="2538" s="6" customFormat="1" spans="1:2">
      <c r="A2538" s="12">
        <f>DATE(2012,12,31)-1220</f>
        <v>40054</v>
      </c>
      <c r="B2538" s="13">
        <v>56.07</v>
      </c>
    </row>
    <row r="2539" s="6" customFormat="1" spans="1:2">
      <c r="A2539" s="12">
        <f>DATE(2012,12,31)-1454</f>
        <v>39820</v>
      </c>
      <c r="B2539" s="13">
        <v>610.65</v>
      </c>
    </row>
    <row r="2540" s="6" customFormat="1" spans="1:2">
      <c r="A2540" s="12">
        <f>DATE(2012,12,31)-1454</f>
        <v>39820</v>
      </c>
      <c r="B2540" s="13">
        <v>158.04</v>
      </c>
    </row>
    <row r="2541" s="6" customFormat="1" spans="1:2">
      <c r="A2541" s="12">
        <f>DATE(2012,12,31)-660</f>
        <v>40614</v>
      </c>
      <c r="B2541" s="13">
        <v>451.32</v>
      </c>
    </row>
    <row r="2542" s="6" customFormat="1" spans="1:2">
      <c r="A2542" s="12">
        <f>DATE(2012,12,31)-660</f>
        <v>40614</v>
      </c>
      <c r="B2542" s="13">
        <v>217.66</v>
      </c>
    </row>
    <row r="2543" s="6" customFormat="1" spans="1:2">
      <c r="A2543" s="12">
        <f>DATE(2012,12,31)-660</f>
        <v>40614</v>
      </c>
      <c r="B2543" s="13">
        <v>1374.67</v>
      </c>
    </row>
    <row r="2544" s="6" customFormat="1" spans="1:2">
      <c r="A2544" s="12">
        <f>DATE(2012,12,31)-660</f>
        <v>40614</v>
      </c>
      <c r="B2544" s="13">
        <v>76.42</v>
      </c>
    </row>
    <row r="2545" s="6" customFormat="1" spans="1:2">
      <c r="A2545" s="12">
        <f>DATE(2012,12,31)-278</f>
        <v>40996</v>
      </c>
      <c r="B2545" s="13">
        <v>4891.86</v>
      </c>
    </row>
    <row r="2546" s="6" customFormat="1" spans="1:2">
      <c r="A2546" s="12">
        <f>DATE(2012,12,31)-278</f>
        <v>40996</v>
      </c>
      <c r="B2546" s="13">
        <v>6039.1</v>
      </c>
    </row>
    <row r="2547" s="6" customFormat="1" spans="1:2">
      <c r="A2547" s="12">
        <f>DATE(2012,12,31)-278</f>
        <v>40996</v>
      </c>
      <c r="B2547" s="13">
        <v>206.49</v>
      </c>
    </row>
    <row r="2548" s="6" customFormat="1" spans="1:2">
      <c r="A2548" s="12">
        <f>DATE(2012,12,31)-278</f>
        <v>40996</v>
      </c>
      <c r="B2548" s="13">
        <v>80.54</v>
      </c>
    </row>
    <row r="2549" spans="1:2">
      <c r="A2549" s="14">
        <f>DATE(2012,12,31)-991</f>
        <v>40283</v>
      </c>
      <c r="B2549" s="15">
        <v>816.23</v>
      </c>
    </row>
    <row r="2550" s="6" customFormat="1" spans="1:2">
      <c r="A2550" s="12">
        <f>DATE(2012,12,31)-224</f>
        <v>41050</v>
      </c>
      <c r="B2550" s="13">
        <v>270.16</v>
      </c>
    </row>
    <row r="2551" s="6" customFormat="1" spans="1:2">
      <c r="A2551" s="12">
        <f>DATE(2012,12,31)-224</f>
        <v>41050</v>
      </c>
      <c r="B2551" s="13">
        <v>2694.01</v>
      </c>
    </row>
    <row r="2552" s="6" customFormat="1" spans="1:2">
      <c r="A2552" s="12">
        <f>DATE(2012,12,31)-1411</f>
        <v>39863</v>
      </c>
      <c r="B2552" s="13">
        <v>226.65</v>
      </c>
    </row>
    <row r="2553" s="6" customFormat="1" spans="1:2">
      <c r="A2553" s="12">
        <f>DATE(2012,12,31)-1411</f>
        <v>39863</v>
      </c>
      <c r="B2553" s="13">
        <v>10.96</v>
      </c>
    </row>
    <row r="2554" s="6" customFormat="1" spans="1:2">
      <c r="A2554" s="12">
        <f>DATE(2012,12,31)-1411</f>
        <v>39863</v>
      </c>
      <c r="B2554" s="13">
        <v>185.61</v>
      </c>
    </row>
    <row r="2555" s="6" customFormat="1" spans="1:2">
      <c r="A2555" s="12">
        <f>DATE(2012,12,31)-1326</f>
        <v>39948</v>
      </c>
      <c r="B2555" s="13">
        <v>991.01</v>
      </c>
    </row>
    <row r="2556" s="6" customFormat="1" spans="1:2">
      <c r="A2556" s="12">
        <f>DATE(2012,12,31)-1326</f>
        <v>39948</v>
      </c>
      <c r="B2556" s="13">
        <v>1267.42</v>
      </c>
    </row>
    <row r="2557" s="6" customFormat="1" spans="1:2">
      <c r="A2557" s="12">
        <f>DATE(2012,12,31)-324</f>
        <v>40950</v>
      </c>
      <c r="B2557" s="13">
        <v>2507.79</v>
      </c>
    </row>
    <row r="2558" s="6" customFormat="1" spans="1:2">
      <c r="A2558" s="12">
        <f>DATE(2012,12,31)-324</f>
        <v>40950</v>
      </c>
      <c r="B2558" s="13">
        <v>1052.68</v>
      </c>
    </row>
    <row r="2559" s="6" customFormat="1" spans="1:2">
      <c r="A2559" s="12">
        <f>DATE(2012,12,31)-324</f>
        <v>40950</v>
      </c>
      <c r="B2559" s="13">
        <v>2536.31</v>
      </c>
    </row>
    <row r="2560" s="6" customFormat="1" spans="1:2">
      <c r="A2560" s="12">
        <f>DATE(2012,12,31)-606</f>
        <v>40668</v>
      </c>
      <c r="B2560" s="13">
        <v>6637.63</v>
      </c>
    </row>
    <row r="2561" s="6" customFormat="1" spans="1:2">
      <c r="A2561" s="12">
        <f>DATE(2012,12,31)-606</f>
        <v>40668</v>
      </c>
      <c r="B2561" s="13">
        <v>928.9055</v>
      </c>
    </row>
    <row r="2562" spans="1:2">
      <c r="A2562" s="14">
        <f>DATE(2012,12,31)-611</f>
        <v>40663</v>
      </c>
      <c r="B2562" s="15">
        <v>340.97</v>
      </c>
    </row>
    <row r="2563" spans="1:2">
      <c r="A2563" s="14">
        <f>DATE(2012,12,31)-611</f>
        <v>40663</v>
      </c>
      <c r="B2563" s="15">
        <v>136.24</v>
      </c>
    </row>
    <row r="2564" s="6" customFormat="1" spans="1:2">
      <c r="A2564" s="12">
        <f>DATE(2012,12,31)-731</f>
        <v>40543</v>
      </c>
      <c r="B2564" s="13">
        <v>56.13</v>
      </c>
    </row>
    <row r="2565" s="6" customFormat="1" spans="1:2">
      <c r="A2565" s="12">
        <f>DATE(2012,12,31)-731</f>
        <v>40543</v>
      </c>
      <c r="B2565" s="13">
        <v>1491.5205</v>
      </c>
    </row>
    <row r="2566" s="6" customFormat="1" spans="1:2">
      <c r="A2566" s="12">
        <f>DATE(2012,12,31)-63</f>
        <v>41211</v>
      </c>
      <c r="B2566" s="13">
        <v>1298.81</v>
      </c>
    </row>
    <row r="2567" s="6" customFormat="1" spans="1:2">
      <c r="A2567" s="12">
        <f>DATE(2012,12,31)-438</f>
        <v>40836</v>
      </c>
      <c r="B2567" s="13">
        <v>230.77</v>
      </c>
    </row>
    <row r="2568" s="6" customFormat="1" spans="1:2">
      <c r="A2568" s="12">
        <f>DATE(2012,12,31)-438</f>
        <v>40836</v>
      </c>
      <c r="B2568" s="13">
        <v>507.58</v>
      </c>
    </row>
    <row r="2569" s="6" customFormat="1" spans="1:2">
      <c r="A2569" s="12">
        <f>DATE(2012,12,31)-1151</f>
        <v>40123</v>
      </c>
      <c r="B2569" s="13">
        <v>442.57</v>
      </c>
    </row>
    <row r="2570" s="6" customFormat="1" spans="1:2">
      <c r="A2570" s="12">
        <f>DATE(2012,12,31)-1151</f>
        <v>40123</v>
      </c>
      <c r="B2570" s="13">
        <v>53.737</v>
      </c>
    </row>
    <row r="2571" s="6" customFormat="1" spans="1:2">
      <c r="A2571" s="12">
        <f>DATE(2012,12,31)-367</f>
        <v>40907</v>
      </c>
      <c r="B2571" s="13">
        <v>282.58</v>
      </c>
    </row>
    <row r="2572" s="6" customFormat="1" spans="1:2">
      <c r="A2572" s="12">
        <f>DATE(2012,12,31)-1452</f>
        <v>39822</v>
      </c>
      <c r="B2572" s="13">
        <v>45.87</v>
      </c>
    </row>
    <row r="2573" s="6" customFormat="1" spans="1:2">
      <c r="A2573" s="12">
        <f>DATE(2012,12,31)-377</f>
        <v>40897</v>
      </c>
      <c r="B2573" s="13">
        <v>160.11</v>
      </c>
    </row>
    <row r="2574" s="6" customFormat="1" spans="1:2">
      <c r="A2574" s="12">
        <f>DATE(2012,12,31)-92</f>
        <v>41182</v>
      </c>
      <c r="B2574" s="13">
        <v>25.72</v>
      </c>
    </row>
    <row r="2575" s="6" customFormat="1" spans="1:2">
      <c r="A2575" s="12">
        <f>DATE(2012,12,31)-466</f>
        <v>40808</v>
      </c>
      <c r="B2575" s="13">
        <v>6572.04</v>
      </c>
    </row>
    <row r="2576" s="6" customFormat="1" spans="1:2">
      <c r="A2576" s="12">
        <f>DATE(2012,12,31)-466</f>
        <v>40808</v>
      </c>
      <c r="B2576" s="13">
        <v>1051.992</v>
      </c>
    </row>
    <row r="2577" spans="1:2">
      <c r="A2577" s="14">
        <f>DATE(2012,12,31)-1430</f>
        <v>39844</v>
      </c>
      <c r="B2577" s="15">
        <v>451.44</v>
      </c>
    </row>
    <row r="2578" spans="1:2">
      <c r="A2578" s="14">
        <f>DATE(2012,12,31)-1430</f>
        <v>39844</v>
      </c>
      <c r="B2578" s="15">
        <v>138.55</v>
      </c>
    </row>
    <row r="2579" s="6" customFormat="1" spans="1:2">
      <c r="A2579" s="12">
        <f>DATE(2012,12,31)-90</f>
        <v>41184</v>
      </c>
      <c r="B2579" s="13">
        <v>4917.69</v>
      </c>
    </row>
    <row r="2580" s="6" customFormat="1" spans="1:2">
      <c r="A2580" s="12">
        <f>DATE(2012,12,31)-90</f>
        <v>41184</v>
      </c>
      <c r="B2580" s="13">
        <v>416.8</v>
      </c>
    </row>
    <row r="2581" s="6" customFormat="1" spans="1:2">
      <c r="A2581" s="12">
        <f>DATE(2012,12,31)-827</f>
        <v>40447</v>
      </c>
      <c r="B2581" s="13">
        <v>101.2</v>
      </c>
    </row>
    <row r="2582" s="6" customFormat="1" spans="1:2">
      <c r="A2582" s="12">
        <f>DATE(2012,12,31)-878</f>
        <v>40396</v>
      </c>
      <c r="B2582" s="13">
        <v>349.65</v>
      </c>
    </row>
    <row r="2583" s="6" customFormat="1" spans="1:2">
      <c r="A2583" s="12">
        <f>DATE(2012,12,31)-878</f>
        <v>40396</v>
      </c>
      <c r="B2583" s="13">
        <v>4814.12</v>
      </c>
    </row>
    <row r="2584" s="6" customFormat="1" spans="1:2">
      <c r="A2584" s="12">
        <f>DATE(2012,12,31)-742</f>
        <v>40532</v>
      </c>
      <c r="B2584" s="13">
        <v>15.7</v>
      </c>
    </row>
    <row r="2585" s="6" customFormat="1" spans="1:2">
      <c r="A2585" s="12">
        <f>DATE(2012,12,31)-114</f>
        <v>41160</v>
      </c>
      <c r="B2585" s="13">
        <v>1207.08</v>
      </c>
    </row>
    <row r="2586" s="6" customFormat="1" spans="1:2">
      <c r="A2586" s="12">
        <f>DATE(2012,12,31)-114</f>
        <v>41160</v>
      </c>
      <c r="B2586" s="13">
        <v>2618.112</v>
      </c>
    </row>
    <row r="2587" s="6" customFormat="1" spans="1:2">
      <c r="A2587" s="12">
        <f>DATE(2012,12,31)-667</f>
        <v>40607</v>
      </c>
      <c r="B2587" s="13">
        <v>14346.73</v>
      </c>
    </row>
    <row r="2588" s="6" customFormat="1" spans="1:2">
      <c r="A2588" s="12">
        <f>DATE(2012,12,31)-667</f>
        <v>40607</v>
      </c>
      <c r="B2588" s="13">
        <v>40.34</v>
      </c>
    </row>
    <row r="2589" s="6" customFormat="1" spans="1:2">
      <c r="A2589" s="12">
        <f>DATE(2012,12,31)-667</f>
        <v>40607</v>
      </c>
      <c r="B2589" s="13">
        <v>3951.6755</v>
      </c>
    </row>
    <row r="2590" s="6" customFormat="1" spans="1:2">
      <c r="A2590" s="12">
        <f>DATE(2012,12,31)-1103</f>
        <v>40171</v>
      </c>
      <c r="B2590" s="13">
        <v>281.17</v>
      </c>
    </row>
    <row r="2591" s="6" customFormat="1" spans="1:2">
      <c r="A2591" s="12">
        <f>DATE(2012,12,31)-1103</f>
        <v>40171</v>
      </c>
      <c r="B2591" s="13">
        <v>194.65</v>
      </c>
    </row>
    <row r="2592" s="6" customFormat="1" spans="1:2">
      <c r="A2592" s="12">
        <f>DATE(2012,12,31)-1237</f>
        <v>40037</v>
      </c>
      <c r="B2592" s="13">
        <v>52.0965</v>
      </c>
    </row>
    <row r="2593" s="6" customFormat="1" spans="1:2">
      <c r="A2593" s="12">
        <f>DATE(2012,12,31)-1249</f>
        <v>40025</v>
      </c>
      <c r="B2593" s="13">
        <v>3945.95</v>
      </c>
    </row>
    <row r="2594" s="6" customFormat="1" spans="1:2">
      <c r="A2594" s="12">
        <f>DATE(2012,12,31)-1249</f>
        <v>40025</v>
      </c>
      <c r="B2594" s="13">
        <v>5394.4</v>
      </c>
    </row>
    <row r="2595" s="6" customFormat="1" spans="1:2">
      <c r="A2595" s="12">
        <f>DATE(2012,12,31)-1193</f>
        <v>40081</v>
      </c>
      <c r="B2595" s="13">
        <v>1217.62</v>
      </c>
    </row>
    <row r="2596" s="6" customFormat="1" spans="1:2">
      <c r="A2596" s="12">
        <f>DATE(2012,12,31)-1193</f>
        <v>40081</v>
      </c>
      <c r="B2596" s="13">
        <v>1725.0325</v>
      </c>
    </row>
    <row r="2597" s="6" customFormat="1" spans="1:2">
      <c r="A2597" s="12">
        <f>DATE(2012,12,31)-223</f>
        <v>41051</v>
      </c>
      <c r="B2597" s="13">
        <v>222.2</v>
      </c>
    </row>
    <row r="2598" s="6" customFormat="1" spans="1:2">
      <c r="A2598" s="12">
        <f>DATE(2012,12,31)-223</f>
        <v>41051</v>
      </c>
      <c r="B2598" s="13">
        <v>39.9</v>
      </c>
    </row>
    <row r="2599" s="6" customFormat="1" spans="1:2">
      <c r="A2599" s="12">
        <f>DATE(2012,12,31)-223</f>
        <v>41051</v>
      </c>
      <c r="B2599" s="13">
        <v>319.96</v>
      </c>
    </row>
    <row r="2600" s="6" customFormat="1" spans="1:2">
      <c r="A2600" s="12">
        <f>DATE(2012,12,31)-986</f>
        <v>40288</v>
      </c>
      <c r="B2600" s="13">
        <v>2022.18</v>
      </c>
    </row>
    <row r="2601" s="6" customFormat="1" spans="1:2">
      <c r="A2601" s="12">
        <f>DATE(2012,12,31)-1186</f>
        <v>40088</v>
      </c>
      <c r="B2601" s="13">
        <v>566.12</v>
      </c>
    </row>
    <row r="2602" s="6" customFormat="1" spans="1:2">
      <c r="A2602" s="12">
        <f>DATE(2012,12,31)-656</f>
        <v>40618</v>
      </c>
      <c r="B2602" s="13">
        <v>1558.18</v>
      </c>
    </row>
    <row r="2603" s="6" customFormat="1" spans="1:2">
      <c r="A2603" s="12">
        <f>DATE(2012,12,31)-1419</f>
        <v>39855</v>
      </c>
      <c r="B2603" s="13">
        <v>13253.93</v>
      </c>
    </row>
    <row r="2604" s="6" customFormat="1" spans="1:2">
      <c r="A2604" s="12">
        <f>DATE(2012,12,31)-1406</f>
        <v>39868</v>
      </c>
      <c r="B2604" s="13">
        <v>580.46</v>
      </c>
    </row>
    <row r="2605" s="6" customFormat="1" spans="1:2">
      <c r="A2605" s="12">
        <f>DATE(2012,12,31)-1405</f>
        <v>39869</v>
      </c>
      <c r="B2605" s="13">
        <v>1102.3</v>
      </c>
    </row>
    <row r="2606" s="6" customFormat="1" spans="1:2">
      <c r="A2606" s="12">
        <f>DATE(2012,12,31)-741</f>
        <v>40533</v>
      </c>
      <c r="B2606" s="13">
        <v>1950.036</v>
      </c>
    </row>
    <row r="2607" s="6" customFormat="1" spans="1:2">
      <c r="A2607" s="12">
        <f>DATE(2012,12,31)-148</f>
        <v>41126</v>
      </c>
      <c r="B2607" s="13">
        <v>751.71</v>
      </c>
    </row>
    <row r="2608" s="6" customFormat="1" spans="1:2">
      <c r="A2608" s="12">
        <f>DATE(2012,12,31)-148</f>
        <v>41126</v>
      </c>
      <c r="B2608" s="13">
        <v>471.87</v>
      </c>
    </row>
    <row r="2609" s="6" customFormat="1" spans="1:2">
      <c r="A2609" s="12">
        <f>DATE(2012,12,31)-148</f>
        <v>41126</v>
      </c>
      <c r="B2609" s="13">
        <v>539.6</v>
      </c>
    </row>
    <row r="2610" s="6" customFormat="1" spans="1:2">
      <c r="A2610" s="12">
        <f>DATE(2012,12,31)-15</f>
        <v>41259</v>
      </c>
      <c r="B2610" s="13">
        <v>204.21</v>
      </c>
    </row>
    <row r="2611" s="6" customFormat="1" spans="1:2">
      <c r="A2611" s="12">
        <f>DATE(2012,12,31)-469</f>
        <v>40805</v>
      </c>
      <c r="B2611" s="13">
        <v>351.25</v>
      </c>
    </row>
    <row r="2612" s="6" customFormat="1" spans="1:2">
      <c r="A2612" s="12">
        <f>DATE(2012,12,31)-1079</f>
        <v>40195</v>
      </c>
      <c r="B2612" s="13">
        <v>223.88</v>
      </c>
    </row>
    <row r="2613" s="6" customFormat="1" spans="1:2">
      <c r="A2613" s="12">
        <f>DATE(2012,12,31)-1203</f>
        <v>40071</v>
      </c>
      <c r="B2613" s="13">
        <v>229.43</v>
      </c>
    </row>
    <row r="2614" s="6" customFormat="1" spans="1:2">
      <c r="A2614" s="12">
        <f>DATE(2012,12,31)-556</f>
        <v>40718</v>
      </c>
      <c r="B2614" s="13">
        <v>131.27</v>
      </c>
    </row>
    <row r="2615" s="6" customFormat="1" spans="1:2">
      <c r="A2615" s="12">
        <f>DATE(2012,12,31)-556</f>
        <v>40718</v>
      </c>
      <c r="B2615" s="13">
        <v>13571.7</v>
      </c>
    </row>
    <row r="2616" s="6" customFormat="1" spans="1:2">
      <c r="A2616" s="12">
        <f>DATE(2012,12,31)-757</f>
        <v>40517</v>
      </c>
      <c r="B2616" s="13">
        <v>173.417</v>
      </c>
    </row>
    <row r="2617" spans="1:2">
      <c r="A2617" s="14">
        <f>DATE(2012,12,31)-242</f>
        <v>41032</v>
      </c>
      <c r="B2617" s="15">
        <v>28.82</v>
      </c>
    </row>
    <row r="2618" s="6" customFormat="1" spans="1:2">
      <c r="A2618" s="12">
        <f>DATE(2012,12,31)-65</f>
        <v>41209</v>
      </c>
      <c r="B2618" s="13">
        <v>6362.94</v>
      </c>
    </row>
    <row r="2619" s="6" customFormat="1" spans="1:2">
      <c r="A2619" s="12">
        <f>DATE(2012,12,31)-1282</f>
        <v>39992</v>
      </c>
      <c r="B2619" s="13">
        <v>739.28</v>
      </c>
    </row>
    <row r="2620" s="6" customFormat="1" spans="1:2">
      <c r="A2620" s="12">
        <f>DATE(2012,12,31)-1444</f>
        <v>39830</v>
      </c>
      <c r="B2620" s="13">
        <v>528.54</v>
      </c>
    </row>
    <row r="2621" s="6" customFormat="1" spans="1:2">
      <c r="A2621" s="12">
        <f>DATE(2012,12,31)-972</f>
        <v>40302</v>
      </c>
      <c r="B2621" s="13">
        <v>202.89</v>
      </c>
    </row>
    <row r="2622" s="6" customFormat="1" spans="1:2">
      <c r="A2622" s="12">
        <f>DATE(2012,12,31)-308</f>
        <v>40966</v>
      </c>
      <c r="B2622" s="13">
        <v>3008.5</v>
      </c>
    </row>
    <row r="2623" s="6" customFormat="1" spans="1:2">
      <c r="A2623" s="12">
        <f>DATE(2012,12,31)-551</f>
        <v>40723</v>
      </c>
      <c r="B2623" s="13">
        <v>61.5</v>
      </c>
    </row>
    <row r="2624" s="6" customFormat="1" spans="1:2">
      <c r="A2624" s="12">
        <f>DATE(2012,12,31)-551</f>
        <v>40723</v>
      </c>
      <c r="B2624" s="13">
        <v>324.3175</v>
      </c>
    </row>
    <row r="2625" s="6" customFormat="1" spans="1:2">
      <c r="A2625" s="12">
        <f>DATE(2012,12,31)-1303</f>
        <v>39971</v>
      </c>
      <c r="B2625" s="13">
        <v>23792.93</v>
      </c>
    </row>
    <row r="2626" s="6" customFormat="1" spans="1:2">
      <c r="A2626" s="12">
        <f>DATE(2012,12,31)-378</f>
        <v>40896</v>
      </c>
      <c r="B2626" s="13">
        <v>211.97</v>
      </c>
    </row>
    <row r="2627" s="6" customFormat="1" spans="1:2">
      <c r="A2627" s="12">
        <f>DATE(2012,12,31)-524</f>
        <v>40750</v>
      </c>
      <c r="B2627" s="13">
        <v>36.06</v>
      </c>
    </row>
    <row r="2628" s="6" customFormat="1" spans="1:2">
      <c r="A2628" s="12">
        <f>DATE(2012,12,31)-524</f>
        <v>40750</v>
      </c>
      <c r="B2628" s="13">
        <v>1849.8</v>
      </c>
    </row>
    <row r="2629" spans="1:2">
      <c r="A2629" s="14">
        <f>DATE(2012,12,31)-1401</f>
        <v>39873</v>
      </c>
      <c r="B2629" s="15">
        <v>327.61</v>
      </c>
    </row>
    <row r="2630" s="6" customFormat="1" spans="1:2">
      <c r="A2630" s="12">
        <f>DATE(2012,12,31)-264</f>
        <v>41010</v>
      </c>
      <c r="B2630" s="13">
        <v>4800.44</v>
      </c>
    </row>
    <row r="2631" s="6" customFormat="1" spans="1:2">
      <c r="A2631" s="12">
        <f>DATE(2012,12,31)-264</f>
        <v>41010</v>
      </c>
      <c r="B2631" s="13">
        <v>271.33</v>
      </c>
    </row>
    <row r="2632" s="6" customFormat="1" spans="1:2">
      <c r="A2632" s="12">
        <f>DATE(2012,12,31)-1433</f>
        <v>39841</v>
      </c>
      <c r="B2632" s="13">
        <v>67.49</v>
      </c>
    </row>
    <row r="2633" s="6" customFormat="1" spans="1:2">
      <c r="A2633" s="12">
        <f>DATE(2012,12,31)-1433</f>
        <v>39841</v>
      </c>
      <c r="B2633" s="13">
        <v>6.76</v>
      </c>
    </row>
    <row r="2634" s="6" customFormat="1" spans="1:2">
      <c r="A2634" s="12">
        <f>DATE(2012,12,31)-1286</f>
        <v>39988</v>
      </c>
      <c r="B2634" s="13">
        <v>178.4</v>
      </c>
    </row>
    <row r="2635" spans="1:2">
      <c r="A2635" s="14">
        <f>DATE(2012,12,31)-1286</f>
        <v>39988</v>
      </c>
      <c r="B2635" s="15">
        <v>115.01</v>
      </c>
    </row>
    <row r="2636" s="6" customFormat="1" spans="1:2">
      <c r="A2636" s="12">
        <f>DATE(2012,12,31)-189</f>
        <v>41085</v>
      </c>
      <c r="B2636" s="13">
        <v>3816.59</v>
      </c>
    </row>
    <row r="2637" s="6" customFormat="1" spans="1:2">
      <c r="A2637" s="12">
        <f>DATE(2012,12,31)-1192</f>
        <v>40082</v>
      </c>
      <c r="B2637" s="13">
        <v>1841.6</v>
      </c>
    </row>
    <row r="2638" s="6" customFormat="1" spans="1:2">
      <c r="A2638" s="12">
        <f>DATE(2012,12,31)-1253</f>
        <v>40021</v>
      </c>
      <c r="B2638" s="13">
        <v>256.12</v>
      </c>
    </row>
    <row r="2639" s="6" customFormat="1" spans="1:2">
      <c r="A2639" s="12">
        <f>DATE(2012,12,31)-874</f>
        <v>40400</v>
      </c>
      <c r="B2639" s="13">
        <v>5085.907</v>
      </c>
    </row>
    <row r="2640" s="6" customFormat="1" spans="1:2">
      <c r="A2640" s="12">
        <f>DATE(2012,12,31)-1160</f>
        <v>40114</v>
      </c>
      <c r="B2640" s="13">
        <v>1370.56</v>
      </c>
    </row>
    <row r="2641" s="6" customFormat="1" spans="1:2">
      <c r="A2641" s="12">
        <f>DATE(2012,12,31)-1160</f>
        <v>40114</v>
      </c>
      <c r="B2641" s="13">
        <v>172.98</v>
      </c>
    </row>
    <row r="2642" s="6" customFormat="1" spans="1:2">
      <c r="A2642" s="12">
        <f>DATE(2012,12,31)-1184</f>
        <v>40090</v>
      </c>
      <c r="B2642" s="13">
        <v>195.83</v>
      </c>
    </row>
    <row r="2643" s="6" customFormat="1" spans="1:2">
      <c r="A2643" s="12">
        <f>DATE(2012,12,31)-880</f>
        <v>40394</v>
      </c>
      <c r="B2643" s="13">
        <v>1372.9455</v>
      </c>
    </row>
    <row r="2644" s="6" customFormat="1" spans="1:2">
      <c r="A2644" s="12">
        <f>DATE(2012,12,31)-483</f>
        <v>40791</v>
      </c>
      <c r="B2644" s="13">
        <v>387</v>
      </c>
    </row>
    <row r="2645" s="6" customFormat="1" spans="1:2">
      <c r="A2645" s="12">
        <f>DATE(2012,12,31)-759</f>
        <v>40515</v>
      </c>
      <c r="B2645" s="13">
        <v>94.84</v>
      </c>
    </row>
    <row r="2646" s="6" customFormat="1" spans="1:2">
      <c r="A2646" s="12">
        <f>DATE(2012,12,31)-1188</f>
        <v>40086</v>
      </c>
      <c r="B2646" s="13">
        <v>314</v>
      </c>
    </row>
    <row r="2647" s="6" customFormat="1" spans="1:2">
      <c r="A2647" s="12">
        <f>DATE(2012,12,31)-1188</f>
        <v>40086</v>
      </c>
      <c r="B2647" s="13">
        <v>155.54</v>
      </c>
    </row>
    <row r="2648" s="6" customFormat="1" spans="1:2">
      <c r="A2648" s="12">
        <f>DATE(2012,12,31)-57</f>
        <v>41217</v>
      </c>
      <c r="B2648" s="13">
        <v>2421.02</v>
      </c>
    </row>
    <row r="2649" s="6" customFormat="1" spans="1:2">
      <c r="A2649" s="12">
        <f>DATE(2012,12,31)-899</f>
        <v>40375</v>
      </c>
      <c r="B2649" s="13">
        <v>214.62</v>
      </c>
    </row>
    <row r="2650" s="6" customFormat="1" spans="1:2">
      <c r="A2650" s="12">
        <f>DATE(2012,12,31)-899</f>
        <v>40375</v>
      </c>
      <c r="B2650" s="13">
        <v>5311.973</v>
      </c>
    </row>
    <row r="2651" s="6" customFormat="1" spans="1:2">
      <c r="A2651" s="12">
        <f>DATE(2012,12,31)-899</f>
        <v>40375</v>
      </c>
      <c r="B2651" s="13">
        <v>1061.905</v>
      </c>
    </row>
    <row r="2652" s="6" customFormat="1" spans="1:2">
      <c r="A2652" s="12">
        <f>DATE(2012,12,31)-899</f>
        <v>40375</v>
      </c>
      <c r="B2652" s="13">
        <v>1631.04</v>
      </c>
    </row>
    <row r="2653" s="6" customFormat="1" spans="1:2">
      <c r="A2653" s="12">
        <f>DATE(2012,12,31)-1230</f>
        <v>40044</v>
      </c>
      <c r="B2653" s="13">
        <v>1133.4495</v>
      </c>
    </row>
    <row r="2654" s="6" customFormat="1" spans="1:2">
      <c r="A2654" s="12">
        <f>DATE(2012,12,31)-1200</f>
        <v>40074</v>
      </c>
      <c r="B2654" s="13">
        <v>233.92</v>
      </c>
    </row>
    <row r="2655" s="6" customFormat="1" spans="1:2">
      <c r="A2655" s="12">
        <f>DATE(2012,12,31)-1200</f>
        <v>40074</v>
      </c>
      <c r="B2655" s="13">
        <v>1642.05</v>
      </c>
    </row>
    <row r="2656" spans="1:2">
      <c r="A2656" s="14">
        <f>DATE(2012,12,31)-889</f>
        <v>40385</v>
      </c>
      <c r="B2656" s="15">
        <v>1291.35</v>
      </c>
    </row>
    <row r="2657" spans="1:2">
      <c r="A2657" s="14">
        <f>DATE(2012,12,31)-889</f>
        <v>40385</v>
      </c>
      <c r="B2657" s="15">
        <v>107.97</v>
      </c>
    </row>
    <row r="2658" s="6" customFormat="1" spans="1:2">
      <c r="A2658" s="12">
        <f>DATE(2012,12,31)-1007</f>
        <v>40267</v>
      </c>
      <c r="B2658" s="13">
        <v>88.02</v>
      </c>
    </row>
    <row r="2659" s="6" customFormat="1" spans="1:2">
      <c r="A2659" s="12">
        <f>DATE(2012,12,31)-1007</f>
        <v>40267</v>
      </c>
      <c r="B2659" s="13">
        <v>800</v>
      </c>
    </row>
    <row r="2660" s="6" customFormat="1" spans="1:2">
      <c r="A2660" s="12">
        <f>DATE(2012,12,31)-291</f>
        <v>40983</v>
      </c>
      <c r="B2660" s="13">
        <v>66.02</v>
      </c>
    </row>
    <row r="2661" s="6" customFormat="1" spans="1:2">
      <c r="A2661" s="12">
        <f>DATE(2012,12,31)-291</f>
        <v>40983</v>
      </c>
      <c r="B2661" s="13">
        <v>15.53</v>
      </c>
    </row>
    <row r="2662" s="6" customFormat="1" spans="1:2">
      <c r="A2662" s="12">
        <f>DATE(2012,12,31)-1268</f>
        <v>40006</v>
      </c>
      <c r="B2662" s="13">
        <v>265.38</v>
      </c>
    </row>
    <row r="2663" s="6" customFormat="1" spans="1:2">
      <c r="A2663" s="12">
        <f>DATE(2012,12,31)-1268</f>
        <v>40006</v>
      </c>
      <c r="B2663" s="13">
        <v>33.41</v>
      </c>
    </row>
    <row r="2664" s="6" customFormat="1" spans="1:2">
      <c r="A2664" s="12">
        <f>DATE(2012,12,31)-1268</f>
        <v>40006</v>
      </c>
      <c r="B2664" s="13">
        <v>7157.16</v>
      </c>
    </row>
    <row r="2665" s="6" customFormat="1" spans="1:2">
      <c r="A2665" s="12">
        <f>DATE(2012,12,31)-1437</f>
        <v>39837</v>
      </c>
      <c r="B2665" s="13">
        <v>359.65</v>
      </c>
    </row>
    <row r="2666" s="6" customFormat="1" spans="1:2">
      <c r="A2666" s="12">
        <f>DATE(2012,12,31)-459</f>
        <v>40815</v>
      </c>
      <c r="B2666" s="13">
        <v>161.72</v>
      </c>
    </row>
    <row r="2667" s="6" customFormat="1" spans="1:2">
      <c r="A2667" s="12">
        <f>DATE(2012,12,31)-459</f>
        <v>40815</v>
      </c>
      <c r="B2667" s="13">
        <v>107.75</v>
      </c>
    </row>
    <row r="2668" s="6" customFormat="1" spans="1:2">
      <c r="A2668" s="12">
        <f>DATE(2012,12,31)-996</f>
        <v>40278</v>
      </c>
      <c r="B2668" s="13">
        <v>75.73</v>
      </c>
    </row>
    <row r="2669" s="6" customFormat="1" spans="1:2">
      <c r="A2669" s="12">
        <f>DATE(2012,12,31)-1384</f>
        <v>39890</v>
      </c>
      <c r="B2669" s="13">
        <v>29.23</v>
      </c>
    </row>
    <row r="2670" s="6" customFormat="1" spans="1:2">
      <c r="A2670" s="12">
        <f>DATE(2012,12,31)-1111</f>
        <v>40163</v>
      </c>
      <c r="B2670" s="13">
        <v>78.72</v>
      </c>
    </row>
    <row r="2671" s="6" customFormat="1" spans="1:2">
      <c r="A2671" s="12">
        <f>DATE(2012,12,31)-1030</f>
        <v>40244</v>
      </c>
      <c r="B2671" s="13">
        <v>281.59</v>
      </c>
    </row>
    <row r="2672" s="6" customFormat="1" spans="1:2">
      <c r="A2672" s="12">
        <f>DATE(2012,12,31)-1030</f>
        <v>40244</v>
      </c>
      <c r="B2672" s="13">
        <v>231.7525</v>
      </c>
    </row>
    <row r="2673" s="6" customFormat="1" spans="1:2">
      <c r="A2673" s="12">
        <f>DATE(2012,12,31)-308</f>
        <v>40966</v>
      </c>
      <c r="B2673" s="13">
        <v>8246.86</v>
      </c>
    </row>
    <row r="2674" s="6" customFormat="1" spans="1:2">
      <c r="A2674" s="12">
        <f>DATE(2012,12,31)-99</f>
        <v>41175</v>
      </c>
      <c r="B2674" s="13">
        <v>788.85</v>
      </c>
    </row>
    <row r="2675" s="6" customFormat="1" spans="1:2">
      <c r="A2675" s="12">
        <f>DATE(2012,12,31)-99</f>
        <v>41175</v>
      </c>
      <c r="B2675" s="13">
        <v>364.59</v>
      </c>
    </row>
    <row r="2676" s="6" customFormat="1" spans="1:2">
      <c r="A2676" s="12">
        <f>DATE(2012,12,31)-99</f>
        <v>41175</v>
      </c>
      <c r="B2676" s="13">
        <v>535.57</v>
      </c>
    </row>
    <row r="2677" s="6" customFormat="1" spans="1:2">
      <c r="A2677" s="12">
        <f>DATE(2012,12,31)-545</f>
        <v>40729</v>
      </c>
      <c r="B2677" s="13">
        <v>286.06</v>
      </c>
    </row>
    <row r="2678" s="6" customFormat="1" spans="1:2">
      <c r="A2678" s="12">
        <f>DATE(2012,12,31)-545</f>
        <v>40729</v>
      </c>
      <c r="B2678" s="13">
        <v>248.1</v>
      </c>
    </row>
    <row r="2679" spans="1:2">
      <c r="A2679" s="14">
        <f>DATE(2012,12,31)-715</f>
        <v>40559</v>
      </c>
      <c r="B2679" s="15">
        <v>181.83</v>
      </c>
    </row>
    <row r="2680" s="6" customFormat="1" spans="1:2">
      <c r="A2680" s="12">
        <f>DATE(2012,12,31)-1351</f>
        <v>39923</v>
      </c>
      <c r="B2680" s="13">
        <v>112.42</v>
      </c>
    </row>
    <row r="2681" s="6" customFormat="1" spans="1:2">
      <c r="A2681" s="12">
        <f>DATE(2012,12,31)-6</f>
        <v>41268</v>
      </c>
      <c r="B2681" s="13">
        <v>279.327</v>
      </c>
    </row>
    <row r="2682" s="6" customFormat="1" spans="1:2">
      <c r="A2682" s="12">
        <f>DATE(2012,12,31)-6</f>
        <v>41268</v>
      </c>
      <c r="B2682" s="13">
        <v>539.206</v>
      </c>
    </row>
    <row r="2683" s="6" customFormat="1" spans="1:2">
      <c r="A2683" s="12">
        <f>DATE(2012,12,31)-632</f>
        <v>40642</v>
      </c>
      <c r="B2683" s="13">
        <v>60.68</v>
      </c>
    </row>
    <row r="2684" s="6" customFormat="1" spans="1:2">
      <c r="A2684" s="12">
        <f>DATE(2012,12,31)-632</f>
        <v>40642</v>
      </c>
      <c r="B2684" s="13">
        <v>1129.055</v>
      </c>
    </row>
    <row r="2685" s="6" customFormat="1" spans="1:2">
      <c r="A2685" s="12">
        <f>DATE(2012,12,31)-98</f>
        <v>41176</v>
      </c>
      <c r="B2685" s="13">
        <v>210.24</v>
      </c>
    </row>
    <row r="2686" s="6" customFormat="1" spans="1:2">
      <c r="A2686" s="12">
        <f>DATE(2012,12,31)-1225</f>
        <v>40049</v>
      </c>
      <c r="B2686" s="13">
        <v>240.24</v>
      </c>
    </row>
    <row r="2687" s="6" customFormat="1" spans="1:2">
      <c r="A2687" s="12">
        <f>DATE(2012,12,31)-779</f>
        <v>40495</v>
      </c>
      <c r="B2687" s="13">
        <v>6742.49</v>
      </c>
    </row>
    <row r="2688" s="6" customFormat="1" spans="1:2">
      <c r="A2688" s="12">
        <f>DATE(2012,12,31)-1318</f>
        <v>39956</v>
      </c>
      <c r="B2688" s="13">
        <v>16.82</v>
      </c>
    </row>
    <row r="2689" s="6" customFormat="1" spans="1:2">
      <c r="A2689" s="12">
        <f>DATE(2012,12,31)-1268</f>
        <v>40006</v>
      </c>
      <c r="B2689" s="13">
        <v>203.49</v>
      </c>
    </row>
    <row r="2690" s="6" customFormat="1" spans="1:2">
      <c r="A2690" s="12">
        <f>DATE(2012,12,31)-1268</f>
        <v>40006</v>
      </c>
      <c r="B2690" s="13">
        <v>5638.798</v>
      </c>
    </row>
    <row r="2691" s="6" customFormat="1" spans="1:2">
      <c r="A2691" s="12">
        <f>DATE(2012,12,31)-468</f>
        <v>40806</v>
      </c>
      <c r="B2691" s="13">
        <v>206.68</v>
      </c>
    </row>
    <row r="2692" s="6" customFormat="1" spans="1:2">
      <c r="A2692" s="12">
        <f>DATE(2012,12,31)-750</f>
        <v>40524</v>
      </c>
      <c r="B2692" s="13">
        <v>691.09</v>
      </c>
    </row>
    <row r="2693" s="6" customFormat="1" spans="1:2">
      <c r="A2693" s="12">
        <f>DATE(2012,12,31)-750</f>
        <v>40524</v>
      </c>
      <c r="B2693" s="13">
        <v>713.7</v>
      </c>
    </row>
    <row r="2694" s="6" customFormat="1" spans="1:2">
      <c r="A2694" s="12">
        <f>DATE(2012,12,31)-1428</f>
        <v>39846</v>
      </c>
      <c r="B2694" s="13">
        <v>4713.25</v>
      </c>
    </row>
    <row r="2695" s="6" customFormat="1" spans="1:2">
      <c r="A2695" s="12">
        <f>DATE(2012,12,31)-1084</f>
        <v>40190</v>
      </c>
      <c r="B2695" s="13">
        <v>857.32</v>
      </c>
    </row>
    <row r="2696" spans="1:2">
      <c r="A2696" s="14">
        <f>DATE(2012,12,31)-1084</f>
        <v>40190</v>
      </c>
      <c r="B2696" s="15">
        <v>8.87</v>
      </c>
    </row>
    <row r="2697" s="6" customFormat="1" spans="1:2">
      <c r="A2697" s="12">
        <f>DATE(2012,12,31)-1134</f>
        <v>40140</v>
      </c>
      <c r="B2697" s="13">
        <v>351.06</v>
      </c>
    </row>
    <row r="2698" s="6" customFormat="1" spans="1:2">
      <c r="A2698" s="12">
        <f>DATE(2012,12,31)-1168</f>
        <v>40106</v>
      </c>
      <c r="B2698" s="13">
        <v>161.8</v>
      </c>
    </row>
    <row r="2699" s="6" customFormat="1" spans="1:2">
      <c r="A2699" s="12">
        <f>DATE(2012,12,31)-1168</f>
        <v>40106</v>
      </c>
      <c r="B2699" s="13">
        <v>64.36</v>
      </c>
    </row>
    <row r="2700" spans="1:2">
      <c r="A2700" s="14">
        <f>DATE(2012,12,31)-397</f>
        <v>40877</v>
      </c>
      <c r="B2700" s="15">
        <v>155.78</v>
      </c>
    </row>
    <row r="2701" s="6" customFormat="1" spans="1:2">
      <c r="A2701" s="12">
        <f>DATE(2012,12,31)-1082</f>
        <v>40192</v>
      </c>
      <c r="B2701" s="13">
        <v>92.02</v>
      </c>
    </row>
    <row r="2702" s="6" customFormat="1" spans="1:2">
      <c r="A2702" s="12">
        <f>DATE(2012,12,31)-1054</f>
        <v>40220</v>
      </c>
      <c r="B2702" s="13">
        <v>246.24</v>
      </c>
    </row>
    <row r="2703" s="6" customFormat="1" spans="1:2">
      <c r="A2703" s="12">
        <f>DATE(2012,12,31)-1054</f>
        <v>40220</v>
      </c>
      <c r="B2703" s="13">
        <v>78.67</v>
      </c>
    </row>
    <row r="2704" s="6" customFormat="1" spans="1:2">
      <c r="A2704" s="12">
        <f>DATE(2012,12,31)-732</f>
        <v>40542</v>
      </c>
      <c r="B2704" s="13">
        <v>5785.59</v>
      </c>
    </row>
    <row r="2705" s="6" customFormat="1" spans="1:2">
      <c r="A2705" s="12">
        <f>DATE(2012,12,31)-732</f>
        <v>40542</v>
      </c>
      <c r="B2705" s="13">
        <v>1131.93</v>
      </c>
    </row>
    <row r="2706" s="6" customFormat="1" spans="1:2">
      <c r="A2706" s="12">
        <f>DATE(2012,12,31)-732</f>
        <v>40542</v>
      </c>
      <c r="B2706" s="13">
        <v>3238.143</v>
      </c>
    </row>
    <row r="2707" s="6" customFormat="1" spans="1:2">
      <c r="A2707" s="12">
        <f>DATE(2012,12,31)-428</f>
        <v>40846</v>
      </c>
      <c r="B2707" s="13">
        <v>66.6</v>
      </c>
    </row>
    <row r="2708" s="6" customFormat="1" spans="1:2">
      <c r="A2708" s="12">
        <f>DATE(2012,12,31)-428</f>
        <v>40846</v>
      </c>
      <c r="B2708" s="13">
        <v>312.25</v>
      </c>
    </row>
    <row r="2709" spans="1:2">
      <c r="A2709" s="14">
        <f>DATE(2012,12,31)-675</f>
        <v>40599</v>
      </c>
      <c r="B2709" s="15">
        <v>7.98</v>
      </c>
    </row>
    <row r="2710" s="6" customFormat="1" spans="1:2">
      <c r="A2710" s="12">
        <f>DATE(2012,12,31)-991</f>
        <v>40283</v>
      </c>
      <c r="B2710" s="13">
        <v>260.77</v>
      </c>
    </row>
    <row r="2711" s="6" customFormat="1" spans="1:2">
      <c r="A2711" s="12">
        <f>DATE(2012,12,31)-991</f>
        <v>40283</v>
      </c>
      <c r="B2711" s="13">
        <v>2445.212</v>
      </c>
    </row>
    <row r="2712" s="6" customFormat="1" spans="1:2">
      <c r="A2712" s="12">
        <f>DATE(2012,12,31)-991</f>
        <v>40283</v>
      </c>
      <c r="B2712" s="13">
        <v>1032.0275</v>
      </c>
    </row>
    <row r="2713" s="6" customFormat="1" spans="1:2">
      <c r="A2713" s="12">
        <f>DATE(2012,12,31)-1355</f>
        <v>39919</v>
      </c>
      <c r="B2713" s="13">
        <v>14535.8</v>
      </c>
    </row>
    <row r="2714" s="6" customFormat="1" spans="1:2">
      <c r="A2714" s="12">
        <f>DATE(2012,12,31)-60</f>
        <v>41214</v>
      </c>
      <c r="B2714" s="13">
        <v>70.63</v>
      </c>
    </row>
    <row r="2715" spans="1:2">
      <c r="A2715" s="14">
        <f>DATE(2012,12,31)-375</f>
        <v>40899</v>
      </c>
      <c r="B2715" s="15">
        <v>92.31</v>
      </c>
    </row>
    <row r="2716" spans="1:2">
      <c r="A2716" s="14">
        <f>DATE(2012,12,31)-375</f>
        <v>40899</v>
      </c>
      <c r="B2716" s="15">
        <v>116.94</v>
      </c>
    </row>
    <row r="2717" s="6" customFormat="1" spans="1:2">
      <c r="A2717" s="12">
        <f>DATE(2012,12,31)-346</f>
        <v>40928</v>
      </c>
      <c r="B2717" s="13">
        <v>952.47</v>
      </c>
    </row>
    <row r="2718" s="6" customFormat="1" spans="1:2">
      <c r="A2718" s="12">
        <f>DATE(2012,12,31)-346</f>
        <v>40928</v>
      </c>
      <c r="B2718" s="13">
        <v>171.9635</v>
      </c>
    </row>
    <row r="2719" s="6" customFormat="1" spans="1:2">
      <c r="A2719" s="12">
        <f>DATE(2012,12,31)-481</f>
        <v>40793</v>
      </c>
      <c r="B2719" s="13">
        <v>67.03</v>
      </c>
    </row>
    <row r="2720" s="6" customFormat="1" spans="1:2">
      <c r="A2720" s="12">
        <f>DATE(2012,12,31)-481</f>
        <v>40793</v>
      </c>
      <c r="B2720" s="13">
        <v>140.82</v>
      </c>
    </row>
    <row r="2721" s="6" customFormat="1" spans="1:2">
      <c r="A2721" s="12">
        <f>DATE(2012,12,31)-607</f>
        <v>40667</v>
      </c>
      <c r="B2721" s="13">
        <v>375.74</v>
      </c>
    </row>
    <row r="2722" s="6" customFormat="1" spans="1:2">
      <c r="A2722" s="12">
        <f>DATE(2012,12,31)-607</f>
        <v>40667</v>
      </c>
      <c r="B2722" s="13">
        <v>1095.11</v>
      </c>
    </row>
    <row r="2723" s="6" customFormat="1" spans="1:2">
      <c r="A2723" s="12">
        <f>DATE(2012,12,31)-212</f>
        <v>41062</v>
      </c>
      <c r="B2723" s="13">
        <v>2711.14</v>
      </c>
    </row>
    <row r="2724" s="6" customFormat="1" spans="1:2">
      <c r="A2724" s="12">
        <f>DATE(2012,12,31)-212</f>
        <v>41062</v>
      </c>
      <c r="B2724" s="13">
        <v>1829.8715</v>
      </c>
    </row>
    <row r="2725" s="6" customFormat="1" spans="1:2">
      <c r="A2725" s="12">
        <f>DATE(2012,12,31)-111</f>
        <v>41163</v>
      </c>
      <c r="B2725" s="13">
        <v>125.46</v>
      </c>
    </row>
    <row r="2726" s="6" customFormat="1" spans="1:2">
      <c r="A2726" s="12">
        <f>DATE(2012,12,31)-722</f>
        <v>40552</v>
      </c>
      <c r="B2726" s="13">
        <v>381.69</v>
      </c>
    </row>
    <row r="2727" s="6" customFormat="1" spans="1:2">
      <c r="A2727" s="12">
        <f>DATE(2012,12,31)-1450</f>
        <v>39824</v>
      </c>
      <c r="B2727" s="13">
        <v>1143.45</v>
      </c>
    </row>
    <row r="2728" s="6" customFormat="1" spans="1:2">
      <c r="A2728" s="12">
        <f>DATE(2012,12,31)-869</f>
        <v>40405</v>
      </c>
      <c r="B2728" s="13">
        <v>42.31</v>
      </c>
    </row>
    <row r="2729" s="6" customFormat="1" spans="1:2">
      <c r="A2729" s="12">
        <f>DATE(2012,12,31)-869</f>
        <v>40405</v>
      </c>
      <c r="B2729" s="13">
        <v>152.67</v>
      </c>
    </row>
    <row r="2730" s="6" customFormat="1" spans="1:2">
      <c r="A2730" s="12">
        <f>DATE(2012,12,31)-871</f>
        <v>40403</v>
      </c>
      <c r="B2730" s="13">
        <v>47.99</v>
      </c>
    </row>
    <row r="2731" s="6" customFormat="1" spans="1:2">
      <c r="A2731" s="12">
        <f>DATE(2012,12,31)-871</f>
        <v>40403</v>
      </c>
      <c r="B2731" s="13">
        <v>829.617</v>
      </c>
    </row>
    <row r="2732" s="6" customFormat="1" spans="1:2">
      <c r="A2732" s="12">
        <f>DATE(2012,12,31)-1189</f>
        <v>40085</v>
      </c>
      <c r="B2732" s="13">
        <v>616.1055</v>
      </c>
    </row>
    <row r="2733" s="6" customFormat="1" spans="1:2">
      <c r="A2733" s="12">
        <f>DATE(2012,12,31)-190</f>
        <v>41084</v>
      </c>
      <c r="B2733" s="13">
        <v>89.75</v>
      </c>
    </row>
    <row r="2734" s="6" customFormat="1" spans="1:2">
      <c r="A2734" s="12">
        <f>DATE(2012,12,31)-1023</f>
        <v>40251</v>
      </c>
      <c r="B2734" s="13">
        <v>478.38</v>
      </c>
    </row>
    <row r="2735" s="6" customFormat="1" spans="1:2">
      <c r="A2735" s="12">
        <f>DATE(2012,12,31)-13</f>
        <v>41261</v>
      </c>
      <c r="B2735" s="13">
        <v>1071.77</v>
      </c>
    </row>
    <row r="2736" s="6" customFormat="1" spans="1:2">
      <c r="A2736" s="12">
        <f>DATE(2012,12,31)-13</f>
        <v>41261</v>
      </c>
      <c r="B2736" s="13">
        <v>8635.61</v>
      </c>
    </row>
    <row r="2737" s="6" customFormat="1" spans="1:2">
      <c r="A2737" s="12">
        <f>DATE(2012,12,31)-13</f>
        <v>41261</v>
      </c>
      <c r="B2737" s="13">
        <v>63.96</v>
      </c>
    </row>
    <row r="2738" s="6" customFormat="1" spans="1:2">
      <c r="A2738" s="12">
        <f>DATE(2012,12,31)-13</f>
        <v>41261</v>
      </c>
      <c r="B2738" s="13">
        <v>833</v>
      </c>
    </row>
    <row r="2739" s="6" customFormat="1" spans="1:2">
      <c r="A2739" s="12">
        <f>DATE(2012,12,31)-880</f>
        <v>40394</v>
      </c>
      <c r="B2739" s="13">
        <v>124.65</v>
      </c>
    </row>
    <row r="2740" s="6" customFormat="1" spans="1:2">
      <c r="A2740" s="12">
        <f>DATE(2012,12,31)-73</f>
        <v>41201</v>
      </c>
      <c r="B2740" s="13">
        <v>321.91</v>
      </c>
    </row>
    <row r="2741" s="6" customFormat="1" spans="1:2">
      <c r="A2741" s="12">
        <f>DATE(2012,12,31)-73</f>
        <v>41201</v>
      </c>
      <c r="B2741" s="13">
        <v>132.96</v>
      </c>
    </row>
    <row r="2742" s="6" customFormat="1" spans="1:2">
      <c r="A2742" s="12">
        <f>DATE(2012,12,31)-73</f>
        <v>41201</v>
      </c>
      <c r="B2742" s="13">
        <v>3268.7515</v>
      </c>
    </row>
    <row r="2743" s="6" customFormat="1" spans="1:2">
      <c r="A2743" s="12">
        <f>DATE(2012,12,31)-74</f>
        <v>41200</v>
      </c>
      <c r="B2743" s="13">
        <v>33.21</v>
      </c>
    </row>
    <row r="2744" s="6" customFormat="1" spans="1:2">
      <c r="A2744" s="12">
        <f>DATE(2012,12,31)-511</f>
        <v>40763</v>
      </c>
      <c r="B2744" s="13">
        <v>450.66</v>
      </c>
    </row>
    <row r="2745" s="6" customFormat="1" spans="1:2">
      <c r="A2745" s="12">
        <f>DATE(2012,12,31)-1004</f>
        <v>40270</v>
      </c>
      <c r="B2745" s="13">
        <v>1358.776</v>
      </c>
    </row>
    <row r="2746" s="6" customFormat="1" spans="1:2">
      <c r="A2746" s="12">
        <f>DATE(2012,12,31)-1035</f>
        <v>40239</v>
      </c>
      <c r="B2746" s="13">
        <v>1098.506</v>
      </c>
    </row>
    <row r="2747" s="6" customFormat="1" spans="1:2">
      <c r="A2747" s="12">
        <f>DATE(2012,12,31)-1012</f>
        <v>40262</v>
      </c>
      <c r="B2747" s="13">
        <v>167.07</v>
      </c>
    </row>
    <row r="2748" s="6" customFormat="1" spans="1:2">
      <c r="A2748" s="12">
        <f>DATE(2012,12,31)-952</f>
        <v>40322</v>
      </c>
      <c r="B2748" s="13">
        <v>8270.57</v>
      </c>
    </row>
    <row r="2749" s="6" customFormat="1" spans="1:2">
      <c r="A2749" s="12">
        <f>DATE(2012,12,31)-736</f>
        <v>40538</v>
      </c>
      <c r="B2749" s="13">
        <v>213.06</v>
      </c>
    </row>
    <row r="2750" s="6" customFormat="1" spans="1:2">
      <c r="A2750" s="12">
        <f>DATE(2012,12,31)-736</f>
        <v>40538</v>
      </c>
      <c r="B2750" s="13">
        <v>1126.488</v>
      </c>
    </row>
    <row r="2751" s="6" customFormat="1" spans="1:2">
      <c r="A2751" s="12">
        <f>DATE(2012,12,31)-736</f>
        <v>40538</v>
      </c>
      <c r="B2751" s="13">
        <v>4687.6735</v>
      </c>
    </row>
    <row r="2752" s="6" customFormat="1" spans="1:2">
      <c r="A2752" s="12">
        <f>DATE(2012,12,31)-886</f>
        <v>40388</v>
      </c>
      <c r="B2752" s="13">
        <v>4416.651</v>
      </c>
    </row>
    <row r="2753" s="6" customFormat="1" spans="1:2">
      <c r="A2753" s="12">
        <f>DATE(2012,12,31)-206</f>
        <v>41068</v>
      </c>
      <c r="B2753" s="13">
        <v>310.46</v>
      </c>
    </row>
    <row r="2754" s="6" customFormat="1" spans="1:2">
      <c r="A2754" s="12">
        <f>DATE(2012,12,31)-141</f>
        <v>41133</v>
      </c>
      <c r="B2754" s="13">
        <v>82.97</v>
      </c>
    </row>
    <row r="2755" s="6" customFormat="1" spans="1:2">
      <c r="A2755" s="12">
        <f>DATE(2012,12,31)-141</f>
        <v>41133</v>
      </c>
      <c r="B2755" s="13">
        <v>13701.35</v>
      </c>
    </row>
    <row r="2756" s="6" customFormat="1" spans="1:2">
      <c r="A2756" s="12">
        <f>DATE(2012,12,31)-452</f>
        <v>40822</v>
      </c>
      <c r="B2756" s="13">
        <v>1054.7</v>
      </c>
    </row>
    <row r="2757" s="6" customFormat="1" spans="1:2">
      <c r="A2757" s="12">
        <f>DATE(2012,12,31)-452</f>
        <v>40822</v>
      </c>
      <c r="B2757" s="13">
        <v>5349.21</v>
      </c>
    </row>
    <row r="2758" s="6" customFormat="1" spans="1:2">
      <c r="A2758" s="12">
        <f>DATE(2012,12,31)-452</f>
        <v>40822</v>
      </c>
      <c r="B2758" s="13">
        <v>4859.37</v>
      </c>
    </row>
    <row r="2759" s="6" customFormat="1" spans="1:2">
      <c r="A2759" s="12">
        <f>DATE(2012,12,31)-48</f>
        <v>41226</v>
      </c>
      <c r="B2759" s="13">
        <v>36.75</v>
      </c>
    </row>
    <row r="2760" s="6" customFormat="1" spans="1:2">
      <c r="A2760" s="12">
        <f>DATE(2012,12,31)-48</f>
        <v>41226</v>
      </c>
      <c r="B2760" s="13">
        <v>1115.2</v>
      </c>
    </row>
    <row r="2761" s="6" customFormat="1" spans="1:2">
      <c r="A2761" s="12">
        <f>DATE(2012,12,31)-1133</f>
        <v>40141</v>
      </c>
      <c r="B2761" s="13">
        <v>1959.92</v>
      </c>
    </row>
    <row r="2762" s="6" customFormat="1" spans="1:2">
      <c r="A2762" s="12">
        <f>DATE(2012,12,31)-198</f>
        <v>41076</v>
      </c>
      <c r="B2762" s="13">
        <v>97.86</v>
      </c>
    </row>
    <row r="2763" s="6" customFormat="1" spans="1:2">
      <c r="A2763" s="12">
        <f>DATE(2012,12,31)-789</f>
        <v>40485</v>
      </c>
      <c r="B2763" s="13">
        <v>3830.84</v>
      </c>
    </row>
    <row r="2764" s="6" customFormat="1" spans="1:2">
      <c r="A2764" s="12">
        <f>DATE(2012,12,31)-789</f>
        <v>40485</v>
      </c>
      <c r="B2764" s="13">
        <v>267.43</v>
      </c>
    </row>
    <row r="2765" spans="1:2">
      <c r="A2765" s="14">
        <f>DATE(2012,12,31)-1361</f>
        <v>39913</v>
      </c>
      <c r="B2765" s="15">
        <v>362.17</v>
      </c>
    </row>
    <row r="2766" s="6" customFormat="1" spans="1:2">
      <c r="A2766" s="12">
        <f>DATE(2012,12,31)-141</f>
        <v>41133</v>
      </c>
      <c r="B2766" s="13">
        <v>41.03</v>
      </c>
    </row>
    <row r="2767" s="6" customFormat="1" spans="1:2">
      <c r="A2767" s="12">
        <f>DATE(2012,12,31)-336</f>
        <v>40938</v>
      </c>
      <c r="B2767" s="13">
        <v>796.08</v>
      </c>
    </row>
    <row r="2768" s="6" customFormat="1" spans="1:2">
      <c r="A2768" s="12">
        <f>DATE(2012,12,31)-336</f>
        <v>40938</v>
      </c>
      <c r="B2768" s="13">
        <v>141.9755</v>
      </c>
    </row>
    <row r="2769" s="6" customFormat="1" spans="1:2">
      <c r="A2769" s="12">
        <f>DATE(2012,12,31)-1244</f>
        <v>40030</v>
      </c>
      <c r="B2769" s="13">
        <v>82.61</v>
      </c>
    </row>
    <row r="2770" s="6" customFormat="1" spans="1:2">
      <c r="A2770" s="12">
        <f>DATE(2012,12,31)-56</f>
        <v>41218</v>
      </c>
      <c r="B2770" s="13">
        <v>137.38</v>
      </c>
    </row>
    <row r="2771" s="6" customFormat="1" spans="1:2">
      <c r="A2771" s="12">
        <f>DATE(2012,12,31)-955</f>
        <v>40319</v>
      </c>
      <c r="B2771" s="13">
        <v>2543.95</v>
      </c>
    </row>
    <row r="2772" s="6" customFormat="1" spans="1:2">
      <c r="A2772" s="12">
        <f>DATE(2012,12,31)-757</f>
        <v>40517</v>
      </c>
      <c r="B2772" s="13">
        <v>4371.92</v>
      </c>
    </row>
    <row r="2773" s="6" customFormat="1" spans="1:2">
      <c r="A2773" s="12">
        <f>DATE(2012,12,31)-757</f>
        <v>40517</v>
      </c>
      <c r="B2773" s="13">
        <v>1745.118</v>
      </c>
    </row>
    <row r="2774" spans="1:2">
      <c r="A2774" s="14">
        <f>DATE(2012,12,31)-757</f>
        <v>40517</v>
      </c>
      <c r="B2774" s="15">
        <v>290.46</v>
      </c>
    </row>
    <row r="2775" s="6" customFormat="1" spans="1:2">
      <c r="A2775" s="12">
        <f>DATE(2012,12,31)-757</f>
        <v>40517</v>
      </c>
      <c r="B2775" s="13">
        <v>1207.4</v>
      </c>
    </row>
    <row r="2776" s="6" customFormat="1" spans="1:2">
      <c r="A2776" s="12">
        <f>DATE(2012,12,31)-1451</f>
        <v>39823</v>
      </c>
      <c r="B2776" s="13">
        <v>1009.42</v>
      </c>
    </row>
    <row r="2777" s="6" customFormat="1" spans="1:2">
      <c r="A2777" s="12">
        <f>DATE(2012,12,31)-1451</f>
        <v>39823</v>
      </c>
      <c r="B2777" s="13">
        <v>15137.11</v>
      </c>
    </row>
    <row r="2778" s="6" customFormat="1" spans="1:2">
      <c r="A2778" s="12">
        <f>DATE(2012,12,31)-1039</f>
        <v>40235</v>
      </c>
      <c r="B2778" s="13">
        <v>173.44</v>
      </c>
    </row>
    <row r="2779" s="6" customFormat="1" spans="1:2">
      <c r="A2779" s="12">
        <f>DATE(2012,12,31)-120</f>
        <v>41154</v>
      </c>
      <c r="B2779" s="13">
        <v>40.79</v>
      </c>
    </row>
    <row r="2780" s="6" customFormat="1" spans="1:2">
      <c r="A2780" s="12">
        <f>DATE(2012,12,31)-120</f>
        <v>41154</v>
      </c>
      <c r="B2780" s="13">
        <v>524.25</v>
      </c>
    </row>
    <row r="2781" s="6" customFormat="1" spans="1:2">
      <c r="A2781" s="12">
        <f>DATE(2012,12,31)-672</f>
        <v>40602</v>
      </c>
      <c r="B2781" s="13">
        <v>53.18</v>
      </c>
    </row>
    <row r="2782" s="6" customFormat="1" spans="1:2">
      <c r="A2782" s="12">
        <f>DATE(2012,12,31)-1192</f>
        <v>40082</v>
      </c>
      <c r="B2782" s="13">
        <v>247.15</v>
      </c>
    </row>
    <row r="2783" s="6" customFormat="1" spans="1:2">
      <c r="A2783" s="12">
        <f>DATE(2012,12,31)-471</f>
        <v>40803</v>
      </c>
      <c r="B2783" s="13">
        <v>789.94</v>
      </c>
    </row>
    <row r="2784" s="6" customFormat="1" spans="1:2">
      <c r="A2784" s="12">
        <f>DATE(2012,12,31)-134</f>
        <v>41140</v>
      </c>
      <c r="B2784" s="13">
        <v>6116.11</v>
      </c>
    </row>
    <row r="2785" s="6" customFormat="1" spans="1:2">
      <c r="A2785" s="12">
        <f>DATE(2012,12,31)-389</f>
        <v>40885</v>
      </c>
      <c r="B2785" s="13">
        <v>183.32</v>
      </c>
    </row>
    <row r="2786" s="6" customFormat="1" spans="1:2">
      <c r="A2786" s="12">
        <f>DATE(2012,12,31)-389</f>
        <v>40885</v>
      </c>
      <c r="B2786" s="13">
        <v>194.11</v>
      </c>
    </row>
    <row r="2787" s="6" customFormat="1" spans="1:2">
      <c r="A2787" s="12">
        <f>DATE(2012,12,31)-575</f>
        <v>40699</v>
      </c>
      <c r="B2787" s="13">
        <v>333.3</v>
      </c>
    </row>
    <row r="2788" s="6" customFormat="1" spans="1:2">
      <c r="A2788" s="12">
        <f>DATE(2012,12,31)-1054</f>
        <v>40220</v>
      </c>
      <c r="B2788" s="13">
        <v>314.93</v>
      </c>
    </row>
    <row r="2789" s="6" customFormat="1" spans="1:2">
      <c r="A2789" s="12">
        <f>DATE(2012,12,31)-1054</f>
        <v>40220</v>
      </c>
      <c r="B2789" s="13">
        <v>726.82</v>
      </c>
    </row>
    <row r="2790" s="6" customFormat="1" spans="1:2">
      <c r="A2790" s="12">
        <f>DATE(2012,12,31)-1218</f>
        <v>40056</v>
      </c>
      <c r="B2790" s="13">
        <v>279.43</v>
      </c>
    </row>
    <row r="2791" s="6" customFormat="1" spans="1:2">
      <c r="A2791" s="12">
        <f>DATE(2012,12,31)-1218</f>
        <v>40056</v>
      </c>
      <c r="B2791" s="13">
        <v>515.22</v>
      </c>
    </row>
    <row r="2792" s="6" customFormat="1" spans="1:2">
      <c r="A2792" s="12">
        <f>DATE(2012,12,31)-959</f>
        <v>40315</v>
      </c>
      <c r="B2792" s="13">
        <v>8719.69</v>
      </c>
    </row>
    <row r="2793" s="6" customFormat="1" spans="1:2">
      <c r="A2793" s="12">
        <f>DATE(2012,12,31)-660</f>
        <v>40614</v>
      </c>
      <c r="B2793" s="13">
        <v>583.56</v>
      </c>
    </row>
    <row r="2794" s="6" customFormat="1" spans="1:2">
      <c r="A2794" s="12">
        <f>DATE(2012,12,31)-660</f>
        <v>40614</v>
      </c>
      <c r="B2794" s="13">
        <v>281.47</v>
      </c>
    </row>
    <row r="2795" s="6" customFormat="1" spans="1:2">
      <c r="A2795" s="12">
        <f>DATE(2012,12,31)-1280</f>
        <v>39994</v>
      </c>
      <c r="B2795" s="13">
        <v>115.24</v>
      </c>
    </row>
    <row r="2796" s="6" customFormat="1" spans="1:2">
      <c r="A2796" s="12">
        <f>DATE(2012,12,31)-1280</f>
        <v>39994</v>
      </c>
      <c r="B2796" s="13">
        <v>9601.94</v>
      </c>
    </row>
    <row r="2797" s="6" customFormat="1" spans="1:2">
      <c r="A2797" s="12">
        <f>DATE(2012,12,31)-436</f>
        <v>40838</v>
      </c>
      <c r="B2797" s="13">
        <v>435.24</v>
      </c>
    </row>
    <row r="2798" s="6" customFormat="1" spans="1:2">
      <c r="A2798" s="12">
        <f>DATE(2012,12,31)-1422</f>
        <v>39852</v>
      </c>
      <c r="B2798" s="13">
        <v>607.42</v>
      </c>
    </row>
    <row r="2799" s="6" customFormat="1" spans="1:2">
      <c r="A2799" s="12">
        <f>DATE(2012,12,31)-1398</f>
        <v>39876</v>
      </c>
      <c r="B2799" s="13">
        <v>973.862</v>
      </c>
    </row>
    <row r="2800" s="6" customFormat="1" spans="1:2">
      <c r="A2800" s="12">
        <f>DATE(2012,12,31)-817</f>
        <v>40457</v>
      </c>
      <c r="B2800" s="13">
        <v>1624.67</v>
      </c>
    </row>
    <row r="2801" s="6" customFormat="1" spans="1:2">
      <c r="A2801" s="12">
        <f>DATE(2012,12,31)-785</f>
        <v>40489</v>
      </c>
      <c r="B2801" s="13">
        <v>82.12</v>
      </c>
    </row>
    <row r="2802" s="6" customFormat="1" spans="1:2">
      <c r="A2802" s="12">
        <f>DATE(2012,12,31)-293</f>
        <v>40981</v>
      </c>
      <c r="B2802" s="13">
        <v>194.29</v>
      </c>
    </row>
    <row r="2803" s="6" customFormat="1" spans="1:2">
      <c r="A2803" s="12">
        <f>DATE(2012,12,31)-889</f>
        <v>40385</v>
      </c>
      <c r="B2803" s="13">
        <v>124.78</v>
      </c>
    </row>
    <row r="2804" s="6" customFormat="1" spans="1:2">
      <c r="A2804" s="12">
        <f>DATE(2012,12,31)-889</f>
        <v>40385</v>
      </c>
      <c r="B2804" s="13">
        <v>123.4</v>
      </c>
    </row>
    <row r="2805" s="6" customFormat="1" spans="1:2">
      <c r="A2805" s="12">
        <f>DATE(2012,12,31)-1158</f>
        <v>40116</v>
      </c>
      <c r="B2805" s="13">
        <v>116.06</v>
      </c>
    </row>
    <row r="2806" s="6" customFormat="1" spans="1:2">
      <c r="A2806" s="12">
        <f>DATE(2012,12,31)-335</f>
        <v>40939</v>
      </c>
      <c r="B2806" s="13">
        <v>512.83</v>
      </c>
    </row>
    <row r="2807" s="6" customFormat="1" spans="1:2">
      <c r="A2807" s="12">
        <f>DATE(2012,12,31)-587</f>
        <v>40687</v>
      </c>
      <c r="B2807" s="13">
        <v>539.06</v>
      </c>
    </row>
    <row r="2808" s="6" customFormat="1" spans="1:2">
      <c r="A2808" s="12">
        <f>DATE(2012,12,31)-1321</f>
        <v>39953</v>
      </c>
      <c r="B2808" s="13">
        <v>751.52</v>
      </c>
    </row>
    <row r="2809" s="6" customFormat="1" spans="1:2">
      <c r="A2809" s="12">
        <f>DATE(2012,12,31)-1321</f>
        <v>39953</v>
      </c>
      <c r="B2809" s="13">
        <v>220.48</v>
      </c>
    </row>
    <row r="2810" s="6" customFormat="1" spans="1:2">
      <c r="A2810" s="12">
        <f>DATE(2012,12,31)-1321</f>
        <v>39953</v>
      </c>
      <c r="B2810" s="13">
        <v>1259.4535</v>
      </c>
    </row>
    <row r="2811" s="6" customFormat="1" spans="1:2">
      <c r="A2811" s="12">
        <f>DATE(2012,12,31)-1101</f>
        <v>40173</v>
      </c>
      <c r="B2811" s="13">
        <v>652.24</v>
      </c>
    </row>
    <row r="2812" s="6" customFormat="1" spans="1:2">
      <c r="A2812" s="12">
        <f>DATE(2012,12,31)-1143</f>
        <v>40131</v>
      </c>
      <c r="B2812" s="13">
        <v>473.7</v>
      </c>
    </row>
    <row r="2813" s="6" customFormat="1" spans="1:2">
      <c r="A2813" s="12">
        <f>DATE(2012,12,31)-1143</f>
        <v>40131</v>
      </c>
      <c r="B2813" s="13">
        <v>553.5625</v>
      </c>
    </row>
    <row r="2814" s="6" customFormat="1" spans="1:2">
      <c r="A2814" s="12">
        <f>DATE(2012,12,31)-53</f>
        <v>41221</v>
      </c>
      <c r="B2814" s="13">
        <v>452.39</v>
      </c>
    </row>
    <row r="2815" s="6" customFormat="1" spans="1:2">
      <c r="A2815" s="12">
        <f>DATE(2012,12,31)-53</f>
        <v>41221</v>
      </c>
      <c r="B2815" s="13">
        <v>117.13</v>
      </c>
    </row>
    <row r="2816" s="6" customFormat="1" spans="1:2">
      <c r="A2816" s="12">
        <f>DATE(2012,12,31)-1282</f>
        <v>39992</v>
      </c>
      <c r="B2816" s="13">
        <v>160.27</v>
      </c>
    </row>
    <row r="2817" s="6" customFormat="1" spans="1:2">
      <c r="A2817" s="12">
        <f>DATE(2012,12,31)-1282</f>
        <v>39992</v>
      </c>
      <c r="B2817" s="13">
        <v>4601.02</v>
      </c>
    </row>
    <row r="2818" s="6" customFormat="1" spans="1:2">
      <c r="A2818" s="12">
        <f>DATE(2012,12,31)-1282</f>
        <v>39992</v>
      </c>
      <c r="B2818" s="13">
        <v>89.89</v>
      </c>
    </row>
    <row r="2819" s="6" customFormat="1" spans="1:2">
      <c r="A2819" s="12">
        <f>DATE(2012,12,31)-912</f>
        <v>40362</v>
      </c>
      <c r="B2819" s="13">
        <v>4043.29</v>
      </c>
    </row>
    <row r="2820" s="6" customFormat="1" spans="1:2">
      <c r="A2820" s="12">
        <f>DATE(2012,12,31)-912</f>
        <v>40362</v>
      </c>
      <c r="B2820" s="13">
        <v>870.48</v>
      </c>
    </row>
    <row r="2821" s="6" customFormat="1" spans="1:2">
      <c r="A2821" s="12">
        <f>DATE(2012,12,31)-103</f>
        <v>41171</v>
      </c>
      <c r="B2821" s="13">
        <v>76.06</v>
      </c>
    </row>
    <row r="2822" s="6" customFormat="1" spans="1:2">
      <c r="A2822" s="12">
        <f>DATE(2012,12,31)-433</f>
        <v>40841</v>
      </c>
      <c r="B2822" s="13">
        <v>396.6</v>
      </c>
    </row>
    <row r="2823" s="6" customFormat="1" spans="1:2">
      <c r="A2823" s="12">
        <f>DATE(2012,12,31)-433</f>
        <v>40841</v>
      </c>
      <c r="B2823" s="13">
        <v>6902.51</v>
      </c>
    </row>
    <row r="2824" s="6" customFormat="1" spans="1:2">
      <c r="A2824" s="12">
        <f>DATE(2012,12,31)-1038</f>
        <v>40236</v>
      </c>
      <c r="B2824" s="13">
        <v>41.23</v>
      </c>
    </row>
    <row r="2825" s="6" customFormat="1" spans="1:2">
      <c r="A2825" s="12">
        <f>DATE(2012,12,31)-1238</f>
        <v>40036</v>
      </c>
      <c r="B2825" s="13">
        <v>7477.78</v>
      </c>
    </row>
    <row r="2826" s="6" customFormat="1" spans="1:2">
      <c r="A2826" s="12">
        <f>DATE(2012,12,31)-1238</f>
        <v>40036</v>
      </c>
      <c r="B2826" s="13">
        <v>270.39</v>
      </c>
    </row>
    <row r="2827" s="6" customFormat="1" spans="1:2">
      <c r="A2827" s="12">
        <f>DATE(2012,12,31)-1238</f>
        <v>40036</v>
      </c>
      <c r="B2827" s="13">
        <v>201.35</v>
      </c>
    </row>
    <row r="2828" s="6" customFormat="1" spans="1:2">
      <c r="A2828" s="12">
        <f>DATE(2012,12,31)-1218</f>
        <v>40056</v>
      </c>
      <c r="B2828" s="13">
        <v>1271.12</v>
      </c>
    </row>
    <row r="2829" spans="1:2">
      <c r="A2829" s="14">
        <f>DATE(2012,12,31)-1218</f>
        <v>40056</v>
      </c>
      <c r="B2829" s="15">
        <v>58.5</v>
      </c>
    </row>
    <row r="2830" s="6" customFormat="1" spans="1:2">
      <c r="A2830" s="12">
        <f>DATE(2012,12,31)-1435</f>
        <v>39839</v>
      </c>
      <c r="B2830" s="13">
        <v>15.38</v>
      </c>
    </row>
    <row r="2831" s="6" customFormat="1" spans="1:2">
      <c r="A2831" s="12">
        <f>DATE(2012,12,31)-1435</f>
        <v>39839</v>
      </c>
      <c r="B2831" s="13">
        <v>447.33</v>
      </c>
    </row>
    <row r="2832" s="6" customFormat="1" spans="1:2">
      <c r="A2832" s="12">
        <f>DATE(2012,12,31)-517</f>
        <v>40757</v>
      </c>
      <c r="B2832" s="13">
        <v>104.82</v>
      </c>
    </row>
    <row r="2833" spans="1:2">
      <c r="A2833" s="14">
        <f>DATE(2012,12,31)-1093</f>
        <v>40181</v>
      </c>
      <c r="B2833" s="15">
        <v>1216.5</v>
      </c>
    </row>
    <row r="2834" s="6" customFormat="1" spans="1:2">
      <c r="A2834" s="12">
        <f>DATE(2012,12,31)-24</f>
        <v>41250</v>
      </c>
      <c r="B2834" s="13">
        <v>6878.55</v>
      </c>
    </row>
    <row r="2835" spans="1:2">
      <c r="A2835" s="14">
        <f>DATE(2012,12,31)-220</f>
        <v>41054</v>
      </c>
      <c r="B2835" s="15">
        <v>53.72</v>
      </c>
    </row>
    <row r="2836" spans="1:2">
      <c r="A2836" s="14">
        <f>DATE(2012,12,31)-220</f>
        <v>41054</v>
      </c>
      <c r="B2836" s="15">
        <v>1809.21</v>
      </c>
    </row>
    <row r="2837" s="6" customFormat="1" spans="1:2">
      <c r="A2837" s="12">
        <f>DATE(2012,12,31)-220</f>
        <v>41054</v>
      </c>
      <c r="B2837" s="13">
        <v>9150.09</v>
      </c>
    </row>
    <row r="2838" s="6" customFormat="1" spans="1:2">
      <c r="A2838" s="12">
        <f>DATE(2012,12,31)-662</f>
        <v>40612</v>
      </c>
      <c r="B2838" s="13">
        <v>450.39</v>
      </c>
    </row>
    <row r="2839" s="6" customFormat="1" spans="1:2">
      <c r="A2839" s="12">
        <f>DATE(2012,12,31)-662</f>
        <v>40612</v>
      </c>
      <c r="B2839" s="13">
        <v>1193.1195</v>
      </c>
    </row>
    <row r="2840" s="6" customFormat="1" spans="1:2">
      <c r="A2840" s="12">
        <f>DATE(2012,12,31)-917</f>
        <v>40357</v>
      </c>
      <c r="B2840" s="13">
        <v>381.1995</v>
      </c>
    </row>
    <row r="2841" spans="1:2">
      <c r="A2841" s="14">
        <f>DATE(2012,12,31)-1432</f>
        <v>39842</v>
      </c>
      <c r="B2841" s="15">
        <v>16147.61</v>
      </c>
    </row>
    <row r="2842" s="6" customFormat="1" spans="1:2">
      <c r="A2842" s="12">
        <f>DATE(2012,12,31)-1432</f>
        <v>39842</v>
      </c>
      <c r="B2842" s="13">
        <v>1042.63</v>
      </c>
    </row>
    <row r="2843" s="6" customFormat="1" spans="1:2">
      <c r="A2843" s="12">
        <f>DATE(2012,12,31)-532</f>
        <v>40742</v>
      </c>
      <c r="B2843" s="13">
        <v>4650.07</v>
      </c>
    </row>
    <row r="2844" spans="1:2">
      <c r="A2844" s="14">
        <f>DATE(2012,12,31)-532</f>
        <v>40742</v>
      </c>
      <c r="B2844" s="15">
        <v>497.52</v>
      </c>
    </row>
    <row r="2845" s="6" customFormat="1" spans="1:2">
      <c r="A2845" s="12">
        <f>DATE(2012,12,31)-1432</f>
        <v>39842</v>
      </c>
      <c r="B2845" s="13">
        <v>1122.6375</v>
      </c>
    </row>
    <row r="2846" spans="1:2">
      <c r="A2846" s="14">
        <f>DATE(2012,12,31)-667</f>
        <v>40607</v>
      </c>
      <c r="B2846" s="15">
        <v>306.3</v>
      </c>
    </row>
    <row r="2847" spans="1:2">
      <c r="A2847" s="14">
        <f>DATE(2012,12,31)-667</f>
        <v>40607</v>
      </c>
      <c r="B2847" s="15">
        <v>163.98</v>
      </c>
    </row>
    <row r="2848" s="6" customFormat="1" spans="1:2">
      <c r="A2848" s="12">
        <f>DATE(2012,12,31)-1273</f>
        <v>40001</v>
      </c>
      <c r="B2848" s="13">
        <v>42.27</v>
      </c>
    </row>
    <row r="2849" s="6" customFormat="1" spans="1:2">
      <c r="A2849" s="12">
        <f>DATE(2012,12,31)-838</f>
        <v>40436</v>
      </c>
      <c r="B2849" s="13">
        <v>116.63</v>
      </c>
    </row>
    <row r="2850" s="6" customFormat="1" spans="1:2">
      <c r="A2850" s="12">
        <f>DATE(2012,12,31)-1183</f>
        <v>40091</v>
      </c>
      <c r="B2850" s="13">
        <v>8252.361</v>
      </c>
    </row>
    <row r="2851" s="6" customFormat="1" spans="1:2">
      <c r="A2851" s="12">
        <f>DATE(2012,12,31)-1183</f>
        <v>40091</v>
      </c>
      <c r="B2851" s="13">
        <v>2205.84</v>
      </c>
    </row>
    <row r="2852" s="6" customFormat="1" spans="1:2">
      <c r="A2852" s="12">
        <f>DATE(2012,12,31)-1361</f>
        <v>39913</v>
      </c>
      <c r="B2852" s="13">
        <v>124.19</v>
      </c>
    </row>
    <row r="2853" s="6" customFormat="1" spans="1:2">
      <c r="A2853" s="12">
        <f>DATE(2012,12,31)-814</f>
        <v>40460</v>
      </c>
      <c r="B2853" s="13">
        <v>361.94</v>
      </c>
    </row>
    <row r="2854" s="6" customFormat="1" spans="1:2">
      <c r="A2854" s="12">
        <f>DATE(2012,12,31)-814</f>
        <v>40460</v>
      </c>
      <c r="B2854" s="13">
        <v>1276.04</v>
      </c>
    </row>
    <row r="2855" s="6" customFormat="1" spans="1:2">
      <c r="A2855" s="12">
        <f>DATE(2012,12,31)-814</f>
        <v>40460</v>
      </c>
      <c r="B2855" s="13">
        <v>2894.68</v>
      </c>
    </row>
    <row r="2856" s="6" customFormat="1" spans="1:2">
      <c r="A2856" s="12">
        <f>DATE(2012,12,31)-1449</f>
        <v>39825</v>
      </c>
      <c r="B2856" s="13">
        <v>1030.09</v>
      </c>
    </row>
    <row r="2857" s="6" customFormat="1" spans="1:2">
      <c r="A2857" s="12">
        <f>DATE(2012,12,31)-1056</f>
        <v>40218</v>
      </c>
      <c r="B2857" s="13">
        <v>611.68</v>
      </c>
    </row>
    <row r="2858" s="6" customFormat="1" spans="1:2">
      <c r="A2858" s="12">
        <f>DATE(2012,12,31)-91</f>
        <v>41183</v>
      </c>
      <c r="B2858" s="13">
        <v>1434.086</v>
      </c>
    </row>
    <row r="2859" s="6" customFormat="1" spans="1:2">
      <c r="A2859" s="12">
        <f>DATE(2012,12,31)-1323</f>
        <v>39951</v>
      </c>
      <c r="B2859" s="13">
        <v>3596.36</v>
      </c>
    </row>
    <row r="2860" s="6" customFormat="1" spans="1:2">
      <c r="A2860" s="12">
        <f>DATE(2012,12,31)-260</f>
        <v>41014</v>
      </c>
      <c r="B2860" s="13">
        <v>151.09</v>
      </c>
    </row>
    <row r="2861" s="6" customFormat="1" spans="1:2">
      <c r="A2861" s="12">
        <f>DATE(2012,12,31)-226</f>
        <v>41048</v>
      </c>
      <c r="B2861" s="13">
        <v>135.2</v>
      </c>
    </row>
    <row r="2862" s="6" customFormat="1" spans="1:2">
      <c r="A2862" s="12">
        <f>DATE(2012,12,31)-226</f>
        <v>41048</v>
      </c>
      <c r="B2862" s="13">
        <v>1078.98</v>
      </c>
    </row>
    <row r="2863" s="6" customFormat="1" spans="1:2">
      <c r="A2863" s="12">
        <f>DATE(2012,12,31)-642</f>
        <v>40632</v>
      </c>
      <c r="B2863" s="13">
        <v>1204.0845</v>
      </c>
    </row>
    <row r="2864" s="6" customFormat="1" spans="1:2">
      <c r="A2864" s="12">
        <f>DATE(2012,12,31)-754</f>
        <v>40520</v>
      </c>
      <c r="B2864" s="13">
        <v>17717.34</v>
      </c>
    </row>
    <row r="2865" s="6" customFormat="1" spans="1:2">
      <c r="A2865" s="12">
        <f>DATE(2012,12,31)-39</f>
        <v>41235</v>
      </c>
      <c r="B2865" s="13">
        <v>43.97</v>
      </c>
    </row>
    <row r="2866" s="6" customFormat="1" spans="1:2">
      <c r="A2866" s="12">
        <f>DATE(2012,12,31)-870</f>
        <v>40404</v>
      </c>
      <c r="B2866" s="13">
        <v>4976.6</v>
      </c>
    </row>
    <row r="2867" s="6" customFormat="1" spans="1:2">
      <c r="A2867" s="12">
        <f>DATE(2012,12,31)-1055</f>
        <v>40219</v>
      </c>
      <c r="B2867" s="13">
        <v>5.63</v>
      </c>
    </row>
    <row r="2868" s="6" customFormat="1" spans="1:2">
      <c r="A2868" s="12">
        <f>DATE(2012,12,31)-1055</f>
        <v>40219</v>
      </c>
      <c r="B2868" s="13">
        <v>16.48</v>
      </c>
    </row>
    <row r="2869" s="6" customFormat="1" spans="1:2">
      <c r="A2869" s="12">
        <f>DATE(2012,12,31)-1055</f>
        <v>40219</v>
      </c>
      <c r="B2869" s="13">
        <v>15655.24</v>
      </c>
    </row>
    <row r="2870" s="6" customFormat="1" spans="1:2">
      <c r="A2870" s="12">
        <f>DATE(2012,12,31)-1268</f>
        <v>40006</v>
      </c>
      <c r="B2870" s="13">
        <v>5583.27</v>
      </c>
    </row>
    <row r="2871" s="6" customFormat="1" spans="1:2">
      <c r="A2871" s="12">
        <f>DATE(2012,12,31)-1238</f>
        <v>40036</v>
      </c>
      <c r="B2871" s="13">
        <v>16.6</v>
      </c>
    </row>
    <row r="2872" s="6" customFormat="1" spans="1:2">
      <c r="A2872" s="12">
        <f>DATE(2012,12,31)-1238</f>
        <v>40036</v>
      </c>
      <c r="B2872" s="13">
        <v>25.1</v>
      </c>
    </row>
    <row r="2873" s="6" customFormat="1" spans="1:2">
      <c r="A2873" s="12">
        <f>DATE(2012,12,31)-1128</f>
        <v>40146</v>
      </c>
      <c r="B2873" s="13">
        <v>180.7</v>
      </c>
    </row>
    <row r="2874" s="6" customFormat="1" spans="1:2">
      <c r="A2874" s="12">
        <f>DATE(2012,12,31)-1128</f>
        <v>40146</v>
      </c>
      <c r="B2874" s="13">
        <v>67.4</v>
      </c>
    </row>
    <row r="2875" s="6" customFormat="1" spans="1:2">
      <c r="A2875" s="12">
        <f>DATE(2012,12,31)-1442</f>
        <v>39832</v>
      </c>
      <c r="B2875" s="13">
        <v>98.66</v>
      </c>
    </row>
    <row r="2876" s="6" customFormat="1" spans="1:2">
      <c r="A2876" s="12">
        <f>DATE(2012,12,31)-1442</f>
        <v>39832</v>
      </c>
      <c r="B2876" s="13">
        <v>2215.96</v>
      </c>
    </row>
    <row r="2877" s="6" customFormat="1" spans="1:2">
      <c r="A2877" s="12">
        <f>DATE(2012,12,31)-372</f>
        <v>40902</v>
      </c>
      <c r="B2877" s="13">
        <v>1410.93</v>
      </c>
    </row>
    <row r="2878" s="6" customFormat="1" spans="1:2">
      <c r="A2878" s="12">
        <f>DATE(2012,12,31)-372</f>
        <v>40902</v>
      </c>
      <c r="B2878" s="13">
        <v>3364.248</v>
      </c>
    </row>
    <row r="2879" s="6" customFormat="1" spans="1:2">
      <c r="A2879" s="12">
        <f>DATE(2012,12,31)-793</f>
        <v>40481</v>
      </c>
      <c r="B2879" s="13">
        <v>1711.02</v>
      </c>
    </row>
    <row r="2880" s="6" customFormat="1" spans="1:2">
      <c r="A2880" s="12">
        <f>DATE(2012,12,31)-382</f>
        <v>40892</v>
      </c>
      <c r="B2880" s="13">
        <v>231.21</v>
      </c>
    </row>
    <row r="2881" s="6" customFormat="1" spans="1:2">
      <c r="A2881" s="12">
        <f>DATE(2012,12,31)-1397</f>
        <v>39877</v>
      </c>
      <c r="B2881" s="13">
        <v>479.96</v>
      </c>
    </row>
    <row r="2882" s="6" customFormat="1" spans="1:2">
      <c r="A2882" s="12">
        <f>DATE(2012,12,31)-401</f>
        <v>40873</v>
      </c>
      <c r="B2882" s="13">
        <v>4393.75</v>
      </c>
    </row>
    <row r="2883" s="6" customFormat="1" spans="1:2">
      <c r="A2883" s="12">
        <f>DATE(2012,12,31)-721</f>
        <v>40553</v>
      </c>
      <c r="B2883" s="13">
        <v>69.98</v>
      </c>
    </row>
    <row r="2884" s="6" customFormat="1" spans="1:2">
      <c r="A2884" s="12">
        <f>DATE(2012,12,31)-721</f>
        <v>40553</v>
      </c>
      <c r="B2884" s="13">
        <v>418.34</v>
      </c>
    </row>
    <row r="2885" s="6" customFormat="1" spans="1:2">
      <c r="A2885" s="12">
        <f>DATE(2012,12,31)-721</f>
        <v>40553</v>
      </c>
      <c r="B2885" s="13">
        <v>17.7</v>
      </c>
    </row>
    <row r="2886" s="6" customFormat="1" spans="1:2">
      <c r="A2886" s="12">
        <f>DATE(2012,12,31)-721</f>
        <v>40553</v>
      </c>
      <c r="B2886" s="13">
        <v>45.61</v>
      </c>
    </row>
    <row r="2887" s="6" customFormat="1" spans="1:2">
      <c r="A2887" s="12">
        <f>DATE(2012,12,31)-163</f>
        <v>41111</v>
      </c>
      <c r="B2887" s="13">
        <v>466.9475</v>
      </c>
    </row>
    <row r="2888" s="6" customFormat="1" spans="1:2">
      <c r="A2888" s="12">
        <f>DATE(2012,12,31)-163</f>
        <v>41111</v>
      </c>
      <c r="B2888" s="13">
        <v>6152.52</v>
      </c>
    </row>
    <row r="2889" s="6" customFormat="1" spans="1:2">
      <c r="A2889" s="12">
        <f>DATE(2012,12,31)-885</f>
        <v>40389</v>
      </c>
      <c r="B2889" s="13">
        <v>88.7</v>
      </c>
    </row>
    <row r="2890" s="6" customFormat="1" spans="1:2">
      <c r="A2890" s="12">
        <f>DATE(2012,12,31)-885</f>
        <v>40389</v>
      </c>
      <c r="B2890" s="13">
        <v>105.89</v>
      </c>
    </row>
    <row r="2891" s="6" customFormat="1" spans="1:2">
      <c r="A2891" s="12">
        <f>DATE(2012,12,31)-1361</f>
        <v>39913</v>
      </c>
      <c r="B2891" s="13">
        <v>20.17</v>
      </c>
    </row>
    <row r="2892" s="6" customFormat="1" spans="1:2">
      <c r="A2892" s="12">
        <f>DATE(2012,12,31)-1361</f>
        <v>39913</v>
      </c>
      <c r="B2892" s="13">
        <v>235.98</v>
      </c>
    </row>
    <row r="2893" s="6" customFormat="1" spans="1:2">
      <c r="A2893" s="12">
        <f>DATE(2012,12,31)-391</f>
        <v>40883</v>
      </c>
      <c r="B2893" s="13">
        <v>251.45</v>
      </c>
    </row>
    <row r="2894" s="6" customFormat="1" spans="1:2">
      <c r="A2894" s="12">
        <f>DATE(2012,12,31)-814</f>
        <v>40460</v>
      </c>
      <c r="B2894" s="13">
        <v>1609.19</v>
      </c>
    </row>
    <row r="2895" s="6" customFormat="1" spans="1:2">
      <c r="A2895" s="12">
        <f>DATE(2012,12,31)-428</f>
        <v>40846</v>
      </c>
      <c r="B2895" s="13">
        <v>1756.593</v>
      </c>
    </row>
    <row r="2896" spans="1:2">
      <c r="A2896" s="14">
        <f>DATE(2012,12,31)-994</f>
        <v>40280</v>
      </c>
      <c r="B2896" s="15">
        <v>495.1</v>
      </c>
    </row>
    <row r="2897" s="6" customFormat="1" spans="1:2">
      <c r="A2897" s="12">
        <f>DATE(2012,12,31)-768</f>
        <v>40506</v>
      </c>
      <c r="B2897" s="13">
        <v>1978.3665</v>
      </c>
    </row>
    <row r="2898" s="6" customFormat="1" spans="1:2">
      <c r="A2898" s="12">
        <f>DATE(2012,12,31)-1321</f>
        <v>39953</v>
      </c>
      <c r="B2898" s="13">
        <v>442.99</v>
      </c>
    </row>
    <row r="2899" s="6" customFormat="1" spans="1:2">
      <c r="A2899" s="12">
        <f>DATE(2012,12,31)-155</f>
        <v>41119</v>
      </c>
      <c r="B2899" s="13">
        <v>123.26</v>
      </c>
    </row>
    <row r="2900" s="6" customFormat="1" spans="1:2">
      <c r="A2900" s="12">
        <f>DATE(2012,12,31)-127</f>
        <v>41147</v>
      </c>
      <c r="B2900" s="13">
        <v>2079.474</v>
      </c>
    </row>
    <row r="2901" s="6" customFormat="1" spans="1:2">
      <c r="A2901" s="12">
        <f>DATE(2012,12,31)-1076</f>
        <v>40198</v>
      </c>
      <c r="B2901" s="13">
        <v>1253.89</v>
      </c>
    </row>
    <row r="2902" s="6" customFormat="1" spans="1:2">
      <c r="A2902" s="12">
        <f>DATE(2012,12,31)-409</f>
        <v>40865</v>
      </c>
      <c r="B2902" s="13">
        <v>195.96</v>
      </c>
    </row>
    <row r="2903" s="6" customFormat="1" spans="1:2">
      <c r="A2903" s="12">
        <f>DATE(2012,12,31)-1082</f>
        <v>40192</v>
      </c>
      <c r="B2903" s="13">
        <v>6607.92</v>
      </c>
    </row>
    <row r="2904" s="6" customFormat="1" spans="1:2">
      <c r="A2904" s="12">
        <f>DATE(2012,12,31)-276</f>
        <v>40998</v>
      </c>
      <c r="B2904" s="13">
        <v>629.5865</v>
      </c>
    </row>
    <row r="2905" s="6" customFormat="1" spans="1:2">
      <c r="A2905" s="12">
        <f>DATE(2012,12,31)-1107</f>
        <v>40167</v>
      </c>
      <c r="B2905" s="13">
        <v>2315.11</v>
      </c>
    </row>
    <row r="2906" s="6" customFormat="1" spans="1:2">
      <c r="A2906" s="12">
        <f>DATE(2012,12,31)-1107</f>
        <v>40167</v>
      </c>
      <c r="B2906" s="13">
        <v>1264.2305</v>
      </c>
    </row>
    <row r="2907" s="6" customFormat="1" spans="1:2">
      <c r="A2907" s="12">
        <f>DATE(2012,12,31)-835</f>
        <v>40439</v>
      </c>
      <c r="B2907" s="13">
        <v>39.42</v>
      </c>
    </row>
    <row r="2908" s="6" customFormat="1" spans="1:2">
      <c r="A2908" s="12">
        <f>DATE(2012,12,31)-835</f>
        <v>40439</v>
      </c>
      <c r="B2908" s="13">
        <v>801.44</v>
      </c>
    </row>
    <row r="2909" s="6" customFormat="1" spans="1:2">
      <c r="A2909" s="12">
        <f>DATE(2012,12,31)-835</f>
        <v>40439</v>
      </c>
      <c r="B2909" s="13">
        <v>1194.06</v>
      </c>
    </row>
    <row r="2910" s="6" customFormat="1" spans="1:2">
      <c r="A2910" s="12">
        <f>DATE(2012,12,31)-657</f>
        <v>40617</v>
      </c>
      <c r="B2910" s="13">
        <v>28664.52</v>
      </c>
    </row>
    <row r="2911" s="6" customFormat="1" spans="1:2">
      <c r="A2911" s="12">
        <f>DATE(2012,12,31)-657</f>
        <v>40617</v>
      </c>
      <c r="B2911" s="13">
        <v>635.7405</v>
      </c>
    </row>
    <row r="2912" s="6" customFormat="1" spans="1:2">
      <c r="A2912" s="12">
        <f>DATE(2012,12,31)-279</f>
        <v>40995</v>
      </c>
      <c r="B2912" s="13">
        <v>5817.88</v>
      </c>
    </row>
    <row r="2913" s="6" customFormat="1" spans="1:2">
      <c r="A2913" s="12">
        <f>DATE(2012,12,31)-734</f>
        <v>40540</v>
      </c>
      <c r="B2913" s="13">
        <v>195.49</v>
      </c>
    </row>
    <row r="2914" s="6" customFormat="1" spans="1:2">
      <c r="A2914" s="12">
        <f>DATE(2012,12,31)-842</f>
        <v>40432</v>
      </c>
      <c r="B2914" s="13">
        <v>553.02</v>
      </c>
    </row>
    <row r="2915" s="6" customFormat="1" spans="1:2">
      <c r="A2915" s="12">
        <f>DATE(2012,12,31)-207</f>
        <v>41067</v>
      </c>
      <c r="B2915" s="13">
        <v>437.86</v>
      </c>
    </row>
    <row r="2916" s="6" customFormat="1" spans="1:2">
      <c r="A2916" s="12">
        <f>DATE(2012,12,31)-697</f>
        <v>40577</v>
      </c>
      <c r="B2916" s="13">
        <v>1103.67</v>
      </c>
    </row>
    <row r="2917" s="6" customFormat="1" spans="1:2">
      <c r="A2917" s="12">
        <f>DATE(2012,12,31)-626</f>
        <v>40648</v>
      </c>
      <c r="B2917" s="13">
        <v>377.02</v>
      </c>
    </row>
    <row r="2918" s="6" customFormat="1" spans="1:2">
      <c r="A2918" s="12">
        <f>DATE(2012,12,31)-626</f>
        <v>40648</v>
      </c>
      <c r="B2918" s="13">
        <v>7339.24</v>
      </c>
    </row>
    <row r="2919" s="6" customFormat="1" spans="1:2">
      <c r="A2919" s="12">
        <f>DATE(2012,12,31)-522</f>
        <v>40752</v>
      </c>
      <c r="B2919" s="13">
        <v>559.75</v>
      </c>
    </row>
    <row r="2920" spans="1:2">
      <c r="A2920" s="14">
        <f>DATE(2012,12,31)-1115</f>
        <v>40159</v>
      </c>
      <c r="B2920" s="15">
        <v>270.73</v>
      </c>
    </row>
    <row r="2921" spans="1:2">
      <c r="A2921" s="14">
        <f>DATE(2012,12,31)-1202</f>
        <v>40072</v>
      </c>
      <c r="B2921" s="15">
        <v>20175.48</v>
      </c>
    </row>
    <row r="2922" s="6" customFormat="1" spans="1:2">
      <c r="A2922" s="12">
        <f>DATE(2012,12,31)-674</f>
        <v>40600</v>
      </c>
      <c r="B2922" s="13">
        <v>155.17</v>
      </c>
    </row>
    <row r="2923" spans="1:2">
      <c r="A2923" s="14">
        <f>DATE(2012,12,31)-695</f>
        <v>40579</v>
      </c>
      <c r="B2923" s="15">
        <v>81.78</v>
      </c>
    </row>
    <row r="2924" s="6" customFormat="1" spans="1:2">
      <c r="A2924" s="12">
        <f>DATE(2012,12,31)-573</f>
        <v>40701</v>
      </c>
      <c r="B2924" s="13">
        <v>20.28</v>
      </c>
    </row>
    <row r="2925" s="6" customFormat="1" spans="1:2">
      <c r="A2925" s="12">
        <f>DATE(2012,12,31)-467</f>
        <v>40807</v>
      </c>
      <c r="B2925" s="13">
        <v>21046.74</v>
      </c>
    </row>
    <row r="2926" s="6" customFormat="1" spans="1:2">
      <c r="A2926" s="12">
        <f>DATE(2012,12,31)-1313</f>
        <v>39961</v>
      </c>
      <c r="B2926" s="13">
        <v>1062.69</v>
      </c>
    </row>
    <row r="2927" s="6" customFormat="1" spans="1:2">
      <c r="A2927" s="12">
        <f>DATE(2012,12,31)-47</f>
        <v>41227</v>
      </c>
      <c r="B2927" s="13">
        <v>7235.83</v>
      </c>
    </row>
    <row r="2928" s="6" customFormat="1" spans="1:2">
      <c r="A2928" s="12">
        <f>DATE(2012,12,31)-9</f>
        <v>41265</v>
      </c>
      <c r="B2928" s="13">
        <v>476.31</v>
      </c>
    </row>
    <row r="2929" s="6" customFormat="1" spans="1:2">
      <c r="A2929" s="12">
        <f>DATE(2012,12,31)-1427</f>
        <v>39847</v>
      </c>
      <c r="B2929" s="13">
        <v>181.39</v>
      </c>
    </row>
    <row r="2930" s="6" customFormat="1" spans="1:2">
      <c r="A2930" s="12">
        <f>DATE(2012,12,31)-1427</f>
        <v>39847</v>
      </c>
      <c r="B2930" s="13">
        <v>846.0815</v>
      </c>
    </row>
    <row r="2931" s="6" customFormat="1" spans="1:2">
      <c r="A2931" s="12">
        <f>DATE(2012,12,31)-291</f>
        <v>40983</v>
      </c>
      <c r="B2931" s="13">
        <v>317.95</v>
      </c>
    </row>
    <row r="2932" s="6" customFormat="1" spans="1:2">
      <c r="A2932" s="12">
        <f>DATE(2012,12,31)-291</f>
        <v>40983</v>
      </c>
      <c r="B2932" s="13">
        <v>435.29</v>
      </c>
    </row>
    <row r="2933" s="6" customFormat="1" spans="1:2">
      <c r="A2933" s="12">
        <f>DATE(2012,12,31)-834</f>
        <v>40440</v>
      </c>
      <c r="B2933" s="13">
        <v>1082.8</v>
      </c>
    </row>
    <row r="2934" s="6" customFormat="1" spans="1:2">
      <c r="A2934" s="12">
        <f>DATE(2012,12,31)-834</f>
        <v>40440</v>
      </c>
      <c r="B2934" s="13">
        <v>1260.2015</v>
      </c>
    </row>
    <row r="2935" s="6" customFormat="1" spans="1:2">
      <c r="A2935" s="12">
        <f>DATE(2012,12,31)-258</f>
        <v>41016</v>
      </c>
      <c r="B2935" s="13">
        <v>455.08</v>
      </c>
    </row>
    <row r="2936" s="6" customFormat="1" spans="1:2">
      <c r="A2936" s="12">
        <f>DATE(2012,12,31)-912</f>
        <v>40362</v>
      </c>
      <c r="B2936" s="13">
        <v>54.78</v>
      </c>
    </row>
    <row r="2937" s="6" customFormat="1" spans="1:2">
      <c r="A2937" s="12">
        <f>DATE(2012,12,31)-912</f>
        <v>40362</v>
      </c>
      <c r="B2937" s="13">
        <v>304.83</v>
      </c>
    </row>
    <row r="2938" s="6" customFormat="1" spans="1:2">
      <c r="A2938" s="12">
        <f>DATE(2012,12,31)-1325</f>
        <v>39949</v>
      </c>
      <c r="B2938" s="13">
        <v>280.39</v>
      </c>
    </row>
    <row r="2939" spans="1:2">
      <c r="A2939" s="14">
        <f>DATE(2012,12,31)-1155</f>
        <v>40119</v>
      </c>
      <c r="B2939" s="15">
        <v>56.22</v>
      </c>
    </row>
    <row r="2940" spans="1:2">
      <c r="A2940" s="14">
        <f>DATE(2012,12,31)-1155</f>
        <v>40119</v>
      </c>
      <c r="B2940" s="15">
        <v>107.96</v>
      </c>
    </row>
    <row r="2941" s="6" customFormat="1" spans="1:2">
      <c r="A2941" s="12">
        <f>DATE(2012,12,31)-1155</f>
        <v>40119</v>
      </c>
      <c r="B2941" s="13">
        <v>3169.992</v>
      </c>
    </row>
    <row r="2942" s="6" customFormat="1" spans="1:2">
      <c r="A2942" s="12">
        <f>DATE(2012,12,31)-911</f>
        <v>40363</v>
      </c>
      <c r="B2942" s="13">
        <v>1384.34</v>
      </c>
    </row>
    <row r="2943" s="6" customFormat="1" spans="1:2">
      <c r="A2943" s="12">
        <f>DATE(2012,12,31)-977</f>
        <v>40297</v>
      </c>
      <c r="B2943" s="13">
        <v>167.53</v>
      </c>
    </row>
    <row r="2944" s="6" customFormat="1" spans="1:2">
      <c r="A2944" s="12">
        <f>DATE(2012,12,31)-977</f>
        <v>40297</v>
      </c>
      <c r="B2944" s="13">
        <v>2361.1</v>
      </c>
    </row>
    <row r="2945" s="6" customFormat="1" spans="1:2">
      <c r="A2945" s="12">
        <f>DATE(2012,12,31)-977</f>
        <v>40297</v>
      </c>
      <c r="B2945" s="13">
        <v>1060.34</v>
      </c>
    </row>
    <row r="2946" s="6" customFormat="1" spans="1:2">
      <c r="A2946" s="12">
        <f>DATE(2012,12,31)-22</f>
        <v>41252</v>
      </c>
      <c r="B2946" s="13">
        <v>587.2</v>
      </c>
    </row>
    <row r="2947" spans="1:2">
      <c r="A2947" s="14">
        <f>DATE(2012,12,31)-22</f>
        <v>41252</v>
      </c>
      <c r="B2947" s="15">
        <v>110.79</v>
      </c>
    </row>
    <row r="2948" s="6" customFormat="1" spans="1:2">
      <c r="A2948" s="12">
        <f>DATE(2012,12,31)-22</f>
        <v>41252</v>
      </c>
      <c r="B2948" s="13">
        <v>2011.46</v>
      </c>
    </row>
    <row r="2949" s="6" customFormat="1" spans="1:2">
      <c r="A2949" s="12">
        <f>DATE(2012,12,31)-573</f>
        <v>40701</v>
      </c>
      <c r="B2949" s="13">
        <v>400.49</v>
      </c>
    </row>
    <row r="2950" s="6" customFormat="1" spans="1:2">
      <c r="A2950" s="12">
        <f>DATE(2012,12,31)-676</f>
        <v>40598</v>
      </c>
      <c r="B2950" s="13">
        <v>278.94</v>
      </c>
    </row>
    <row r="2951" spans="1:2">
      <c r="A2951" s="14">
        <f>DATE(2012,12,31)-512</f>
        <v>40762</v>
      </c>
      <c r="B2951" s="15">
        <v>937.04</v>
      </c>
    </row>
    <row r="2952" s="6" customFormat="1" spans="1:2">
      <c r="A2952" s="12">
        <f>DATE(2012,12,31)-512</f>
        <v>40762</v>
      </c>
      <c r="B2952" s="13">
        <v>1616.64</v>
      </c>
    </row>
    <row r="2953" s="6" customFormat="1" spans="1:2">
      <c r="A2953" s="12">
        <f>DATE(2012,12,31)-717</f>
        <v>40557</v>
      </c>
      <c r="B2953" s="13">
        <v>5428.49</v>
      </c>
    </row>
    <row r="2954" s="6" customFormat="1" spans="1:2">
      <c r="A2954" s="12">
        <f>DATE(2012,12,31)-354</f>
        <v>40920</v>
      </c>
      <c r="B2954" s="13">
        <v>6435.87</v>
      </c>
    </row>
    <row r="2955" s="6" customFormat="1" spans="1:2">
      <c r="A2955" s="12">
        <f>DATE(2012,12,31)-354</f>
        <v>40920</v>
      </c>
      <c r="B2955" s="13">
        <v>312.03</v>
      </c>
    </row>
    <row r="2956" s="6" customFormat="1" spans="1:2">
      <c r="A2956" s="12">
        <f>DATE(2012,12,31)-354</f>
        <v>40920</v>
      </c>
      <c r="B2956" s="13">
        <v>145.93</v>
      </c>
    </row>
    <row r="2957" s="6" customFormat="1" spans="1:2">
      <c r="A2957" s="12">
        <f>DATE(2012,12,31)-1431</f>
        <v>39843</v>
      </c>
      <c r="B2957" s="13">
        <v>16066.85</v>
      </c>
    </row>
    <row r="2958" s="6" customFormat="1" spans="1:2">
      <c r="A2958" s="12">
        <f>DATE(2012,12,31)-244</f>
        <v>41030</v>
      </c>
      <c r="B2958" s="13">
        <v>2101.59</v>
      </c>
    </row>
    <row r="2959" s="6" customFormat="1" spans="1:2">
      <c r="A2959" s="12">
        <f>DATE(2012,12,31)-537</f>
        <v>40737</v>
      </c>
      <c r="B2959" s="13">
        <v>137.07</v>
      </c>
    </row>
    <row r="2960" s="6" customFormat="1" spans="1:2">
      <c r="A2960" s="12">
        <f>DATE(2012,12,31)-537</f>
        <v>40737</v>
      </c>
      <c r="B2960" s="13">
        <v>203.99</v>
      </c>
    </row>
    <row r="2961" s="6" customFormat="1" spans="1:2">
      <c r="A2961" s="12">
        <f>DATE(2012,12,31)-607</f>
        <v>40667</v>
      </c>
      <c r="B2961" s="13">
        <v>117.91</v>
      </c>
    </row>
    <row r="2962" s="6" customFormat="1" spans="1:2">
      <c r="A2962" s="12">
        <f>DATE(2012,12,31)-607</f>
        <v>40667</v>
      </c>
      <c r="B2962" s="13">
        <v>3644.6</v>
      </c>
    </row>
    <row r="2963" s="6" customFormat="1" spans="1:2">
      <c r="A2963" s="12">
        <f>DATE(2012,12,31)-607</f>
        <v>40667</v>
      </c>
      <c r="B2963" s="13">
        <v>3491.613</v>
      </c>
    </row>
    <row r="2964" spans="1:2">
      <c r="A2964" s="14">
        <f>DATE(2012,12,31)-607</f>
        <v>40667</v>
      </c>
      <c r="B2964" s="15">
        <v>103.6</v>
      </c>
    </row>
    <row r="2965" s="6" customFormat="1" spans="1:2">
      <c r="A2965" s="12">
        <f>DATE(2012,12,31)-1102</f>
        <v>40172</v>
      </c>
      <c r="B2965" s="13">
        <v>2962.96</v>
      </c>
    </row>
    <row r="2966" s="6" customFormat="1" spans="1:2">
      <c r="A2966" s="12">
        <f>DATE(2012,12,31)-1102</f>
        <v>40172</v>
      </c>
      <c r="B2966" s="13">
        <v>782.93</v>
      </c>
    </row>
    <row r="2967" s="6" customFormat="1" spans="1:2">
      <c r="A2967" s="12">
        <f>DATE(2012,12,31)-626</f>
        <v>40648</v>
      </c>
      <c r="B2967" s="13">
        <v>34.16</v>
      </c>
    </row>
    <row r="2968" spans="1:2">
      <c r="A2968" s="14">
        <f>DATE(2012,12,31)-1140</f>
        <v>40134</v>
      </c>
      <c r="B2968" s="15">
        <v>75.15</v>
      </c>
    </row>
    <row r="2969" s="6" customFormat="1" spans="1:2">
      <c r="A2969" s="12">
        <f>DATE(2012,12,31)-1140</f>
        <v>40134</v>
      </c>
      <c r="B2969" s="13">
        <v>400.45</v>
      </c>
    </row>
    <row r="2970" s="6" customFormat="1" spans="1:2">
      <c r="A2970" s="12">
        <f>DATE(2012,12,31)-942</f>
        <v>40332</v>
      </c>
      <c r="B2970" s="13">
        <v>176.24</v>
      </c>
    </row>
    <row r="2971" s="6" customFormat="1" spans="1:2">
      <c r="A2971" s="12">
        <f>DATE(2012,12,31)-680</f>
        <v>40594</v>
      </c>
      <c r="B2971" s="13">
        <v>538.14</v>
      </c>
    </row>
    <row r="2972" s="6" customFormat="1" spans="1:2">
      <c r="A2972" s="12">
        <f>DATE(2012,12,31)-680</f>
        <v>40594</v>
      </c>
      <c r="B2972" s="13">
        <v>4956.784</v>
      </c>
    </row>
    <row r="2973" s="6" customFormat="1" spans="1:2">
      <c r="A2973" s="12">
        <f>DATE(2012,12,31)-590</f>
        <v>40684</v>
      </c>
      <c r="B2973" s="13">
        <v>189.73</v>
      </c>
    </row>
    <row r="2974" s="6" customFormat="1" spans="1:2">
      <c r="A2974" s="12">
        <f>DATE(2012,12,31)-590</f>
        <v>40684</v>
      </c>
      <c r="B2974" s="13">
        <v>278.8</v>
      </c>
    </row>
    <row r="2975" s="6" customFormat="1" spans="1:2">
      <c r="A2975" s="12">
        <f>DATE(2012,12,31)-304</f>
        <v>40970</v>
      </c>
      <c r="B2975" s="13">
        <v>423.07</v>
      </c>
    </row>
    <row r="2976" s="6" customFormat="1" spans="1:2">
      <c r="A2976" s="12">
        <f>DATE(2012,12,31)-304</f>
        <v>40970</v>
      </c>
      <c r="B2976" s="13">
        <v>1602.21</v>
      </c>
    </row>
    <row r="2977" s="6" customFormat="1" spans="1:2">
      <c r="A2977" s="12">
        <f>DATE(2012,12,31)-1221</f>
        <v>40053</v>
      </c>
      <c r="B2977" s="13">
        <v>291.16</v>
      </c>
    </row>
    <row r="2978" s="6" customFormat="1" spans="1:2">
      <c r="A2978" s="12">
        <f>DATE(2012,12,31)-28</f>
        <v>41246</v>
      </c>
      <c r="B2978" s="13">
        <v>912.35</v>
      </c>
    </row>
    <row r="2979" s="6" customFormat="1" spans="1:2">
      <c r="A2979" s="12">
        <f>DATE(2012,12,31)-181</f>
        <v>41093</v>
      </c>
      <c r="B2979" s="13">
        <v>47.93</v>
      </c>
    </row>
    <row r="2980" s="6" customFormat="1" spans="1:2">
      <c r="A2980" s="12">
        <f>DATE(2012,12,31)-237</f>
        <v>41037</v>
      </c>
      <c r="B2980" s="13">
        <v>372.09</v>
      </c>
    </row>
    <row r="2981" s="6" customFormat="1" spans="1:2">
      <c r="A2981" s="12">
        <f>DATE(2012,12,31)-1253</f>
        <v>40021</v>
      </c>
      <c r="B2981" s="13">
        <v>87.32</v>
      </c>
    </row>
    <row r="2982" s="6" customFormat="1" spans="1:2">
      <c r="A2982" s="12">
        <f>DATE(2012,12,31)-906</f>
        <v>40368</v>
      </c>
      <c r="B2982" s="13">
        <v>388.13</v>
      </c>
    </row>
    <row r="2983" s="6" customFormat="1" spans="1:2">
      <c r="A2983" s="12">
        <f>DATE(2012,12,31)-906</f>
        <v>40368</v>
      </c>
      <c r="B2983" s="13">
        <v>2339.84</v>
      </c>
    </row>
    <row r="2984" s="6" customFormat="1" spans="1:2">
      <c r="A2984" s="12">
        <f>DATE(2012,12,31)-1180</f>
        <v>40094</v>
      </c>
      <c r="B2984" s="13">
        <v>3044.7</v>
      </c>
    </row>
    <row r="2985" spans="1:2">
      <c r="A2985" s="14">
        <f>DATE(2012,12,31)-590</f>
        <v>40684</v>
      </c>
      <c r="B2985" s="15">
        <v>404.3</v>
      </c>
    </row>
    <row r="2986" s="6" customFormat="1" spans="1:2">
      <c r="A2986" s="12">
        <f>DATE(2012,12,31)-590</f>
        <v>40684</v>
      </c>
      <c r="B2986" s="13">
        <v>11674.968</v>
      </c>
    </row>
    <row r="2987" s="6" customFormat="1" spans="1:2">
      <c r="A2987" s="12">
        <f>DATE(2012,12,31)-1417</f>
        <v>39857</v>
      </c>
      <c r="B2987" s="13">
        <v>8549.04</v>
      </c>
    </row>
    <row r="2988" spans="1:2">
      <c r="A2988" s="14">
        <f>DATE(2012,12,31)-250</f>
        <v>41024</v>
      </c>
      <c r="B2988" s="15">
        <v>96.23</v>
      </c>
    </row>
    <row r="2989" s="6" customFormat="1" spans="1:2">
      <c r="A2989" s="12">
        <f>DATE(2012,12,31)-250</f>
        <v>41024</v>
      </c>
      <c r="B2989" s="13">
        <v>70.08</v>
      </c>
    </row>
    <row r="2990" s="6" customFormat="1" spans="1:2">
      <c r="A2990" s="12">
        <f>DATE(2012,12,31)-250</f>
        <v>41024</v>
      </c>
      <c r="B2990" s="13">
        <v>234.768</v>
      </c>
    </row>
    <row r="2991" s="6" customFormat="1" spans="1:2">
      <c r="A2991" s="12">
        <f>DATE(2012,12,31)-1081</f>
        <v>40193</v>
      </c>
      <c r="B2991" s="13">
        <v>77.55</v>
      </c>
    </row>
    <row r="2992" s="6" customFormat="1" spans="1:2">
      <c r="A2992" s="12">
        <f>DATE(2012,12,31)-1002</f>
        <v>40272</v>
      </c>
      <c r="B2992" s="13">
        <v>169.48</v>
      </c>
    </row>
    <row r="2993" s="6" customFormat="1" spans="1:2">
      <c r="A2993" s="12">
        <f>DATE(2012,12,31)-635</f>
        <v>40639</v>
      </c>
      <c r="B2993" s="13">
        <v>2227.34</v>
      </c>
    </row>
    <row r="2994" s="6" customFormat="1" spans="1:2">
      <c r="A2994" s="12">
        <f>DATE(2012,12,31)-1279</f>
        <v>39995</v>
      </c>
      <c r="B2994" s="13">
        <v>2170.61</v>
      </c>
    </row>
    <row r="2995" s="6" customFormat="1" spans="1:2">
      <c r="A2995" s="12">
        <f>DATE(2012,12,31)-274</f>
        <v>41000</v>
      </c>
      <c r="B2995" s="13">
        <v>2478.88</v>
      </c>
    </row>
    <row r="2996" s="6" customFormat="1" spans="1:2">
      <c r="A2996" s="12">
        <f>DATE(2012,12,31)-267</f>
        <v>41007</v>
      </c>
      <c r="B2996" s="13">
        <v>1932.97</v>
      </c>
    </row>
    <row r="2997" s="6" customFormat="1" spans="1:2">
      <c r="A2997" s="12">
        <f>DATE(2012,12,31)-267</f>
        <v>41007</v>
      </c>
      <c r="B2997" s="13">
        <v>476.49</v>
      </c>
    </row>
    <row r="2998" s="6" customFormat="1" spans="1:2">
      <c r="A2998" s="12">
        <f>DATE(2012,12,31)-709</f>
        <v>40565</v>
      </c>
      <c r="B2998" s="13">
        <v>1374.7</v>
      </c>
    </row>
    <row r="2999" s="6" customFormat="1" spans="1:2">
      <c r="A2999" s="12">
        <f>DATE(2012,12,31)-709</f>
        <v>40565</v>
      </c>
      <c r="B2999" s="13">
        <v>516.62</v>
      </c>
    </row>
    <row r="3000" s="6" customFormat="1" spans="1:2">
      <c r="A3000" s="12">
        <f>DATE(2012,12,31)-291</f>
        <v>40983</v>
      </c>
      <c r="B3000" s="13">
        <v>618.9</v>
      </c>
    </row>
    <row r="3001" s="6" customFormat="1" spans="1:2">
      <c r="A3001" s="12">
        <f>DATE(2012,12,31)-1375</f>
        <v>39899</v>
      </c>
      <c r="B3001" s="13">
        <v>547.82</v>
      </c>
    </row>
    <row r="3002" spans="1:2">
      <c r="A3002" s="14">
        <f>DATE(2012,12,31)-64</f>
        <v>41210</v>
      </c>
      <c r="B3002" s="15">
        <v>1611.73</v>
      </c>
    </row>
    <row r="3003" s="6" customFormat="1" spans="1:2">
      <c r="A3003" s="12">
        <f>DATE(2012,12,31)-64</f>
        <v>41210</v>
      </c>
      <c r="B3003" s="13">
        <v>1946.55</v>
      </c>
    </row>
    <row r="3004" s="6" customFormat="1" spans="1:2">
      <c r="A3004" s="12">
        <f>DATE(2012,12,31)-1125</f>
        <v>40149</v>
      </c>
      <c r="B3004" s="13">
        <v>65.31</v>
      </c>
    </row>
    <row r="3005" spans="1:2">
      <c r="A3005" s="14">
        <f>DATE(2012,12,31)-1239</f>
        <v>40035</v>
      </c>
      <c r="B3005" s="15">
        <v>376.65</v>
      </c>
    </row>
    <row r="3006" spans="1:2">
      <c r="A3006" s="14">
        <f>DATE(2012,12,31)-1239</f>
        <v>40035</v>
      </c>
      <c r="B3006" s="15">
        <v>40.06</v>
      </c>
    </row>
    <row r="3007" s="6" customFormat="1" spans="1:2">
      <c r="A3007" s="12">
        <f>DATE(2012,12,31)-1239</f>
        <v>40035</v>
      </c>
      <c r="B3007" s="13">
        <v>1665.0395</v>
      </c>
    </row>
    <row r="3008" spans="1:2">
      <c r="A3008" s="14">
        <f>DATE(2012,12,31)-259</f>
        <v>41015</v>
      </c>
      <c r="B3008" s="15">
        <v>418.93</v>
      </c>
    </row>
    <row r="3009" s="6" customFormat="1" spans="1:2">
      <c r="A3009" s="12">
        <f>DATE(2012,12,31)-698</f>
        <v>40576</v>
      </c>
      <c r="B3009" s="13">
        <v>145.15</v>
      </c>
    </row>
    <row r="3010" s="6" customFormat="1" spans="1:2">
      <c r="A3010" s="12">
        <f>DATE(2012,12,31)-698</f>
        <v>40576</v>
      </c>
      <c r="B3010" s="13">
        <v>131.5</v>
      </c>
    </row>
    <row r="3011" s="6" customFormat="1" spans="1:2">
      <c r="A3011" s="12">
        <f>DATE(2012,12,31)-698</f>
        <v>40576</v>
      </c>
      <c r="B3011" s="13">
        <v>7814.59</v>
      </c>
    </row>
    <row r="3012" s="6" customFormat="1" spans="1:2">
      <c r="A3012" s="12">
        <f>DATE(2012,12,31)-698</f>
        <v>40576</v>
      </c>
      <c r="B3012" s="13">
        <v>158.99</v>
      </c>
    </row>
    <row r="3013" s="6" customFormat="1" spans="1:2">
      <c r="A3013" s="12">
        <f>DATE(2012,12,31)-77</f>
        <v>41197</v>
      </c>
      <c r="B3013" s="13">
        <v>474.793</v>
      </c>
    </row>
    <row r="3014" s="6" customFormat="1" spans="1:2">
      <c r="A3014" s="12">
        <f>DATE(2012,12,31)-720</f>
        <v>40554</v>
      </c>
      <c r="B3014" s="13">
        <v>1965.21</v>
      </c>
    </row>
    <row r="3015" s="6" customFormat="1" spans="1:2">
      <c r="A3015" s="12">
        <f>DATE(2012,12,31)-930</f>
        <v>40344</v>
      </c>
      <c r="B3015" s="13">
        <v>670.94</v>
      </c>
    </row>
    <row r="3016" s="6" customFormat="1" spans="1:2">
      <c r="A3016" s="12">
        <f>DATE(2012,12,31)-802</f>
        <v>40472</v>
      </c>
      <c r="B3016" s="13">
        <v>278.27</v>
      </c>
    </row>
    <row r="3017" s="6" customFormat="1" spans="1:2">
      <c r="A3017" s="12">
        <f>DATE(2012,12,31)-745</f>
        <v>40529</v>
      </c>
      <c r="B3017" s="13">
        <v>5232.83</v>
      </c>
    </row>
    <row r="3018" spans="1:2">
      <c r="A3018" s="14">
        <f>DATE(2012,12,31)-1400</f>
        <v>39874</v>
      </c>
      <c r="B3018" s="15">
        <v>12.01</v>
      </c>
    </row>
    <row r="3019" s="6" customFormat="1" spans="1:2">
      <c r="A3019" s="12">
        <f>DATE(2012,12,31)-1400</f>
        <v>39874</v>
      </c>
      <c r="B3019" s="13">
        <v>1846.76</v>
      </c>
    </row>
    <row r="3020" s="6" customFormat="1" spans="1:2">
      <c r="A3020" s="12">
        <f>DATE(2012,12,31)-1400</f>
        <v>39874</v>
      </c>
      <c r="B3020" s="13">
        <v>2211.734</v>
      </c>
    </row>
    <row r="3021" spans="1:2">
      <c r="A3021" s="14">
        <f>DATE(2012,12,31)-25</f>
        <v>41249</v>
      </c>
      <c r="B3021" s="15">
        <v>120.98</v>
      </c>
    </row>
    <row r="3022" s="6" customFormat="1" spans="1:2">
      <c r="A3022" s="12">
        <f>DATE(2012,12,31)-25</f>
        <v>41249</v>
      </c>
      <c r="B3022" s="13">
        <v>1082.66</v>
      </c>
    </row>
    <row r="3023" spans="1:2">
      <c r="A3023" s="14">
        <f>DATE(2012,12,31)-401</f>
        <v>40873</v>
      </c>
      <c r="B3023" s="15">
        <v>1580.57</v>
      </c>
    </row>
    <row r="3024" s="6" customFormat="1" spans="1:2">
      <c r="A3024" s="12">
        <f>DATE(2012,12,31)-1028</f>
        <v>40246</v>
      </c>
      <c r="B3024" s="13">
        <v>239.49</v>
      </c>
    </row>
    <row r="3025" s="6" customFormat="1" spans="1:2">
      <c r="A3025" s="12">
        <f>DATE(2012,12,31)-1028</f>
        <v>40246</v>
      </c>
      <c r="B3025" s="13">
        <v>1819.153</v>
      </c>
    </row>
    <row r="3026" s="6" customFormat="1" spans="1:2">
      <c r="A3026" s="12">
        <f>DATE(2012,12,31)-701</f>
        <v>40573</v>
      </c>
      <c r="B3026" s="13">
        <v>71.2</v>
      </c>
    </row>
    <row r="3027" s="6" customFormat="1" spans="1:2">
      <c r="A3027" s="12">
        <f>DATE(2012,12,31)-217</f>
        <v>41057</v>
      </c>
      <c r="B3027" s="13">
        <v>1239.4445</v>
      </c>
    </row>
    <row r="3028" s="6" customFormat="1" spans="1:2">
      <c r="A3028" s="12">
        <f>DATE(2012,12,31)-1309</f>
        <v>39965</v>
      </c>
      <c r="B3028" s="13">
        <v>5178.17</v>
      </c>
    </row>
    <row r="3029" s="6" customFormat="1" spans="1:2">
      <c r="A3029" s="12">
        <f>DATE(2012,12,31)-1309</f>
        <v>39965</v>
      </c>
      <c r="B3029" s="13">
        <v>535.24</v>
      </c>
    </row>
    <row r="3030" s="6" customFormat="1" spans="1:2">
      <c r="A3030" s="12">
        <f>DATE(2012,12,31)-97</f>
        <v>41177</v>
      </c>
      <c r="B3030" s="13">
        <v>362.76</v>
      </c>
    </row>
    <row r="3031" s="6" customFormat="1" spans="1:2">
      <c r="A3031" s="12">
        <f>DATE(2012,12,31)-932</f>
        <v>40342</v>
      </c>
      <c r="B3031" s="13">
        <v>278.66</v>
      </c>
    </row>
    <row r="3032" spans="1:2">
      <c r="A3032" s="14">
        <f>DATE(2012,12,31)-932</f>
        <v>40342</v>
      </c>
      <c r="B3032" s="15">
        <v>491.85</v>
      </c>
    </row>
    <row r="3033" s="6" customFormat="1" spans="1:2">
      <c r="A3033" s="12">
        <f>DATE(2012,12,31)-239</f>
        <v>41035</v>
      </c>
      <c r="B3033" s="13">
        <v>4744.64</v>
      </c>
    </row>
    <row r="3034" s="6" customFormat="1" spans="1:2">
      <c r="A3034" s="12">
        <f>DATE(2012,12,31)-239</f>
        <v>41035</v>
      </c>
      <c r="B3034" s="13">
        <v>40.8255</v>
      </c>
    </row>
    <row r="3035" spans="1:2">
      <c r="A3035" s="14">
        <f>DATE(2012,12,31)-239</f>
        <v>41035</v>
      </c>
      <c r="B3035" s="15">
        <v>607.13</v>
      </c>
    </row>
    <row r="3036" spans="1:2">
      <c r="A3036" s="14">
        <f>DATE(2012,12,31)-239</f>
        <v>41035</v>
      </c>
      <c r="B3036" s="15">
        <v>34.22</v>
      </c>
    </row>
    <row r="3037" spans="1:2">
      <c r="A3037" s="14">
        <f>DATE(2012,12,31)-622</f>
        <v>40652</v>
      </c>
      <c r="B3037" s="15">
        <v>115.99</v>
      </c>
    </row>
    <row r="3038" s="6" customFormat="1" spans="1:2">
      <c r="A3038" s="12">
        <f>DATE(2012,12,31)-693</f>
        <v>40581</v>
      </c>
      <c r="B3038" s="13">
        <v>3351.55</v>
      </c>
    </row>
    <row r="3039" s="6" customFormat="1" spans="1:2">
      <c r="A3039" s="12">
        <f>DATE(2012,12,31)-52</f>
        <v>41222</v>
      </c>
      <c r="B3039" s="13">
        <v>1351.78</v>
      </c>
    </row>
    <row r="3040" s="6" customFormat="1" spans="1:2">
      <c r="A3040" s="12">
        <f>DATE(2012,12,31)-52</f>
        <v>41222</v>
      </c>
      <c r="B3040" s="13">
        <v>1560.96</v>
      </c>
    </row>
    <row r="3041" s="6" customFormat="1" spans="1:2">
      <c r="A3041" s="12">
        <f>DATE(2012,12,31)-1450</f>
        <v>39824</v>
      </c>
      <c r="B3041" s="13">
        <v>6991.65</v>
      </c>
    </row>
    <row r="3042" s="6" customFormat="1" spans="1:2">
      <c r="A3042" s="12">
        <f>DATE(2012,12,31)-1199</f>
        <v>40075</v>
      </c>
      <c r="B3042" s="13">
        <v>28.39</v>
      </c>
    </row>
    <row r="3043" s="6" customFormat="1" spans="1:2">
      <c r="A3043" s="12">
        <f>DATE(2012,12,31)-270</f>
        <v>41004</v>
      </c>
      <c r="B3043" s="13">
        <v>168.55</v>
      </c>
    </row>
    <row r="3044" s="6" customFormat="1" spans="1:2">
      <c r="A3044" s="12">
        <f>DATE(2012,12,31)-270</f>
        <v>41004</v>
      </c>
      <c r="B3044" s="13">
        <v>77.03</v>
      </c>
    </row>
    <row r="3045" s="6" customFormat="1" spans="1:2">
      <c r="A3045" s="12">
        <f>DATE(2012,12,31)-409</f>
        <v>40865</v>
      </c>
      <c r="B3045" s="13">
        <v>401.37</v>
      </c>
    </row>
    <row r="3046" s="6" customFormat="1" spans="1:2">
      <c r="A3046" s="12">
        <f>DATE(2012,12,31)-247</f>
        <v>41027</v>
      </c>
      <c r="B3046" s="13">
        <v>73.7</v>
      </c>
    </row>
    <row r="3047" s="6" customFormat="1" spans="1:2">
      <c r="A3047" s="12">
        <f>DATE(2012,12,31)-1231</f>
        <v>40043</v>
      </c>
      <c r="B3047" s="13">
        <v>244.9</v>
      </c>
    </row>
    <row r="3048" s="6" customFormat="1" spans="1:2">
      <c r="A3048" s="12">
        <f>DATE(2012,12,31)-841</f>
        <v>40433</v>
      </c>
      <c r="B3048" s="13">
        <v>28.75</v>
      </c>
    </row>
    <row r="3049" s="6" customFormat="1" spans="1:2">
      <c r="A3049" s="12">
        <f>DATE(2012,12,31)-841</f>
        <v>40433</v>
      </c>
      <c r="B3049" s="13">
        <v>19014.24</v>
      </c>
    </row>
    <row r="3050" s="6" customFormat="1" spans="1:2">
      <c r="A3050" s="12">
        <f>DATE(2012,12,31)-841</f>
        <v>40433</v>
      </c>
      <c r="B3050" s="13">
        <v>385.05</v>
      </c>
    </row>
    <row r="3051" s="6" customFormat="1" spans="1:2">
      <c r="A3051" s="12">
        <f>DATE(2012,12,31)-771</f>
        <v>40503</v>
      </c>
      <c r="B3051" s="13">
        <v>85.77</v>
      </c>
    </row>
    <row r="3052" s="6" customFormat="1" spans="1:2">
      <c r="A3052" s="12">
        <f>DATE(2012,12,31)-771</f>
        <v>40503</v>
      </c>
      <c r="B3052" s="13">
        <v>149.31</v>
      </c>
    </row>
    <row r="3053" s="6" customFormat="1" spans="1:2">
      <c r="A3053" s="12">
        <f>DATE(2012,12,31)-1005</f>
        <v>40269</v>
      </c>
      <c r="B3053" s="13">
        <v>1049.79</v>
      </c>
    </row>
    <row r="3054" s="6" customFormat="1" spans="1:2">
      <c r="A3054" s="12">
        <f>DATE(2012,12,31)-1005</f>
        <v>40269</v>
      </c>
      <c r="B3054" s="13">
        <v>817.18</v>
      </c>
    </row>
    <row r="3055" spans="1:2">
      <c r="A3055" s="14">
        <f>DATE(2012,12,31)-707</f>
        <v>40567</v>
      </c>
      <c r="B3055" s="15">
        <v>81.9</v>
      </c>
    </row>
    <row r="3056" s="6" customFormat="1" spans="1:2">
      <c r="A3056" s="12">
        <f>DATE(2012,12,31)-707</f>
        <v>40567</v>
      </c>
      <c r="B3056" s="13">
        <v>495.5</v>
      </c>
    </row>
    <row r="3057" s="6" customFormat="1" spans="1:2">
      <c r="A3057" s="12">
        <f>DATE(2012,12,31)-911</f>
        <v>40363</v>
      </c>
      <c r="B3057" s="13">
        <v>34.88</v>
      </c>
    </row>
    <row r="3058" s="6" customFormat="1" spans="1:2">
      <c r="A3058" s="12">
        <f>DATE(2012,12,31)-434</f>
        <v>40840</v>
      </c>
      <c r="B3058" s="13">
        <v>532.11</v>
      </c>
    </row>
    <row r="3059" s="6" customFormat="1" spans="1:2">
      <c r="A3059" s="12">
        <f>DATE(2012,12,31)-379</f>
        <v>40895</v>
      </c>
      <c r="B3059" s="13">
        <v>54.3</v>
      </c>
    </row>
    <row r="3060" s="6" customFormat="1" spans="1:2">
      <c r="A3060" s="12">
        <f>DATE(2012,12,31)-1146</f>
        <v>40128</v>
      </c>
      <c r="B3060" s="13">
        <v>8937.38</v>
      </c>
    </row>
    <row r="3061" s="6" customFormat="1" spans="1:2">
      <c r="A3061" s="12">
        <f>DATE(2012,12,31)-1146</f>
        <v>40128</v>
      </c>
      <c r="B3061" s="13">
        <v>108.85</v>
      </c>
    </row>
    <row r="3062" spans="1:2">
      <c r="A3062" s="14">
        <f>DATE(2012,12,31)-1146</f>
        <v>40128</v>
      </c>
      <c r="B3062" s="15">
        <v>157.47</v>
      </c>
    </row>
    <row r="3063" s="6" customFormat="1" spans="1:2">
      <c r="A3063" s="12">
        <f>DATE(2012,12,31)-172</f>
        <v>41102</v>
      </c>
      <c r="B3063" s="13">
        <v>236.32</v>
      </c>
    </row>
    <row r="3064" s="6" customFormat="1" spans="1:2">
      <c r="A3064" s="12">
        <f>DATE(2012,12,31)-387</f>
        <v>40887</v>
      </c>
      <c r="B3064" s="13">
        <v>8225.24</v>
      </c>
    </row>
    <row r="3065" s="6" customFormat="1" spans="1:2">
      <c r="A3065" s="12">
        <f>DATE(2012,12,31)-699</f>
        <v>40575</v>
      </c>
      <c r="B3065" s="13">
        <v>125.273</v>
      </c>
    </row>
    <row r="3066" spans="1:2">
      <c r="A3066" s="14">
        <f>DATE(2012,12,31)-1305</f>
        <v>39969</v>
      </c>
      <c r="B3066" s="15">
        <v>4998.03</v>
      </c>
    </row>
    <row r="3067" s="6" customFormat="1" spans="1:2">
      <c r="A3067" s="12">
        <f>DATE(2012,12,31)-1223</f>
        <v>40051</v>
      </c>
      <c r="B3067" s="13">
        <v>255.83</v>
      </c>
    </row>
    <row r="3068" spans="1:2">
      <c r="A3068" s="14">
        <f>DATE(2012,12,31)-1223</f>
        <v>40051</v>
      </c>
      <c r="B3068" s="15">
        <v>947.66</v>
      </c>
    </row>
    <row r="3069" s="6" customFormat="1" spans="1:2">
      <c r="A3069" s="12">
        <f>DATE(2012,12,31)-1009</f>
        <v>40265</v>
      </c>
      <c r="B3069" s="13">
        <v>1337.19</v>
      </c>
    </row>
    <row r="3070" s="6" customFormat="1" spans="1:2">
      <c r="A3070" s="12">
        <f>DATE(2012,12,31)-690</f>
        <v>40584</v>
      </c>
      <c r="B3070" s="13">
        <v>118.95</v>
      </c>
    </row>
    <row r="3071" s="6" customFormat="1" spans="1:2">
      <c r="A3071" s="12">
        <f>DATE(2012,12,31)-690</f>
        <v>40584</v>
      </c>
      <c r="B3071" s="13">
        <v>3814.171</v>
      </c>
    </row>
    <row r="3072" spans="1:2">
      <c r="A3072" s="14">
        <f>DATE(2012,12,31)-959</f>
        <v>40315</v>
      </c>
      <c r="B3072" s="15">
        <v>498.28</v>
      </c>
    </row>
    <row r="3073" s="6" customFormat="1" spans="1:2">
      <c r="A3073" s="12">
        <f>DATE(2012,12,31)-1003</f>
        <v>40271</v>
      </c>
      <c r="B3073" s="13">
        <v>1409.86</v>
      </c>
    </row>
    <row r="3074" s="6" customFormat="1" spans="1:2">
      <c r="A3074" s="12">
        <f>DATE(2012,12,31)-367</f>
        <v>40907</v>
      </c>
      <c r="B3074" s="13">
        <v>209.33</v>
      </c>
    </row>
    <row r="3075" s="6" customFormat="1" spans="1:2">
      <c r="A3075" s="12">
        <f>DATE(2012,12,31)-863</f>
        <v>40411</v>
      </c>
      <c r="B3075" s="13">
        <v>563.08</v>
      </c>
    </row>
    <row r="3076" s="6" customFormat="1" spans="1:2">
      <c r="A3076" s="12">
        <f>DATE(2012,12,31)-886</f>
        <v>40388</v>
      </c>
      <c r="B3076" s="13">
        <v>216.79</v>
      </c>
    </row>
    <row r="3077" s="6" customFormat="1" spans="1:2">
      <c r="A3077" s="12">
        <f>DATE(2012,12,31)-99</f>
        <v>41175</v>
      </c>
      <c r="B3077" s="13">
        <v>6147.24</v>
      </c>
    </row>
    <row r="3078" s="6" customFormat="1" spans="1:2">
      <c r="A3078" s="12">
        <f>DATE(2012,12,31)-1413</f>
        <v>39861</v>
      </c>
      <c r="B3078" s="13">
        <v>16.81</v>
      </c>
    </row>
    <row r="3079" s="6" customFormat="1" spans="1:2">
      <c r="A3079" s="12">
        <f>DATE(2012,12,31)-297</f>
        <v>40977</v>
      </c>
      <c r="B3079" s="13">
        <v>265.61</v>
      </c>
    </row>
    <row r="3080" s="6" customFormat="1" spans="1:2">
      <c r="A3080" s="12">
        <f>DATE(2012,12,31)-297</f>
        <v>40977</v>
      </c>
      <c r="B3080" s="13">
        <v>485.03</v>
      </c>
    </row>
    <row r="3081" s="6" customFormat="1" spans="1:2">
      <c r="A3081" s="12">
        <f>DATE(2012,12,31)-382</f>
        <v>40892</v>
      </c>
      <c r="B3081" s="13">
        <v>2039.33</v>
      </c>
    </row>
    <row r="3082" s="6" customFormat="1" spans="1:2">
      <c r="A3082" s="12">
        <f>DATE(2012,12,31)-930</f>
        <v>40344</v>
      </c>
      <c r="B3082" s="13">
        <v>751.94</v>
      </c>
    </row>
    <row r="3083" s="6" customFormat="1" spans="1:2">
      <c r="A3083" s="12">
        <f>DATE(2012,12,31)-872</f>
        <v>40402</v>
      </c>
      <c r="B3083" s="13">
        <v>581.52</v>
      </c>
    </row>
    <row r="3084" s="6" customFormat="1" spans="1:2">
      <c r="A3084" s="12">
        <f>DATE(2012,12,31)-872</f>
        <v>40402</v>
      </c>
      <c r="B3084" s="13">
        <v>19.17</v>
      </c>
    </row>
    <row r="3085" s="6" customFormat="1" spans="1:2">
      <c r="A3085" s="12">
        <f>DATE(2012,12,31)-1443</f>
        <v>39831</v>
      </c>
      <c r="B3085" s="13">
        <v>2842.54</v>
      </c>
    </row>
    <row r="3086" s="6" customFormat="1" spans="1:2">
      <c r="A3086" s="12">
        <f>DATE(2012,12,31)-1256</f>
        <v>40018</v>
      </c>
      <c r="B3086" s="13">
        <v>939.39</v>
      </c>
    </row>
    <row r="3087" s="6" customFormat="1" spans="1:2">
      <c r="A3087" s="12">
        <f>DATE(2012,12,31)-1445</f>
        <v>39829</v>
      </c>
      <c r="B3087" s="13">
        <v>832.14</v>
      </c>
    </row>
    <row r="3088" spans="1:2">
      <c r="A3088" s="14">
        <f>DATE(2012,12,31)-465</f>
        <v>40809</v>
      </c>
      <c r="B3088" s="15">
        <v>191.13</v>
      </c>
    </row>
    <row r="3089" s="6" customFormat="1" spans="1:2">
      <c r="A3089" s="12">
        <f>DATE(2012,12,31)-465</f>
        <v>40809</v>
      </c>
      <c r="B3089" s="13">
        <v>48.24</v>
      </c>
    </row>
    <row r="3090" s="6" customFormat="1" spans="1:2">
      <c r="A3090" s="12">
        <f>DATE(2012,12,31)-884</f>
        <v>40390</v>
      </c>
      <c r="B3090" s="13">
        <v>465.83</v>
      </c>
    </row>
    <row r="3091" spans="1:2">
      <c r="A3091" s="14">
        <f>DATE(2012,12,31)-884</f>
        <v>40390</v>
      </c>
      <c r="B3091" s="15">
        <v>515.37</v>
      </c>
    </row>
    <row r="3092" s="6" customFormat="1" spans="1:2">
      <c r="A3092" s="12">
        <f>DATE(2012,12,31)-451</f>
        <v>40823</v>
      </c>
      <c r="B3092" s="13">
        <v>258.13</v>
      </c>
    </row>
    <row r="3093" s="6" customFormat="1" spans="1:2">
      <c r="A3093" s="12">
        <f>DATE(2012,12,31)-117</f>
        <v>41157</v>
      </c>
      <c r="B3093" s="13">
        <v>55.97</v>
      </c>
    </row>
    <row r="3094" s="6" customFormat="1" spans="1:2">
      <c r="A3094" s="12">
        <f>DATE(2012,12,31)-117</f>
        <v>41157</v>
      </c>
      <c r="B3094" s="13">
        <v>174.72</v>
      </c>
    </row>
    <row r="3095" s="6" customFormat="1" spans="1:2">
      <c r="A3095" s="12">
        <f>DATE(2012,12,31)-117</f>
        <v>41157</v>
      </c>
      <c r="B3095" s="13">
        <v>2271.37</v>
      </c>
    </row>
    <row r="3096" spans="1:2">
      <c r="A3096" s="14">
        <f>DATE(2012,12,31)-252</f>
        <v>41022</v>
      </c>
      <c r="B3096" s="15">
        <v>177.22</v>
      </c>
    </row>
    <row r="3097" s="6" customFormat="1" spans="1:2">
      <c r="A3097" s="12">
        <f>DATE(2012,12,31)-1175</f>
        <v>40099</v>
      </c>
      <c r="B3097" s="13">
        <v>1138.43</v>
      </c>
    </row>
    <row r="3098" s="6" customFormat="1" spans="1:2">
      <c r="A3098" s="12">
        <f>DATE(2012,12,31)-1175</f>
        <v>40099</v>
      </c>
      <c r="B3098" s="13">
        <v>5271.0455</v>
      </c>
    </row>
    <row r="3099" spans="1:2">
      <c r="A3099" s="14">
        <f>DATE(2012,12,31)-469</f>
        <v>40805</v>
      </c>
      <c r="B3099" s="15">
        <v>1033.44</v>
      </c>
    </row>
    <row r="3100" s="6" customFormat="1" spans="1:2">
      <c r="A3100" s="12">
        <f>DATE(2012,12,31)-455</f>
        <v>40819</v>
      </c>
      <c r="B3100" s="13">
        <v>943.44</v>
      </c>
    </row>
    <row r="3101" s="6" customFormat="1" spans="1:2">
      <c r="A3101" s="12">
        <f>DATE(2012,12,31)-455</f>
        <v>40819</v>
      </c>
      <c r="B3101" s="13">
        <v>14493.84</v>
      </c>
    </row>
    <row r="3102" s="6" customFormat="1" spans="1:2">
      <c r="A3102" s="12">
        <f>DATE(2012,12,31)-836</f>
        <v>40438</v>
      </c>
      <c r="B3102" s="13">
        <v>116.22</v>
      </c>
    </row>
    <row r="3103" s="6" customFormat="1" spans="1:2">
      <c r="A3103" s="12">
        <f>DATE(2012,12,31)-1295</f>
        <v>39979</v>
      </c>
      <c r="B3103" s="13">
        <v>329.91</v>
      </c>
    </row>
    <row r="3104" s="6" customFormat="1" spans="1:2">
      <c r="A3104" s="12">
        <f>DATE(2012,12,31)-1446</f>
        <v>39828</v>
      </c>
      <c r="B3104" s="13">
        <v>24.76</v>
      </c>
    </row>
    <row r="3105" s="6" customFormat="1" spans="1:2">
      <c r="A3105" s="12">
        <f>DATE(2012,12,31)-239</f>
        <v>41035</v>
      </c>
      <c r="B3105" s="13">
        <v>5382.24</v>
      </c>
    </row>
    <row r="3106" s="6" customFormat="1" spans="1:2">
      <c r="A3106" s="12">
        <f>DATE(2012,12,31)-239</f>
        <v>41035</v>
      </c>
      <c r="B3106" s="13">
        <v>1035.95</v>
      </c>
    </row>
    <row r="3107" s="6" customFormat="1" spans="1:2">
      <c r="A3107" s="12">
        <f>DATE(2012,12,31)-1105</f>
        <v>40169</v>
      </c>
      <c r="B3107" s="13">
        <v>2463.6</v>
      </c>
    </row>
    <row r="3108" s="6" customFormat="1" spans="1:2">
      <c r="A3108" s="12">
        <f>DATE(2012,12,31)-402</f>
        <v>40872</v>
      </c>
      <c r="B3108" s="13">
        <v>40.24</v>
      </c>
    </row>
    <row r="3109" s="6" customFormat="1" spans="1:2">
      <c r="A3109" s="12">
        <f>DATE(2012,12,31)-962</f>
        <v>40312</v>
      </c>
      <c r="B3109" s="13">
        <v>200.08</v>
      </c>
    </row>
    <row r="3110" s="6" customFormat="1" spans="1:2">
      <c r="A3110" s="12">
        <f>DATE(2012,12,31)-962</f>
        <v>40312</v>
      </c>
      <c r="B3110" s="13">
        <v>790.24</v>
      </c>
    </row>
    <row r="3111" s="6" customFormat="1" spans="1:2">
      <c r="A3111" s="12">
        <f>DATE(2012,12,31)-1312</f>
        <v>39962</v>
      </c>
      <c r="B3111" s="13">
        <v>241.706</v>
      </c>
    </row>
    <row r="3112" s="6" customFormat="1" spans="1:2">
      <c r="A3112" s="12">
        <f>DATE(2012,12,31)-1046</f>
        <v>40228</v>
      </c>
      <c r="B3112" s="13">
        <v>192.12</v>
      </c>
    </row>
    <row r="3113" s="6" customFormat="1" spans="1:2">
      <c r="A3113" s="12">
        <f>DATE(2012,12,31)-1046</f>
        <v>40228</v>
      </c>
      <c r="B3113" s="13">
        <v>3917.61</v>
      </c>
    </row>
    <row r="3114" s="6" customFormat="1" spans="1:2">
      <c r="A3114" s="12">
        <f>DATE(2012,12,31)-1046</f>
        <v>40228</v>
      </c>
      <c r="B3114" s="13">
        <v>2788.04</v>
      </c>
    </row>
    <row r="3115" s="6" customFormat="1" spans="1:2">
      <c r="A3115" s="12">
        <f>DATE(2012,12,31)-1367</f>
        <v>39907</v>
      </c>
      <c r="B3115" s="13">
        <v>70.55</v>
      </c>
    </row>
    <row r="3116" s="6" customFormat="1" spans="1:2">
      <c r="A3116" s="12">
        <f>DATE(2012,12,31)-278</f>
        <v>40996</v>
      </c>
      <c r="B3116" s="13">
        <v>233.03</v>
      </c>
    </row>
    <row r="3117" s="6" customFormat="1" spans="1:2">
      <c r="A3117" s="12">
        <f>DATE(2012,12,31)-634</f>
        <v>40640</v>
      </c>
      <c r="B3117" s="13">
        <v>816.11</v>
      </c>
    </row>
    <row r="3118" s="6" customFormat="1" spans="1:2">
      <c r="A3118" s="12">
        <f>DATE(2012,12,31)-1314</f>
        <v>39960</v>
      </c>
      <c r="B3118" s="13">
        <v>1194.34</v>
      </c>
    </row>
    <row r="3119" s="6" customFormat="1" spans="1:2">
      <c r="A3119" s="12">
        <f>DATE(2012,12,31)-1314</f>
        <v>39960</v>
      </c>
      <c r="B3119" s="13">
        <v>51.833</v>
      </c>
    </row>
    <row r="3120" s="6" customFormat="1" spans="1:2">
      <c r="A3120" s="12">
        <f>DATE(2012,12,31)-776</f>
        <v>40498</v>
      </c>
      <c r="B3120" s="13">
        <v>7264.64</v>
      </c>
    </row>
    <row r="3121" spans="1:2">
      <c r="A3121" s="14">
        <f>DATE(2012,12,31)-1140</f>
        <v>40134</v>
      </c>
      <c r="B3121" s="15">
        <v>676.44</v>
      </c>
    </row>
    <row r="3122" spans="1:2">
      <c r="A3122" s="14">
        <f>DATE(2012,12,31)-1140</f>
        <v>40134</v>
      </c>
      <c r="B3122" s="15">
        <v>128.02</v>
      </c>
    </row>
    <row r="3123" spans="1:2">
      <c r="A3123" s="14">
        <f>DATE(2012,12,31)-1140</f>
        <v>40134</v>
      </c>
      <c r="B3123" s="15">
        <v>526.82</v>
      </c>
    </row>
    <row r="3124" spans="1:2">
      <c r="A3124" s="14">
        <f>DATE(2012,12,31)-33</f>
        <v>41241</v>
      </c>
      <c r="B3124" s="15">
        <v>2728.42</v>
      </c>
    </row>
    <row r="3125" s="6" customFormat="1" spans="1:2">
      <c r="A3125" s="12">
        <f>DATE(2012,12,31)-669</f>
        <v>40605</v>
      </c>
      <c r="B3125" s="13">
        <v>797.98</v>
      </c>
    </row>
    <row r="3126" s="6" customFormat="1" spans="1:2">
      <c r="A3126" s="12">
        <f>DATE(2012,12,31)-124</f>
        <v>41150</v>
      </c>
      <c r="B3126" s="13">
        <v>18.7</v>
      </c>
    </row>
    <row r="3127" s="6" customFormat="1" spans="1:2">
      <c r="A3127" s="12">
        <f>DATE(2012,12,31)-124</f>
        <v>41150</v>
      </c>
      <c r="B3127" s="13">
        <v>140.74</v>
      </c>
    </row>
    <row r="3128" s="6" customFormat="1" spans="1:2">
      <c r="A3128" s="12">
        <f>DATE(2012,12,31)-163</f>
        <v>41111</v>
      </c>
      <c r="B3128" s="13">
        <v>1121.78</v>
      </c>
    </row>
    <row r="3129" s="6" customFormat="1" spans="1:2">
      <c r="A3129" s="12">
        <f>DATE(2012,12,31)-278</f>
        <v>40996</v>
      </c>
      <c r="B3129" s="13">
        <v>5404.18</v>
      </c>
    </row>
    <row r="3130" s="6" customFormat="1" spans="1:2">
      <c r="A3130" s="12">
        <f>DATE(2012,12,31)-278</f>
        <v>40996</v>
      </c>
      <c r="B3130" s="13">
        <v>430.19</v>
      </c>
    </row>
    <row r="3131" spans="1:2">
      <c r="A3131" s="14">
        <f>DATE(2012,12,31)-935</f>
        <v>40339</v>
      </c>
      <c r="B3131" s="15">
        <v>323.11</v>
      </c>
    </row>
    <row r="3132" spans="1:2">
      <c r="A3132" s="14">
        <f>DATE(2012,12,31)-935</f>
        <v>40339</v>
      </c>
      <c r="B3132" s="15">
        <v>65.1</v>
      </c>
    </row>
    <row r="3133" s="6" customFormat="1" spans="1:2">
      <c r="A3133" s="12">
        <f>DATE(2012,12,31)-935</f>
        <v>40339</v>
      </c>
      <c r="B3133" s="13">
        <v>163.75</v>
      </c>
    </row>
    <row r="3134" spans="1:2">
      <c r="A3134" s="14">
        <f>DATE(2012,12,31)-812</f>
        <v>40462</v>
      </c>
      <c r="B3134" s="15">
        <v>1482.81</v>
      </c>
    </row>
    <row r="3135" s="6" customFormat="1" spans="1:2">
      <c r="A3135" s="12">
        <f>DATE(2012,12,31)-812</f>
        <v>40462</v>
      </c>
      <c r="B3135" s="13">
        <v>6693.28</v>
      </c>
    </row>
    <row r="3136" s="6" customFormat="1" spans="1:2">
      <c r="A3136" s="12">
        <f>DATE(2012,12,31)-812</f>
        <v>40462</v>
      </c>
      <c r="B3136" s="13">
        <v>275.91</v>
      </c>
    </row>
    <row r="3137" s="6" customFormat="1" spans="1:2">
      <c r="A3137" s="12">
        <f>DATE(2012,12,31)-247</f>
        <v>41027</v>
      </c>
      <c r="B3137" s="13">
        <v>3259.25</v>
      </c>
    </row>
    <row r="3138" s="6" customFormat="1" spans="1:2">
      <c r="A3138" s="12">
        <f>DATE(2012,12,31)-783</f>
        <v>40491</v>
      </c>
      <c r="B3138" s="13">
        <v>34.94</v>
      </c>
    </row>
    <row r="3139" s="6" customFormat="1" spans="1:2">
      <c r="A3139" s="12">
        <f>DATE(2012,12,31)-958</f>
        <v>40316</v>
      </c>
      <c r="B3139" s="13">
        <v>30.83</v>
      </c>
    </row>
    <row r="3140" s="6" customFormat="1" spans="1:2">
      <c r="A3140" s="12">
        <f>DATE(2012,12,31)-969</f>
        <v>40305</v>
      </c>
      <c r="B3140" s="13">
        <v>1623.09</v>
      </c>
    </row>
    <row r="3141" s="6" customFormat="1" spans="1:2">
      <c r="A3141" s="12">
        <f>DATE(2012,12,31)-692</f>
        <v>40582</v>
      </c>
      <c r="B3141" s="13">
        <v>121.66</v>
      </c>
    </row>
    <row r="3142" s="6" customFormat="1" spans="1:2">
      <c r="A3142" s="12">
        <f>DATE(2012,12,31)-532</f>
        <v>40742</v>
      </c>
      <c r="B3142" s="13">
        <v>279.33</v>
      </c>
    </row>
    <row r="3143" s="6" customFormat="1" spans="1:2">
      <c r="A3143" s="12">
        <f>DATE(2012,12,31)-711</f>
        <v>40563</v>
      </c>
      <c r="B3143" s="13">
        <v>128.62</v>
      </c>
    </row>
    <row r="3144" s="6" customFormat="1" spans="1:2">
      <c r="A3144" s="12">
        <f>DATE(2012,12,31)-711</f>
        <v>40563</v>
      </c>
      <c r="B3144" s="13">
        <v>424</v>
      </c>
    </row>
    <row r="3145" s="6" customFormat="1" spans="1:2">
      <c r="A3145" s="12">
        <f>DATE(2012,12,31)-711</f>
        <v>40563</v>
      </c>
      <c r="B3145" s="13">
        <v>504.79</v>
      </c>
    </row>
    <row r="3146" s="6" customFormat="1" spans="1:2">
      <c r="A3146" s="12">
        <f>DATE(2012,12,31)-1375</f>
        <v>39899</v>
      </c>
      <c r="B3146" s="13">
        <v>9304.2</v>
      </c>
    </row>
    <row r="3147" s="6" customFormat="1" spans="1:2">
      <c r="A3147" s="12">
        <f>DATE(2012,12,31)-1375</f>
        <v>39899</v>
      </c>
      <c r="B3147" s="13">
        <v>1685.05</v>
      </c>
    </row>
    <row r="3148" s="6" customFormat="1" spans="1:2">
      <c r="A3148" s="12">
        <f>DATE(2012,12,31)-1375</f>
        <v>39899</v>
      </c>
      <c r="B3148" s="13">
        <v>57.48</v>
      </c>
    </row>
    <row r="3149" s="6" customFormat="1" spans="1:2">
      <c r="A3149" s="12">
        <f>DATE(2012,12,31)-225</f>
        <v>41049</v>
      </c>
      <c r="B3149" s="13">
        <v>251.51</v>
      </c>
    </row>
    <row r="3150" spans="1:2">
      <c r="A3150" s="14">
        <f>DATE(2012,12,31)-916</f>
        <v>40358</v>
      </c>
      <c r="B3150" s="15">
        <v>90.93</v>
      </c>
    </row>
    <row r="3151" s="6" customFormat="1" spans="1:2">
      <c r="A3151" s="12">
        <f>DATE(2012,12,31)-916</f>
        <v>40358</v>
      </c>
      <c r="B3151" s="13">
        <v>6170.912</v>
      </c>
    </row>
    <row r="3152" s="6" customFormat="1" spans="1:2">
      <c r="A3152" s="12">
        <f>DATE(2012,12,31)-1003</f>
        <v>40271</v>
      </c>
      <c r="B3152" s="13">
        <v>1934.6</v>
      </c>
    </row>
    <row r="3153" s="6" customFormat="1" spans="1:2">
      <c r="A3153" s="12">
        <f>DATE(2012,12,31)-1003</f>
        <v>40271</v>
      </c>
      <c r="B3153" s="13">
        <v>6803</v>
      </c>
    </row>
    <row r="3154" s="6" customFormat="1" spans="1:2">
      <c r="A3154" s="12">
        <f>DATE(2012,12,31)-1159</f>
        <v>40115</v>
      </c>
      <c r="B3154" s="13">
        <v>2951.7</v>
      </c>
    </row>
    <row r="3155" s="6" customFormat="1" spans="1:2">
      <c r="A3155" s="12">
        <f>DATE(2012,12,31)-991</f>
        <v>40283</v>
      </c>
      <c r="B3155" s="13">
        <v>365.93</v>
      </c>
    </row>
    <row r="3156" s="6" customFormat="1" spans="1:2">
      <c r="A3156" s="12">
        <f>DATE(2012,12,31)-740</f>
        <v>40534</v>
      </c>
      <c r="B3156" s="13">
        <v>309.3</v>
      </c>
    </row>
    <row r="3157" s="6" customFormat="1" spans="1:2">
      <c r="A3157" s="12">
        <f>DATE(2012,12,31)-429</f>
        <v>40845</v>
      </c>
      <c r="B3157" s="13">
        <v>9544.18</v>
      </c>
    </row>
    <row r="3158" s="6" customFormat="1" spans="1:2">
      <c r="A3158" s="12">
        <f>DATE(2012,12,31)-429</f>
        <v>40845</v>
      </c>
      <c r="B3158" s="13">
        <v>32.92</v>
      </c>
    </row>
    <row r="3159" s="6" customFormat="1" spans="1:2">
      <c r="A3159" s="12">
        <f>DATE(2012,12,31)-827</f>
        <v>40447</v>
      </c>
      <c r="B3159" s="13">
        <v>18.26</v>
      </c>
    </row>
    <row r="3160" s="6" customFormat="1" spans="1:2">
      <c r="A3160" s="12">
        <f>DATE(2012,12,31)-355</f>
        <v>40919</v>
      </c>
      <c r="B3160" s="13">
        <v>9843.11</v>
      </c>
    </row>
    <row r="3161" s="6" customFormat="1" spans="1:2">
      <c r="A3161" s="12">
        <f>DATE(2012,12,31)-355</f>
        <v>40919</v>
      </c>
      <c r="B3161" s="13">
        <v>7190.06</v>
      </c>
    </row>
    <row r="3162" s="6" customFormat="1" spans="1:2">
      <c r="A3162" s="12">
        <f>DATE(2012,12,31)-258</f>
        <v>41016</v>
      </c>
      <c r="B3162" s="13">
        <v>2044.2755</v>
      </c>
    </row>
    <row r="3163" s="6" customFormat="1" spans="1:2">
      <c r="A3163" s="12">
        <f>DATE(2012,12,31)-449</f>
        <v>40825</v>
      </c>
      <c r="B3163" s="13">
        <v>2405</v>
      </c>
    </row>
    <row r="3164" spans="1:2">
      <c r="A3164" s="14">
        <f>DATE(2012,12,31)-1277</f>
        <v>39997</v>
      </c>
      <c r="B3164" s="15">
        <v>444.52</v>
      </c>
    </row>
    <row r="3165" s="6" customFormat="1" spans="1:2">
      <c r="A3165" s="12">
        <f>DATE(2012,12,31)-547</f>
        <v>40727</v>
      </c>
      <c r="B3165" s="13">
        <v>296.82</v>
      </c>
    </row>
    <row r="3166" s="6" customFormat="1" spans="1:2">
      <c r="A3166" s="12">
        <f>DATE(2012,12,31)-24</f>
        <v>41250</v>
      </c>
      <c r="B3166" s="13">
        <v>238.76</v>
      </c>
    </row>
    <row r="3167" s="6" customFormat="1" spans="1:2">
      <c r="A3167" s="12">
        <f>DATE(2012,12,31)-1372</f>
        <v>39902</v>
      </c>
      <c r="B3167" s="13">
        <v>187.84</v>
      </c>
    </row>
    <row r="3168" s="6" customFormat="1" spans="1:2">
      <c r="A3168" s="12">
        <f>DATE(2012,12,31)-1372</f>
        <v>39902</v>
      </c>
      <c r="B3168" s="13">
        <v>240.6</v>
      </c>
    </row>
    <row r="3169" s="6" customFormat="1" spans="1:2">
      <c r="A3169" s="12">
        <f>DATE(2012,12,31)-1372</f>
        <v>39902</v>
      </c>
      <c r="B3169" s="13">
        <v>236.878</v>
      </c>
    </row>
    <row r="3170" s="6" customFormat="1" spans="1:2">
      <c r="A3170" s="12">
        <f>DATE(2012,12,31)-636</f>
        <v>40638</v>
      </c>
      <c r="B3170" s="13">
        <v>46.44</v>
      </c>
    </row>
    <row r="3171" s="6" customFormat="1" spans="1:2">
      <c r="A3171" s="12">
        <f>DATE(2012,12,31)-40</f>
        <v>41234</v>
      </c>
      <c r="B3171" s="13">
        <v>6785.86</v>
      </c>
    </row>
    <row r="3172" s="6" customFormat="1" spans="1:2">
      <c r="A3172" s="12">
        <f>DATE(2012,12,31)-1319</f>
        <v>39955</v>
      </c>
      <c r="B3172" s="13">
        <v>6277.75</v>
      </c>
    </row>
    <row r="3173" s="6" customFormat="1" spans="1:2">
      <c r="A3173" s="12">
        <f>DATE(2012,12,31)-1319</f>
        <v>39955</v>
      </c>
      <c r="B3173" s="13">
        <v>360.24</v>
      </c>
    </row>
    <row r="3174" spans="1:2">
      <c r="A3174" s="14">
        <f>DATE(2012,12,31)-51</f>
        <v>41223</v>
      </c>
      <c r="B3174" s="15">
        <v>6.77</v>
      </c>
    </row>
    <row r="3175" s="6" customFormat="1" spans="1:2">
      <c r="A3175" s="12">
        <f>DATE(2012,12,31)-867</f>
        <v>40407</v>
      </c>
      <c r="B3175" s="13">
        <v>209.12</v>
      </c>
    </row>
    <row r="3176" s="6" customFormat="1" spans="1:2">
      <c r="A3176" s="12">
        <f>DATE(2012,12,31)-867</f>
        <v>40407</v>
      </c>
      <c r="B3176" s="13">
        <v>144.84</v>
      </c>
    </row>
    <row r="3177" s="6" customFormat="1" spans="1:2">
      <c r="A3177" s="12">
        <f>DATE(2012,12,31)-387</f>
        <v>40887</v>
      </c>
      <c r="B3177" s="13">
        <v>140.37</v>
      </c>
    </row>
    <row r="3178" s="6" customFormat="1" spans="1:2">
      <c r="A3178" s="12">
        <f>DATE(2012,12,31)-387</f>
        <v>40887</v>
      </c>
      <c r="B3178" s="13">
        <v>5921.74</v>
      </c>
    </row>
    <row r="3179" s="6" customFormat="1" spans="1:2">
      <c r="A3179" s="12">
        <f>DATE(2012,12,31)-387</f>
        <v>40887</v>
      </c>
      <c r="B3179" s="13">
        <v>68.16</v>
      </c>
    </row>
    <row r="3180" s="6" customFormat="1" spans="1:2">
      <c r="A3180" s="12">
        <f>DATE(2012,12,31)-686</f>
        <v>40588</v>
      </c>
      <c r="B3180" s="13">
        <v>304.98</v>
      </c>
    </row>
    <row r="3181" s="6" customFormat="1" spans="1:2">
      <c r="A3181" s="12">
        <f>DATE(2012,12,31)-686</f>
        <v>40588</v>
      </c>
      <c r="B3181" s="13">
        <v>104.24</v>
      </c>
    </row>
    <row r="3182" s="6" customFormat="1" spans="1:2">
      <c r="A3182" s="12">
        <f>DATE(2012,12,31)-686</f>
        <v>40588</v>
      </c>
      <c r="B3182" s="13">
        <v>198.13</v>
      </c>
    </row>
    <row r="3183" s="6" customFormat="1" spans="1:2">
      <c r="A3183" s="12">
        <f>DATE(2012,12,31)-686</f>
        <v>40588</v>
      </c>
      <c r="B3183" s="13">
        <v>4366.348</v>
      </c>
    </row>
    <row r="3184" s="6" customFormat="1" spans="1:2">
      <c r="A3184" s="12">
        <f>DATE(2012,12,31)-611</f>
        <v>40663</v>
      </c>
      <c r="B3184" s="13">
        <v>105.13</v>
      </c>
    </row>
    <row r="3185" s="6" customFormat="1" spans="1:2">
      <c r="A3185" s="12">
        <f>DATE(2012,12,31)-1401</f>
        <v>39873</v>
      </c>
      <c r="B3185" s="13">
        <v>667.36</v>
      </c>
    </row>
    <row r="3186" s="6" customFormat="1" spans="1:2">
      <c r="A3186" s="12">
        <f>DATE(2012,12,31)-1401</f>
        <v>39873</v>
      </c>
      <c r="B3186" s="13">
        <v>32.37</v>
      </c>
    </row>
    <row r="3187" s="6" customFormat="1" spans="1:2">
      <c r="A3187" s="12">
        <f>DATE(2012,12,31)-1401</f>
        <v>39873</v>
      </c>
      <c r="B3187" s="13">
        <v>1409.0875</v>
      </c>
    </row>
    <row r="3188" s="6" customFormat="1" spans="1:2">
      <c r="A3188" s="12">
        <f>DATE(2012,12,31)-946</f>
        <v>40328</v>
      </c>
      <c r="B3188" s="13">
        <v>24.96</v>
      </c>
    </row>
    <row r="3189" s="6" customFormat="1" spans="1:2">
      <c r="A3189" s="12">
        <f>DATE(2012,12,31)-1000</f>
        <v>40274</v>
      </c>
      <c r="B3189" s="13">
        <v>476.06</v>
      </c>
    </row>
    <row r="3190" s="6" customFormat="1" spans="1:2">
      <c r="A3190" s="12">
        <f>DATE(2012,12,31)-840</f>
        <v>40434</v>
      </c>
      <c r="B3190" s="13">
        <v>71.24</v>
      </c>
    </row>
    <row r="3191" s="6" customFormat="1" spans="1:2">
      <c r="A3191" s="12">
        <f>DATE(2012,12,31)-1134</f>
        <v>40140</v>
      </c>
      <c r="B3191" s="13">
        <v>56.47</v>
      </c>
    </row>
    <row r="3192" s="6" customFormat="1" spans="1:2">
      <c r="A3192" s="12">
        <f>DATE(2012,12,31)-774</f>
        <v>40500</v>
      </c>
      <c r="B3192" s="13">
        <v>9107.27</v>
      </c>
    </row>
    <row r="3193" s="6" customFormat="1" spans="1:2">
      <c r="A3193" s="12">
        <f>DATE(2012,12,31)-807</f>
        <v>40467</v>
      </c>
      <c r="B3193" s="13">
        <v>10168.23</v>
      </c>
    </row>
    <row r="3194" s="6" customFormat="1" spans="1:2">
      <c r="A3194" s="12">
        <f>DATE(2012,12,31)-920</f>
        <v>40354</v>
      </c>
      <c r="B3194" s="13">
        <v>176.77</v>
      </c>
    </row>
    <row r="3195" s="6" customFormat="1" spans="1:2">
      <c r="A3195" s="12">
        <f>DATE(2012,12,31)-920</f>
        <v>40354</v>
      </c>
      <c r="B3195" s="13">
        <v>6568.024</v>
      </c>
    </row>
    <row r="3196" s="6" customFormat="1" spans="1:2">
      <c r="A3196" s="12">
        <f>DATE(2012,12,31)-920</f>
        <v>40354</v>
      </c>
      <c r="B3196" s="13">
        <v>1579.028</v>
      </c>
    </row>
    <row r="3197" s="6" customFormat="1" spans="1:2">
      <c r="A3197" s="12">
        <f>DATE(2012,12,31)-353</f>
        <v>40921</v>
      </c>
      <c r="B3197" s="13">
        <v>336.65</v>
      </c>
    </row>
    <row r="3198" spans="1:2">
      <c r="A3198" s="14">
        <f>DATE(2012,12,31)-333</f>
        <v>40941</v>
      </c>
      <c r="B3198" s="15">
        <v>122.02</v>
      </c>
    </row>
    <row r="3199" s="6" customFormat="1" spans="1:2">
      <c r="A3199" s="12">
        <f>DATE(2012,12,31)-1401</f>
        <v>39873</v>
      </c>
      <c r="B3199" s="13">
        <v>3550.28</v>
      </c>
    </row>
    <row r="3200" s="6" customFormat="1" spans="1:2">
      <c r="A3200" s="12">
        <f>DATE(2012,12,31)-1263</f>
        <v>40011</v>
      </c>
      <c r="B3200" s="13">
        <v>98.77</v>
      </c>
    </row>
    <row r="3201" s="6" customFormat="1" spans="1:2">
      <c r="A3201" s="12">
        <f>DATE(2012,12,31)-1109</f>
        <v>40165</v>
      </c>
      <c r="B3201" s="13">
        <v>216.25</v>
      </c>
    </row>
    <row r="3202" s="6" customFormat="1" spans="1:2">
      <c r="A3202" s="12">
        <f>DATE(2012,12,31)-376</f>
        <v>40898</v>
      </c>
      <c r="B3202" s="13">
        <v>1756.11</v>
      </c>
    </row>
    <row r="3203" s="6" customFormat="1" spans="1:2">
      <c r="A3203" s="12">
        <f>DATE(2012,12,31)-242</f>
        <v>41032</v>
      </c>
      <c r="B3203" s="13">
        <v>1304.0275</v>
      </c>
    </row>
    <row r="3204" s="6" customFormat="1" spans="1:2">
      <c r="A3204" s="12">
        <f>DATE(2012,12,31)-1369</f>
        <v>39905</v>
      </c>
      <c r="B3204" s="13">
        <v>1801.95</v>
      </c>
    </row>
    <row r="3205" s="6" customFormat="1" spans="1:2">
      <c r="A3205" s="12">
        <f>DATE(2012,12,31)-91</f>
        <v>41183</v>
      </c>
      <c r="B3205" s="13">
        <v>224.09</v>
      </c>
    </row>
    <row r="3206" spans="1:2">
      <c r="A3206" s="14">
        <f>DATE(2012,12,31)-91</f>
        <v>41183</v>
      </c>
      <c r="B3206" s="15">
        <v>56.05</v>
      </c>
    </row>
    <row r="3207" s="6" customFormat="1" spans="1:2">
      <c r="A3207" s="12">
        <f>DATE(2012,12,31)-1179</f>
        <v>40095</v>
      </c>
      <c r="B3207" s="13">
        <v>1136.47</v>
      </c>
    </row>
    <row r="3208" s="6" customFormat="1" spans="1:2">
      <c r="A3208" s="12">
        <f>DATE(2012,12,31)-1179</f>
        <v>40095</v>
      </c>
      <c r="B3208" s="13">
        <v>325.81</v>
      </c>
    </row>
    <row r="3209" s="6" customFormat="1" spans="1:2">
      <c r="A3209" s="12">
        <f>DATE(2012,12,31)-930</f>
        <v>40344</v>
      </c>
      <c r="B3209" s="13">
        <v>12.2</v>
      </c>
    </row>
    <row r="3210" s="6" customFormat="1" spans="1:2">
      <c r="A3210" s="12">
        <f>DATE(2012,12,31)-895</f>
        <v>40379</v>
      </c>
      <c r="B3210" s="13">
        <v>173.7</v>
      </c>
    </row>
    <row r="3211" s="6" customFormat="1" spans="1:2">
      <c r="A3211" s="12">
        <f>DATE(2012,12,31)-895</f>
        <v>40379</v>
      </c>
      <c r="B3211" s="13">
        <v>1811.25</v>
      </c>
    </row>
    <row r="3212" s="6" customFormat="1" spans="1:2">
      <c r="A3212" s="12">
        <f>DATE(2012,12,31)-895</f>
        <v>40379</v>
      </c>
      <c r="B3212" s="13">
        <v>2642.95</v>
      </c>
    </row>
    <row r="3213" s="6" customFormat="1" spans="1:2">
      <c r="A3213" s="12">
        <f>DATE(2012,12,31)-1345</f>
        <v>39929</v>
      </c>
      <c r="B3213" s="13">
        <v>8048.45</v>
      </c>
    </row>
    <row r="3214" s="6" customFormat="1" spans="1:2">
      <c r="A3214" s="12">
        <f>DATE(2012,12,31)-817</f>
        <v>40457</v>
      </c>
      <c r="B3214" s="13">
        <v>292.75</v>
      </c>
    </row>
    <row r="3215" s="6" customFormat="1" spans="1:2">
      <c r="A3215" s="12">
        <f>DATE(2012,12,31)-1314</f>
        <v>39960</v>
      </c>
      <c r="B3215" s="13">
        <v>742.21</v>
      </c>
    </row>
    <row r="3216" s="6" customFormat="1" spans="1:2">
      <c r="A3216" s="12">
        <f>DATE(2012,12,31)-473</f>
        <v>40801</v>
      </c>
      <c r="B3216" s="13">
        <v>342.27</v>
      </c>
    </row>
    <row r="3217" spans="1:2">
      <c r="A3217" s="14">
        <f>DATE(2012,12,31)-473</f>
        <v>40801</v>
      </c>
      <c r="B3217" s="15">
        <v>168.95</v>
      </c>
    </row>
    <row r="3218" s="6" customFormat="1" spans="1:2">
      <c r="A3218" s="12">
        <f>DATE(2012,12,31)-473</f>
        <v>40801</v>
      </c>
      <c r="B3218" s="13">
        <v>577.95</v>
      </c>
    </row>
    <row r="3219" s="6" customFormat="1" spans="1:2">
      <c r="A3219" s="12">
        <f>DATE(2012,12,31)-632</f>
        <v>40642</v>
      </c>
      <c r="B3219" s="13">
        <v>30.92</v>
      </c>
    </row>
    <row r="3220" s="6" customFormat="1" spans="1:2">
      <c r="A3220" s="12">
        <f>DATE(2012,12,31)-632</f>
        <v>40642</v>
      </c>
      <c r="B3220" s="13">
        <v>142.8</v>
      </c>
    </row>
    <row r="3221" s="6" customFormat="1" spans="1:2">
      <c r="A3221" s="12">
        <f>DATE(2012,12,31)-803</f>
        <v>40471</v>
      </c>
      <c r="B3221" s="13">
        <v>25313.34</v>
      </c>
    </row>
    <row r="3222" spans="1:2">
      <c r="A3222" s="14">
        <f>DATE(2012,12,31)-569</f>
        <v>40705</v>
      </c>
      <c r="B3222" s="15">
        <v>43.29</v>
      </c>
    </row>
    <row r="3223" s="6" customFormat="1" spans="1:2">
      <c r="A3223" s="12">
        <f>DATE(2012,12,31)-1193</f>
        <v>40081</v>
      </c>
      <c r="B3223" s="13">
        <v>9312.52</v>
      </c>
    </row>
    <row r="3224" s="6" customFormat="1" spans="1:2">
      <c r="A3224" s="12">
        <f>DATE(2012,12,31)-1193</f>
        <v>40081</v>
      </c>
      <c r="B3224" s="13">
        <v>220.47</v>
      </c>
    </row>
    <row r="3225" s="6" customFormat="1" spans="1:2">
      <c r="A3225" s="12">
        <f>DATE(2012,12,31)-327</f>
        <v>40947</v>
      </c>
      <c r="B3225" s="13">
        <v>1713.8</v>
      </c>
    </row>
    <row r="3226" s="6" customFormat="1" spans="1:2">
      <c r="A3226" s="12">
        <f>DATE(2012,12,31)-327</f>
        <v>40947</v>
      </c>
      <c r="B3226" s="13">
        <v>116.69</v>
      </c>
    </row>
    <row r="3227" s="6" customFormat="1" spans="1:2">
      <c r="A3227" s="12">
        <f>DATE(2012,12,31)-838</f>
        <v>40436</v>
      </c>
      <c r="B3227" s="13">
        <v>23949.51</v>
      </c>
    </row>
    <row r="3228" s="6" customFormat="1" spans="1:2">
      <c r="A3228" s="12">
        <f>DATE(2012,12,31)-557</f>
        <v>40717</v>
      </c>
      <c r="B3228" s="13">
        <v>172.7</v>
      </c>
    </row>
    <row r="3229" s="6" customFormat="1" spans="1:2">
      <c r="A3229" s="12">
        <f>DATE(2012,12,31)-557</f>
        <v>40717</v>
      </c>
      <c r="B3229" s="13">
        <v>1683.57</v>
      </c>
    </row>
    <row r="3230" s="6" customFormat="1" spans="1:2">
      <c r="A3230" s="12">
        <f>DATE(2012,12,31)-1320</f>
        <v>39954</v>
      </c>
      <c r="B3230" s="13">
        <v>4252.89</v>
      </c>
    </row>
    <row r="3231" s="6" customFormat="1" spans="1:2">
      <c r="A3231" s="12">
        <f>DATE(2012,12,31)-251</f>
        <v>41023</v>
      </c>
      <c r="B3231" s="13">
        <v>1191.73</v>
      </c>
    </row>
    <row r="3232" s="6" customFormat="1" spans="1:2">
      <c r="A3232" s="12">
        <f>DATE(2012,12,31)-158</f>
        <v>41116</v>
      </c>
      <c r="B3232" s="13">
        <v>3549.9</v>
      </c>
    </row>
    <row r="3233" s="6" customFormat="1" spans="1:2">
      <c r="A3233" s="12">
        <f>DATE(2012,12,31)-158</f>
        <v>41116</v>
      </c>
      <c r="B3233" s="13">
        <v>138.24</v>
      </c>
    </row>
    <row r="3234" s="6" customFormat="1" spans="1:2">
      <c r="A3234" s="12">
        <f>DATE(2012,12,31)-520</f>
        <v>40754</v>
      </c>
      <c r="B3234" s="13">
        <v>307.42</v>
      </c>
    </row>
    <row r="3235" s="6" customFormat="1" spans="1:2">
      <c r="A3235" s="12">
        <f>DATE(2012,12,31)-520</f>
        <v>40754</v>
      </c>
      <c r="B3235" s="13">
        <v>608.29</v>
      </c>
    </row>
    <row r="3236" spans="1:2">
      <c r="A3236" s="14">
        <f>DATE(2012,12,31)-1317</f>
        <v>39957</v>
      </c>
      <c r="B3236" s="15">
        <v>319.62</v>
      </c>
    </row>
    <row r="3237" s="6" customFormat="1" spans="1:2">
      <c r="A3237" s="12">
        <f>DATE(2012,12,31)-1317</f>
        <v>39957</v>
      </c>
      <c r="B3237" s="13">
        <v>263.39</v>
      </c>
    </row>
    <row r="3238" s="6" customFormat="1" spans="1:2">
      <c r="A3238" s="12">
        <f>DATE(2012,12,31)-1317</f>
        <v>39957</v>
      </c>
      <c r="B3238" s="13">
        <v>7208.8</v>
      </c>
    </row>
    <row r="3239" s="6" customFormat="1" spans="1:2">
      <c r="A3239" s="12">
        <f>DATE(2012,12,31)-801</f>
        <v>40473</v>
      </c>
      <c r="B3239" s="13">
        <v>336.91</v>
      </c>
    </row>
    <row r="3240" s="6" customFormat="1" spans="1:2">
      <c r="A3240" s="12">
        <f>DATE(2012,12,31)-990</f>
        <v>40284</v>
      </c>
      <c r="B3240" s="13">
        <v>614.15</v>
      </c>
    </row>
    <row r="3241" s="6" customFormat="1" spans="1:2">
      <c r="A3241" s="12">
        <f>DATE(2012,12,31)-990</f>
        <v>40284</v>
      </c>
      <c r="B3241" s="13">
        <v>154.24</v>
      </c>
    </row>
    <row r="3242" s="6" customFormat="1" spans="1:2">
      <c r="A3242" s="12">
        <f>DATE(2012,12,31)-990</f>
        <v>40284</v>
      </c>
      <c r="B3242" s="13">
        <v>140.31</v>
      </c>
    </row>
    <row r="3243" s="6" customFormat="1" spans="1:2">
      <c r="A3243" s="12">
        <f>DATE(2012,12,31)-545</f>
        <v>40729</v>
      </c>
      <c r="B3243" s="13">
        <v>17.43</v>
      </c>
    </row>
    <row r="3244" s="6" customFormat="1" spans="1:2">
      <c r="A3244" s="12">
        <f>DATE(2012,12,31)-1006</f>
        <v>40268</v>
      </c>
      <c r="B3244" s="13">
        <v>2976.19</v>
      </c>
    </row>
    <row r="3245" s="6" customFormat="1" spans="1:2">
      <c r="A3245" s="12">
        <f>DATE(2012,12,31)-755</f>
        <v>40519</v>
      </c>
      <c r="B3245" s="13">
        <v>108.42</v>
      </c>
    </row>
    <row r="3246" s="6" customFormat="1" spans="1:2">
      <c r="A3246" s="12">
        <f>DATE(2012,12,31)-755</f>
        <v>40519</v>
      </c>
      <c r="B3246" s="13">
        <v>78.47</v>
      </c>
    </row>
    <row r="3247" s="6" customFormat="1" spans="1:2">
      <c r="A3247" s="12">
        <f>DATE(2012,12,31)-350</f>
        <v>40924</v>
      </c>
      <c r="B3247" s="13">
        <v>255.31</v>
      </c>
    </row>
    <row r="3248" spans="1:2">
      <c r="A3248" s="14">
        <f>DATE(2012,12,31)-350</f>
        <v>40924</v>
      </c>
      <c r="B3248" s="15">
        <v>50.85</v>
      </c>
    </row>
    <row r="3249" s="6" customFormat="1" spans="1:2">
      <c r="A3249" s="12">
        <f>DATE(2012,12,31)-659</f>
        <v>40615</v>
      </c>
      <c r="B3249" s="13">
        <v>1460.42</v>
      </c>
    </row>
    <row r="3250" s="6" customFormat="1" spans="1:2">
      <c r="A3250" s="12">
        <f>DATE(2012,12,31)-659</f>
        <v>40615</v>
      </c>
      <c r="B3250" s="13">
        <v>6659.7415</v>
      </c>
    </row>
    <row r="3251" s="6" customFormat="1" spans="1:2">
      <c r="A3251" s="12">
        <f>DATE(2012,12,31)-789</f>
        <v>40485</v>
      </c>
      <c r="B3251" s="13">
        <v>794.58</v>
      </c>
    </row>
    <row r="3252" s="6" customFormat="1" spans="1:2">
      <c r="A3252" s="12">
        <f>DATE(2012,12,31)-182</f>
        <v>41092</v>
      </c>
      <c r="B3252" s="13">
        <v>498.68</v>
      </c>
    </row>
    <row r="3253" s="6" customFormat="1" spans="1:2">
      <c r="A3253" s="12">
        <f>DATE(2012,12,31)-182</f>
        <v>41092</v>
      </c>
      <c r="B3253" s="13">
        <v>5208.78</v>
      </c>
    </row>
    <row r="3254" s="6" customFormat="1" spans="1:2">
      <c r="A3254" s="12">
        <f>DATE(2012,12,31)-623</f>
        <v>40651</v>
      </c>
      <c r="B3254" s="13">
        <v>28.46</v>
      </c>
    </row>
    <row r="3255" s="6" customFormat="1" spans="1:2">
      <c r="A3255" s="12">
        <f>DATE(2012,12,31)-623</f>
        <v>40651</v>
      </c>
      <c r="B3255" s="13">
        <v>23.44</v>
      </c>
    </row>
    <row r="3256" s="6" customFormat="1" spans="1:2">
      <c r="A3256" s="12">
        <f>DATE(2012,12,31)-1290</f>
        <v>39984</v>
      </c>
      <c r="B3256" s="13">
        <v>238.49</v>
      </c>
    </row>
    <row r="3257" s="6" customFormat="1" spans="1:2">
      <c r="A3257" s="12">
        <f>DATE(2012,12,31)-838</f>
        <v>40436</v>
      </c>
      <c r="B3257" s="13">
        <v>5740.32</v>
      </c>
    </row>
    <row r="3258" s="6" customFormat="1" spans="1:2">
      <c r="A3258" s="12">
        <f>DATE(2012,12,31)-736</f>
        <v>40538</v>
      </c>
      <c r="B3258" s="13">
        <v>31.1185</v>
      </c>
    </row>
    <row r="3259" s="6" customFormat="1" spans="1:2">
      <c r="A3259" s="12">
        <f>DATE(2012,12,31)-736</f>
        <v>40538</v>
      </c>
      <c r="B3259" s="13">
        <v>4829.4535</v>
      </c>
    </row>
    <row r="3260" s="6" customFormat="1" spans="1:2">
      <c r="A3260" s="12">
        <f>DATE(2012,12,31)-1244</f>
        <v>40030</v>
      </c>
      <c r="B3260" s="13">
        <v>634.12</v>
      </c>
    </row>
    <row r="3261" s="6" customFormat="1" spans="1:2">
      <c r="A3261" s="12">
        <f>DATE(2012,12,31)-1244</f>
        <v>40030</v>
      </c>
      <c r="B3261" s="13">
        <v>196.84</v>
      </c>
    </row>
    <row r="3262" s="6" customFormat="1" spans="1:2">
      <c r="A3262" s="12">
        <f>DATE(2012,12,31)-1244</f>
        <v>40030</v>
      </c>
      <c r="B3262" s="13">
        <v>886.89</v>
      </c>
    </row>
    <row r="3263" spans="1:2">
      <c r="A3263" s="14">
        <f>DATE(2012,12,31)-1330</f>
        <v>39944</v>
      </c>
      <c r="B3263" s="15">
        <v>512.97</v>
      </c>
    </row>
    <row r="3264" s="6" customFormat="1" spans="1:2">
      <c r="A3264" s="12">
        <f>DATE(2012,12,31)-912</f>
        <v>40362</v>
      </c>
      <c r="B3264" s="13">
        <v>3.23</v>
      </c>
    </row>
    <row r="3265" s="6" customFormat="1" spans="1:2">
      <c r="A3265" s="12">
        <f>DATE(2012,12,31)-912</f>
        <v>40362</v>
      </c>
      <c r="B3265" s="13">
        <v>2861.66</v>
      </c>
    </row>
    <row r="3266" s="6" customFormat="1" spans="1:2">
      <c r="A3266" s="12">
        <f>DATE(2012,12,31)-912</f>
        <v>40362</v>
      </c>
      <c r="B3266" s="13">
        <v>373.2775</v>
      </c>
    </row>
    <row r="3267" s="6" customFormat="1" spans="1:2">
      <c r="A3267" s="12">
        <f>DATE(2012,12,31)-857</f>
        <v>40417</v>
      </c>
      <c r="B3267" s="13">
        <v>852.05</v>
      </c>
    </row>
    <row r="3268" s="6" customFormat="1" spans="1:2">
      <c r="A3268" s="12">
        <f>DATE(2012,12,31)-216</f>
        <v>41058</v>
      </c>
      <c r="B3268" s="13">
        <v>241.81</v>
      </c>
    </row>
    <row r="3269" s="6" customFormat="1" spans="1:2">
      <c r="A3269" s="12">
        <f>DATE(2012,12,31)-773</f>
        <v>40501</v>
      </c>
      <c r="B3269" s="13">
        <v>136.1</v>
      </c>
    </row>
    <row r="3270" s="6" customFormat="1" spans="1:2">
      <c r="A3270" s="12">
        <f>DATE(2012,12,31)-773</f>
        <v>40501</v>
      </c>
      <c r="B3270" s="13">
        <v>297.85</v>
      </c>
    </row>
    <row r="3271" s="6" customFormat="1" spans="1:2">
      <c r="A3271" s="12">
        <f>DATE(2012,12,31)-1233</f>
        <v>40041</v>
      </c>
      <c r="B3271" s="13">
        <v>4276.096</v>
      </c>
    </row>
    <row r="3272" spans="1:2">
      <c r="A3272" s="14">
        <f>DATE(2012,12,31)-977</f>
        <v>40297</v>
      </c>
      <c r="B3272" s="15">
        <v>101.57</v>
      </c>
    </row>
    <row r="3273" s="6" customFormat="1" spans="1:2">
      <c r="A3273" s="12">
        <f>DATE(2012,12,31)-65</f>
        <v>41209</v>
      </c>
      <c r="B3273" s="13">
        <v>1296.46</v>
      </c>
    </row>
    <row r="3274" s="6" customFormat="1" spans="1:2">
      <c r="A3274" s="12">
        <f>DATE(2012,12,31)-927</f>
        <v>40347</v>
      </c>
      <c r="B3274" s="13">
        <v>11481.03</v>
      </c>
    </row>
    <row r="3275" s="6" customFormat="1" spans="1:2">
      <c r="A3275" s="12">
        <f>DATE(2012,12,31)-1389</f>
        <v>39885</v>
      </c>
      <c r="B3275" s="13">
        <v>123.1</v>
      </c>
    </row>
    <row r="3276" s="6" customFormat="1" spans="1:2">
      <c r="A3276" s="12">
        <f>DATE(2012,12,31)-733</f>
        <v>40541</v>
      </c>
      <c r="B3276" s="13">
        <v>209.3</v>
      </c>
    </row>
    <row r="3277" s="6" customFormat="1" spans="1:2">
      <c r="A3277" s="12">
        <f>DATE(2012,12,31)-684</f>
        <v>40590</v>
      </c>
      <c r="B3277" s="13">
        <v>1009.8</v>
      </c>
    </row>
    <row r="3278" s="6" customFormat="1" spans="1:2">
      <c r="A3278" s="12">
        <f>DATE(2012,12,31)-684</f>
        <v>40590</v>
      </c>
      <c r="B3278" s="13">
        <v>29.71</v>
      </c>
    </row>
    <row r="3279" s="6" customFormat="1" spans="1:2">
      <c r="A3279" s="12">
        <f>DATE(2012,12,31)-511</f>
        <v>40763</v>
      </c>
      <c r="B3279" s="13">
        <v>442.76</v>
      </c>
    </row>
    <row r="3280" s="6" customFormat="1" spans="1:2">
      <c r="A3280" s="12">
        <f>DATE(2012,12,31)-511</f>
        <v>40763</v>
      </c>
      <c r="B3280" s="13">
        <v>2684.98</v>
      </c>
    </row>
    <row r="3281" s="6" customFormat="1" spans="1:2">
      <c r="A3281" s="12">
        <f>DATE(2012,12,31)-64</f>
        <v>41210</v>
      </c>
      <c r="B3281" s="13">
        <v>980.95</v>
      </c>
    </row>
    <row r="3282" spans="1:2">
      <c r="A3282" s="14">
        <f>DATE(2012,12,31)-1383</f>
        <v>39891</v>
      </c>
      <c r="B3282" s="15">
        <v>154.61</v>
      </c>
    </row>
    <row r="3283" s="6" customFormat="1" spans="1:2">
      <c r="A3283" s="12">
        <f>DATE(2012,12,31)-1383</f>
        <v>39891</v>
      </c>
      <c r="B3283" s="13">
        <v>1063.35</v>
      </c>
    </row>
    <row r="3284" s="6" customFormat="1" spans="1:2">
      <c r="A3284" s="12">
        <f>DATE(2012,12,31)-1455</f>
        <v>39819</v>
      </c>
      <c r="B3284" s="13">
        <v>101.77</v>
      </c>
    </row>
    <row r="3285" s="6" customFormat="1" spans="1:2">
      <c r="A3285" s="12">
        <f>DATE(2012,12,31)-1455</f>
        <v>39819</v>
      </c>
      <c r="B3285" s="13">
        <v>26133.39</v>
      </c>
    </row>
    <row r="3286" s="6" customFormat="1" spans="1:2">
      <c r="A3286" s="12">
        <f>DATE(2012,12,31)-125</f>
        <v>41149</v>
      </c>
      <c r="B3286" s="13">
        <v>2004.6</v>
      </c>
    </row>
    <row r="3287" s="6" customFormat="1" spans="1:2">
      <c r="A3287" s="12">
        <f>DATE(2012,12,31)-630</f>
        <v>40644</v>
      </c>
      <c r="B3287" s="13">
        <v>180.43</v>
      </c>
    </row>
    <row r="3288" s="6" customFormat="1" spans="1:2">
      <c r="A3288" s="12">
        <f>DATE(2012,12,31)-630</f>
        <v>40644</v>
      </c>
      <c r="B3288" s="13">
        <v>1077.8085</v>
      </c>
    </row>
    <row r="3289" s="6" customFormat="1" spans="1:2">
      <c r="A3289" s="12">
        <f>DATE(2012,12,31)-630</f>
        <v>40644</v>
      </c>
      <c r="B3289" s="13">
        <v>2899.98</v>
      </c>
    </row>
    <row r="3290" spans="1:2">
      <c r="A3290" s="14">
        <f>DATE(2012,12,31)-630</f>
        <v>40644</v>
      </c>
      <c r="B3290" s="15">
        <v>233.38</v>
      </c>
    </row>
    <row r="3291" s="6" customFormat="1" spans="1:2">
      <c r="A3291" s="12">
        <f>DATE(2012,12,31)-1343</f>
        <v>39931</v>
      </c>
      <c r="B3291" s="13">
        <v>129.33</v>
      </c>
    </row>
    <row r="3292" s="6" customFormat="1" spans="1:2">
      <c r="A3292" s="12">
        <f>DATE(2012,12,31)-1343</f>
        <v>39931</v>
      </c>
      <c r="B3292" s="13">
        <v>2461.23</v>
      </c>
    </row>
    <row r="3293" s="6" customFormat="1" spans="1:2">
      <c r="A3293" s="12">
        <f>DATE(2012,12,31)-20</f>
        <v>41254</v>
      </c>
      <c r="B3293" s="13">
        <v>104.7</v>
      </c>
    </row>
    <row r="3294" s="6" customFormat="1" spans="1:2">
      <c r="A3294" s="12">
        <f>DATE(2012,12,31)-20</f>
        <v>41254</v>
      </c>
      <c r="B3294" s="13">
        <v>284.4525</v>
      </c>
    </row>
    <row r="3295" spans="1:2">
      <c r="A3295" s="14">
        <f>DATE(2012,12,31)-722</f>
        <v>40552</v>
      </c>
      <c r="B3295" s="15">
        <v>11747.97</v>
      </c>
    </row>
    <row r="3296" s="6" customFormat="1" spans="1:2">
      <c r="A3296" s="12">
        <f>DATE(2012,12,31)-580</f>
        <v>40694</v>
      </c>
      <c r="B3296" s="13">
        <v>1011.16</v>
      </c>
    </row>
    <row r="3297" spans="1:2">
      <c r="A3297" s="14">
        <f>DATE(2012,12,31)-510</f>
        <v>40764</v>
      </c>
      <c r="B3297" s="15">
        <v>25.82</v>
      </c>
    </row>
    <row r="3298" s="6" customFormat="1" spans="1:2">
      <c r="A3298" s="12">
        <f>DATE(2012,12,31)-510</f>
        <v>40764</v>
      </c>
      <c r="B3298" s="13">
        <v>579.71</v>
      </c>
    </row>
    <row r="3299" s="6" customFormat="1" spans="1:2">
      <c r="A3299" s="12">
        <f>DATE(2012,12,31)-897</f>
        <v>40377</v>
      </c>
      <c r="B3299" s="13">
        <v>425.67</v>
      </c>
    </row>
    <row r="3300" s="6" customFormat="1" spans="1:2">
      <c r="A3300" s="12">
        <f>DATE(2012,12,31)-897</f>
        <v>40377</v>
      </c>
      <c r="B3300" s="13">
        <v>173.44</v>
      </c>
    </row>
    <row r="3301" s="6" customFormat="1" spans="1:2">
      <c r="A3301" s="12">
        <f>DATE(2012,12,31)-294</f>
        <v>40980</v>
      </c>
      <c r="B3301" s="13">
        <v>2671.21</v>
      </c>
    </row>
    <row r="3302" s="6" customFormat="1" spans="1:2">
      <c r="A3302" s="12">
        <f>DATE(2012,12,31)-61</f>
        <v>41213</v>
      </c>
      <c r="B3302" s="13">
        <v>192.78</v>
      </c>
    </row>
    <row r="3303" s="6" customFormat="1" spans="1:2">
      <c r="A3303" s="12">
        <f>DATE(2012,12,31)-1082</f>
        <v>40192</v>
      </c>
      <c r="B3303" s="13">
        <v>210.9</v>
      </c>
    </row>
    <row r="3304" s="6" customFormat="1" spans="1:2">
      <c r="A3304" s="12">
        <f>DATE(2012,12,31)-125</f>
        <v>41149</v>
      </c>
      <c r="B3304" s="13">
        <v>9262.35</v>
      </c>
    </row>
    <row r="3305" s="6" customFormat="1" spans="1:2">
      <c r="A3305" s="12">
        <f>DATE(2012,12,31)-606</f>
        <v>40668</v>
      </c>
      <c r="B3305" s="13">
        <v>247.34</v>
      </c>
    </row>
    <row r="3306" s="6" customFormat="1" spans="1:2">
      <c r="A3306" s="12">
        <f>DATE(2012,12,31)-34</f>
        <v>41240</v>
      </c>
      <c r="B3306" s="13">
        <v>2601.7905</v>
      </c>
    </row>
    <row r="3307" s="6" customFormat="1" spans="1:2">
      <c r="A3307" s="12">
        <f>DATE(2012,12,31)-10</f>
        <v>41264</v>
      </c>
      <c r="B3307" s="13">
        <v>1043.12</v>
      </c>
    </row>
    <row r="3308" s="6" customFormat="1" spans="1:2">
      <c r="A3308" s="12">
        <f>DATE(2012,12,31)-10</f>
        <v>41264</v>
      </c>
      <c r="B3308" s="13">
        <v>285.91</v>
      </c>
    </row>
    <row r="3309" s="6" customFormat="1" spans="1:2">
      <c r="A3309" s="12">
        <f>DATE(2012,12,31)-10</f>
        <v>41264</v>
      </c>
      <c r="B3309" s="13">
        <v>2611.8035</v>
      </c>
    </row>
    <row r="3310" s="6" customFormat="1" spans="1:2">
      <c r="A3310" s="12">
        <f>DATE(2012,12,31)-98</f>
        <v>41176</v>
      </c>
      <c r="B3310" s="13">
        <v>6768.16</v>
      </c>
    </row>
    <row r="3311" s="6" customFormat="1" spans="1:2">
      <c r="A3311" s="12">
        <f>DATE(2012,12,31)-98</f>
        <v>41176</v>
      </c>
      <c r="B3311" s="13">
        <v>10.65</v>
      </c>
    </row>
    <row r="3312" s="6" customFormat="1" spans="1:2">
      <c r="A3312" s="12">
        <f>DATE(2012,12,31)-117</f>
        <v>41157</v>
      </c>
      <c r="B3312" s="13">
        <v>4587.926</v>
      </c>
    </row>
    <row r="3313" s="6" customFormat="1" spans="1:2">
      <c r="A3313" s="12">
        <f>DATE(2012,12,31)-117</f>
        <v>41157</v>
      </c>
      <c r="B3313" s="13">
        <v>4541.924</v>
      </c>
    </row>
    <row r="3314" s="6" customFormat="1" spans="1:2">
      <c r="A3314" s="12">
        <f>DATE(2012,12,31)-1219</f>
        <v>40055</v>
      </c>
      <c r="B3314" s="13">
        <v>305.48</v>
      </c>
    </row>
    <row r="3315" s="6" customFormat="1" spans="1:2">
      <c r="A3315" s="12">
        <f>DATE(2012,12,31)-786</f>
        <v>40488</v>
      </c>
      <c r="B3315" s="13">
        <v>2029.496</v>
      </c>
    </row>
    <row r="3316" spans="1:2">
      <c r="A3316" s="14">
        <f>DATE(2012,12,31)-226</f>
        <v>41048</v>
      </c>
      <c r="B3316" s="15">
        <v>4182.52</v>
      </c>
    </row>
    <row r="3317" s="6" customFormat="1" spans="1:2">
      <c r="A3317" s="12">
        <f>DATE(2012,12,31)-185</f>
        <v>41089</v>
      </c>
      <c r="B3317" s="13">
        <v>7928.562</v>
      </c>
    </row>
    <row r="3318" s="6" customFormat="1" spans="1:2">
      <c r="A3318" s="12">
        <f>DATE(2012,12,31)-33</f>
        <v>41241</v>
      </c>
      <c r="B3318" s="13">
        <v>3701.5205</v>
      </c>
    </row>
    <row r="3319" s="6" customFormat="1" spans="1:2">
      <c r="A3319" s="12">
        <f>DATE(2012,12,31)-890</f>
        <v>40384</v>
      </c>
      <c r="B3319" s="13">
        <v>122.74</v>
      </c>
    </row>
    <row r="3320" s="6" customFormat="1" spans="1:2">
      <c r="A3320" s="12">
        <f>DATE(2012,12,31)-26</f>
        <v>41248</v>
      </c>
      <c r="B3320" s="13">
        <v>715.8</v>
      </c>
    </row>
    <row r="3321" s="6" customFormat="1" spans="1:2">
      <c r="A3321" s="12">
        <f>DATE(2012,12,31)-26</f>
        <v>41248</v>
      </c>
      <c r="B3321" s="13">
        <v>10941.23</v>
      </c>
    </row>
    <row r="3322" s="6" customFormat="1" spans="1:2">
      <c r="A3322" s="12">
        <f>DATE(2012,12,31)-747</f>
        <v>40527</v>
      </c>
      <c r="B3322" s="13">
        <v>408.23</v>
      </c>
    </row>
    <row r="3323" s="6" customFormat="1" spans="1:2">
      <c r="A3323" s="12">
        <f>DATE(2012,12,31)-143</f>
        <v>41131</v>
      </c>
      <c r="B3323" s="13">
        <v>6163.52</v>
      </c>
    </row>
    <row r="3324" s="6" customFormat="1" spans="1:2">
      <c r="A3324" s="12">
        <f>DATE(2012,12,31)-1384</f>
        <v>39890</v>
      </c>
      <c r="B3324" s="13">
        <v>10364.36</v>
      </c>
    </row>
    <row r="3325" spans="1:2">
      <c r="A3325" s="14">
        <f>DATE(2012,12,31)-35</f>
        <v>41239</v>
      </c>
      <c r="B3325" s="15">
        <v>487.7</v>
      </c>
    </row>
    <row r="3326" s="6" customFormat="1" spans="1:2">
      <c r="A3326" s="12">
        <f>DATE(2012,12,31)-1267</f>
        <v>40007</v>
      </c>
      <c r="B3326" s="13">
        <v>105.94</v>
      </c>
    </row>
    <row r="3327" s="6" customFormat="1" spans="1:2">
      <c r="A3327" s="12">
        <f>DATE(2012,12,31)-427</f>
        <v>40847</v>
      </c>
      <c r="B3327" s="13">
        <v>200.24</v>
      </c>
    </row>
    <row r="3328" s="6" customFormat="1" spans="1:2">
      <c r="A3328" s="12">
        <f>DATE(2012,12,31)-1086</f>
        <v>40188</v>
      </c>
      <c r="B3328" s="13">
        <v>21390.44</v>
      </c>
    </row>
    <row r="3329" s="6" customFormat="1" spans="1:2">
      <c r="A3329" s="12">
        <f>DATE(2012,12,31)-1086</f>
        <v>40188</v>
      </c>
      <c r="B3329" s="13">
        <v>169.75</v>
      </c>
    </row>
    <row r="3330" s="6" customFormat="1" spans="1:2">
      <c r="A3330" s="12">
        <f>DATE(2012,12,31)-1423</f>
        <v>39851</v>
      </c>
      <c r="B3330" s="13">
        <v>630.14</v>
      </c>
    </row>
    <row r="3331" s="6" customFormat="1" spans="1:2">
      <c r="A3331" s="12">
        <f>DATE(2012,12,31)-1423</f>
        <v>39851</v>
      </c>
      <c r="B3331" s="13">
        <v>2813.8485</v>
      </c>
    </row>
    <row r="3332" spans="1:2">
      <c r="A3332" s="14">
        <f>DATE(2012,12,31)-210</f>
        <v>41064</v>
      </c>
      <c r="B3332" s="15">
        <v>86.61</v>
      </c>
    </row>
    <row r="3333" s="6" customFormat="1" spans="1:2">
      <c r="A3333" s="12">
        <f>DATE(2012,12,31)-157</f>
        <v>41117</v>
      </c>
      <c r="B3333" s="13">
        <v>5845.82</v>
      </c>
    </row>
    <row r="3334" s="6" customFormat="1" spans="1:2">
      <c r="A3334" s="12">
        <f>DATE(2012,12,31)-836</f>
        <v>40438</v>
      </c>
      <c r="B3334" s="13">
        <v>127.16</v>
      </c>
    </row>
    <row r="3335" s="6" customFormat="1" spans="1:2">
      <c r="A3335" s="12">
        <f>DATE(2012,12,31)-1274</f>
        <v>40000</v>
      </c>
      <c r="B3335" s="13">
        <v>1861.36</v>
      </c>
    </row>
    <row r="3336" s="6" customFormat="1" spans="1:2">
      <c r="A3336" s="12">
        <f>DATE(2012,12,31)-1274</f>
        <v>40000</v>
      </c>
      <c r="B3336" s="13">
        <v>937.62</v>
      </c>
    </row>
    <row r="3337" s="6" customFormat="1" spans="1:2">
      <c r="A3337" s="12">
        <f>DATE(2012,12,31)-1274</f>
        <v>40000</v>
      </c>
      <c r="B3337" s="13">
        <v>33.02</v>
      </c>
    </row>
    <row r="3338" s="6" customFormat="1" spans="1:2">
      <c r="A3338" s="12">
        <f>DATE(2012,12,31)-52</f>
        <v>41222</v>
      </c>
      <c r="B3338" s="13">
        <v>1278.6465</v>
      </c>
    </row>
    <row r="3339" s="6" customFormat="1" spans="1:2">
      <c r="A3339" s="12">
        <f>DATE(2012,12,31)-1268</f>
        <v>40006</v>
      </c>
      <c r="B3339" s="13">
        <v>1624.5965</v>
      </c>
    </row>
    <row r="3340" s="6" customFormat="1" spans="1:2">
      <c r="A3340" s="12">
        <f>DATE(2012,12,31)-1268</f>
        <v>40006</v>
      </c>
      <c r="B3340" s="13">
        <v>381.36</v>
      </c>
    </row>
    <row r="3341" s="6" customFormat="1" spans="1:2">
      <c r="A3341" s="12">
        <f>DATE(2012,12,31)-833</f>
        <v>40441</v>
      </c>
      <c r="B3341" s="13">
        <v>321.02</v>
      </c>
    </row>
    <row r="3342" s="6" customFormat="1" spans="1:2">
      <c r="A3342" s="12">
        <f>DATE(2012,12,31)-536</f>
        <v>40738</v>
      </c>
      <c r="B3342" s="13">
        <v>384.2</v>
      </c>
    </row>
    <row r="3343" s="6" customFormat="1" spans="1:2">
      <c r="A3343" s="12">
        <f>DATE(2012,12,31)-213</f>
        <v>41061</v>
      </c>
      <c r="B3343" s="13">
        <v>2580.67</v>
      </c>
    </row>
    <row r="3344" s="6" customFormat="1" spans="1:2">
      <c r="A3344" s="12">
        <f>DATE(2012,12,31)-213</f>
        <v>41061</v>
      </c>
      <c r="B3344" s="13">
        <v>955.46</v>
      </c>
    </row>
    <row r="3345" s="6" customFormat="1" spans="1:2">
      <c r="A3345" s="12">
        <f>DATE(2012,12,31)-213</f>
        <v>41061</v>
      </c>
      <c r="B3345" s="13">
        <v>121.26</v>
      </c>
    </row>
    <row r="3346" s="6" customFormat="1" spans="1:2">
      <c r="A3346" s="12">
        <f>DATE(2012,12,31)-1110</f>
        <v>40164</v>
      </c>
      <c r="B3346" s="13">
        <v>71.39</v>
      </c>
    </row>
    <row r="3347" s="6" customFormat="1" spans="1:2">
      <c r="A3347" s="12">
        <f>DATE(2012,12,31)-633</f>
        <v>40641</v>
      </c>
      <c r="B3347" s="13">
        <v>138.52</v>
      </c>
    </row>
    <row r="3348" s="6" customFormat="1" spans="1:2">
      <c r="A3348" s="12">
        <f>DATE(2012,12,31)-633</f>
        <v>40641</v>
      </c>
      <c r="B3348" s="13">
        <v>1735.59</v>
      </c>
    </row>
    <row r="3349" s="6" customFormat="1" spans="1:2">
      <c r="A3349" s="12">
        <f>DATE(2012,12,31)-557</f>
        <v>40717</v>
      </c>
      <c r="B3349" s="13">
        <v>376.53</v>
      </c>
    </row>
    <row r="3350" spans="1:2">
      <c r="A3350" s="14">
        <f>DATE(2012,12,31)-668</f>
        <v>40606</v>
      </c>
      <c r="B3350" s="15">
        <v>127.48</v>
      </c>
    </row>
    <row r="3351" s="6" customFormat="1" spans="1:2">
      <c r="A3351" s="12">
        <f>DATE(2012,12,31)-1136</f>
        <v>40138</v>
      </c>
      <c r="B3351" s="13">
        <v>66.63</v>
      </c>
    </row>
    <row r="3352" spans="1:2">
      <c r="A3352" s="14">
        <f>DATE(2012,12,31)-1157</f>
        <v>40117</v>
      </c>
      <c r="B3352" s="15">
        <v>87.44</v>
      </c>
    </row>
    <row r="3353" spans="1:2">
      <c r="A3353" s="14">
        <f>DATE(2012,12,31)-1157</f>
        <v>40117</v>
      </c>
      <c r="B3353" s="15">
        <v>1318.49</v>
      </c>
    </row>
    <row r="3354" s="6" customFormat="1" spans="1:2">
      <c r="A3354" s="12">
        <f>DATE(2012,12,31)-1157</f>
        <v>40117</v>
      </c>
      <c r="B3354" s="13">
        <v>11.89</v>
      </c>
    </row>
    <row r="3355" s="6" customFormat="1" spans="1:2">
      <c r="A3355" s="12">
        <f>DATE(2012,12,31)-1157</f>
        <v>40117</v>
      </c>
      <c r="B3355" s="13">
        <v>129.7865</v>
      </c>
    </row>
    <row r="3356" s="6" customFormat="1" spans="1:2">
      <c r="A3356" s="12">
        <f>DATE(2012,12,31)-858</f>
        <v>40416</v>
      </c>
      <c r="B3356" s="13">
        <v>531.66</v>
      </c>
    </row>
    <row r="3357" s="6" customFormat="1" spans="1:2">
      <c r="A3357" s="12">
        <f>DATE(2012,12,31)-858</f>
        <v>40416</v>
      </c>
      <c r="B3357" s="13">
        <v>317.85</v>
      </c>
    </row>
    <row r="3358" s="6" customFormat="1" spans="1:2">
      <c r="A3358" s="12">
        <f>DATE(2012,12,31)-858</f>
        <v>40416</v>
      </c>
      <c r="B3358" s="13">
        <v>163.08</v>
      </c>
    </row>
    <row r="3359" s="6" customFormat="1" spans="1:2">
      <c r="A3359" s="12">
        <f>DATE(2012,12,31)-729</f>
        <v>40545</v>
      </c>
      <c r="B3359" s="13">
        <v>1227.18</v>
      </c>
    </row>
    <row r="3360" s="6" customFormat="1" spans="1:2">
      <c r="A3360" s="12">
        <f>DATE(2012,12,31)-560</f>
        <v>40714</v>
      </c>
      <c r="B3360" s="13">
        <v>103.07</v>
      </c>
    </row>
    <row r="3361" s="6" customFormat="1" spans="1:2">
      <c r="A3361" s="12">
        <f>DATE(2012,12,31)-560</f>
        <v>40714</v>
      </c>
      <c r="B3361" s="13">
        <v>896.1805</v>
      </c>
    </row>
    <row r="3362" s="6" customFormat="1" spans="1:2">
      <c r="A3362" s="12">
        <f>DATE(2012,12,31)-167</f>
        <v>41107</v>
      </c>
      <c r="B3362" s="13">
        <v>199.16</v>
      </c>
    </row>
    <row r="3363" s="6" customFormat="1" spans="1:2">
      <c r="A3363" s="12">
        <f>DATE(2012,12,31)-890</f>
        <v>40384</v>
      </c>
      <c r="B3363" s="13">
        <v>6366.52</v>
      </c>
    </row>
    <row r="3364" s="6" customFormat="1" spans="1:2">
      <c r="A3364" s="12">
        <f>DATE(2012,12,31)-262</f>
        <v>41012</v>
      </c>
      <c r="B3364" s="13">
        <v>4278.61</v>
      </c>
    </row>
    <row r="3365" s="6" customFormat="1" spans="1:2">
      <c r="A3365" s="12">
        <f>DATE(2012,12,31)-131</f>
        <v>41143</v>
      </c>
      <c r="B3365" s="13">
        <v>128.25</v>
      </c>
    </row>
    <row r="3366" spans="1:2">
      <c r="A3366" s="14">
        <f>DATE(2012,12,31)-131</f>
        <v>41143</v>
      </c>
      <c r="B3366" s="15">
        <v>120.56</v>
      </c>
    </row>
    <row r="3367" s="6" customFormat="1" spans="1:2">
      <c r="A3367" s="12">
        <f>DATE(2012,12,31)-131</f>
        <v>41143</v>
      </c>
      <c r="B3367" s="13">
        <v>2640.6865</v>
      </c>
    </row>
    <row r="3368" s="6" customFormat="1" spans="1:2">
      <c r="A3368" s="12">
        <f>DATE(2012,12,31)-899</f>
        <v>40375</v>
      </c>
      <c r="B3368" s="13">
        <v>7981.2</v>
      </c>
    </row>
    <row r="3369" s="6" customFormat="1" spans="1:2">
      <c r="A3369" s="12">
        <f>DATE(2012,12,31)-657</f>
        <v>40617</v>
      </c>
      <c r="B3369" s="13">
        <v>170.42</v>
      </c>
    </row>
    <row r="3370" s="6" customFormat="1" spans="1:2">
      <c r="A3370" s="12">
        <f>DATE(2012,12,31)-657</f>
        <v>40617</v>
      </c>
      <c r="B3370" s="13">
        <v>431.29</v>
      </c>
    </row>
    <row r="3371" s="6" customFormat="1" spans="1:2">
      <c r="A3371" s="12">
        <f>DATE(2012,12,31)-657</f>
        <v>40617</v>
      </c>
      <c r="B3371" s="13">
        <v>294.26</v>
      </c>
    </row>
    <row r="3372" s="6" customFormat="1" spans="1:2">
      <c r="A3372" s="12">
        <f>DATE(2012,12,31)-880</f>
        <v>40394</v>
      </c>
      <c r="B3372" s="13">
        <v>17.19</v>
      </c>
    </row>
    <row r="3373" s="6" customFormat="1" spans="1:2">
      <c r="A3373" s="12">
        <f>DATE(2012,12,31)-880</f>
        <v>40394</v>
      </c>
      <c r="B3373" s="13">
        <v>2689.48</v>
      </c>
    </row>
    <row r="3374" s="6" customFormat="1" spans="1:2">
      <c r="A3374" s="12">
        <f>DATE(2012,12,31)-880</f>
        <v>40394</v>
      </c>
      <c r="B3374" s="13">
        <v>15.31</v>
      </c>
    </row>
    <row r="3375" spans="1:2">
      <c r="A3375" s="14">
        <f>DATE(2012,12,31)-258</f>
        <v>41016</v>
      </c>
      <c r="B3375" s="15">
        <v>199.58</v>
      </c>
    </row>
    <row r="3376" spans="1:2">
      <c r="A3376" s="14">
        <f>DATE(2012,12,31)-258</f>
        <v>41016</v>
      </c>
      <c r="B3376" s="15">
        <v>80.59</v>
      </c>
    </row>
    <row r="3377" s="6" customFormat="1" spans="1:2">
      <c r="A3377" s="12">
        <f>DATE(2012,12,31)-258</f>
        <v>41016</v>
      </c>
      <c r="B3377" s="13">
        <v>4158.0725</v>
      </c>
    </row>
    <row r="3378" s="6" customFormat="1" spans="1:2">
      <c r="A3378" s="12">
        <f>DATE(2012,12,31)-591</f>
        <v>40683</v>
      </c>
      <c r="B3378" s="13">
        <v>205.24</v>
      </c>
    </row>
    <row r="3379" s="6" customFormat="1" spans="1:2">
      <c r="A3379" s="12">
        <f>DATE(2012,12,31)-591</f>
        <v>40683</v>
      </c>
      <c r="B3379" s="13">
        <v>825.82</v>
      </c>
    </row>
    <row r="3380" s="6" customFormat="1" spans="1:2">
      <c r="A3380" s="12">
        <f>DATE(2012,12,31)-762</f>
        <v>40512</v>
      </c>
      <c r="B3380" s="13">
        <v>1844.26</v>
      </c>
    </row>
    <row r="3381" s="6" customFormat="1" spans="1:2">
      <c r="A3381" s="12">
        <f>DATE(2012,12,31)-769</f>
        <v>40505</v>
      </c>
      <c r="B3381" s="13">
        <v>270.63</v>
      </c>
    </row>
    <row r="3382" s="6" customFormat="1" spans="1:2">
      <c r="A3382" s="12">
        <f>DATE(2012,12,31)-769</f>
        <v>40505</v>
      </c>
      <c r="B3382" s="13">
        <v>6583.913</v>
      </c>
    </row>
    <row r="3383" s="6" customFormat="1" spans="1:2">
      <c r="A3383" s="12">
        <f t="shared" ref="A3383:A3388" si="0">DATE(2012,12,31)-1274</f>
        <v>40000</v>
      </c>
      <c r="B3383" s="13">
        <v>31.01</v>
      </c>
    </row>
    <row r="3384" s="6" customFormat="1" spans="1:2">
      <c r="A3384" s="12">
        <f t="shared" si="0"/>
        <v>40000</v>
      </c>
      <c r="B3384" s="13">
        <v>331.83</v>
      </c>
    </row>
    <row r="3385" s="6" customFormat="1" spans="1:2">
      <c r="A3385" s="12">
        <f t="shared" si="0"/>
        <v>40000</v>
      </c>
      <c r="B3385" s="13">
        <v>446.46</v>
      </c>
    </row>
    <row r="3386" s="6" customFormat="1" spans="1:2">
      <c r="A3386" s="12">
        <f t="shared" si="0"/>
        <v>40000</v>
      </c>
      <c r="B3386" s="13">
        <v>1252.89</v>
      </c>
    </row>
    <row r="3387" s="6" customFormat="1" spans="1:2">
      <c r="A3387" s="12">
        <f t="shared" si="0"/>
        <v>40000</v>
      </c>
      <c r="B3387" s="13">
        <v>47.79</v>
      </c>
    </row>
    <row r="3388" s="6" customFormat="1" spans="1:2">
      <c r="A3388" s="12">
        <f t="shared" si="0"/>
        <v>40000</v>
      </c>
      <c r="B3388" s="13">
        <v>63.84</v>
      </c>
    </row>
    <row r="3389" s="6" customFormat="1" spans="1:2">
      <c r="A3389" s="12">
        <f>DATE(2012,12,31)-1074</f>
        <v>40200</v>
      </c>
      <c r="B3389" s="13">
        <v>345.19</v>
      </c>
    </row>
    <row r="3390" s="6" customFormat="1" spans="1:2">
      <c r="A3390" s="12">
        <f>DATE(2012,12,31)-699</f>
        <v>40575</v>
      </c>
      <c r="B3390" s="13">
        <v>3644.596</v>
      </c>
    </row>
    <row r="3391" s="6" customFormat="1" spans="1:2">
      <c r="A3391" s="12">
        <f>DATE(2012,12,31)-1227</f>
        <v>40047</v>
      </c>
      <c r="B3391" s="13">
        <v>10.94</v>
      </c>
    </row>
    <row r="3392" s="6" customFormat="1" spans="1:2">
      <c r="A3392" s="12">
        <f>DATE(2012,12,31)-1227</f>
        <v>40047</v>
      </c>
      <c r="B3392" s="13">
        <v>1755.3</v>
      </c>
    </row>
    <row r="3393" s="6" customFormat="1" spans="1:2">
      <c r="A3393" s="12">
        <f>DATE(2012,12,31)-1388</f>
        <v>39886</v>
      </c>
      <c r="B3393" s="13">
        <v>9539.6</v>
      </c>
    </row>
    <row r="3394" s="6" customFormat="1" spans="1:2">
      <c r="A3394" s="12">
        <f>DATE(2012,12,31)-1388</f>
        <v>39886</v>
      </c>
      <c r="B3394" s="13">
        <v>109.86</v>
      </c>
    </row>
    <row r="3395" s="6" customFormat="1" spans="1:2">
      <c r="A3395" s="12">
        <f>DATE(2012,12,31)-1388</f>
        <v>39886</v>
      </c>
      <c r="B3395" s="13">
        <v>1426.5125</v>
      </c>
    </row>
    <row r="3396" s="6" customFormat="1" spans="1:2">
      <c r="A3396" s="12">
        <f>DATE(2012,12,31)-885</f>
        <v>40389</v>
      </c>
      <c r="B3396" s="13">
        <v>13.44</v>
      </c>
    </row>
    <row r="3397" s="6" customFormat="1" spans="1:2">
      <c r="A3397" s="12">
        <f>DATE(2012,12,31)-885</f>
        <v>40389</v>
      </c>
      <c r="B3397" s="13">
        <v>1049.49</v>
      </c>
    </row>
    <row r="3398" s="6" customFormat="1" spans="1:2">
      <c r="A3398" s="12">
        <f>DATE(2012,12,31)-1062</f>
        <v>40212</v>
      </c>
      <c r="B3398" s="13">
        <v>2354.4</v>
      </c>
    </row>
    <row r="3399" s="6" customFormat="1" spans="1:2">
      <c r="A3399" s="12">
        <f>DATE(2012,12,31)-1062</f>
        <v>40212</v>
      </c>
      <c r="B3399" s="13">
        <v>35.6405</v>
      </c>
    </row>
    <row r="3400" s="6" customFormat="1" spans="1:2">
      <c r="A3400" s="12">
        <f>DATE(2012,12,31)-1294</f>
        <v>39980</v>
      </c>
      <c r="B3400" s="13">
        <v>706.53</v>
      </c>
    </row>
    <row r="3401" s="6" customFormat="1" spans="1:2">
      <c r="A3401" s="12">
        <f>DATE(2012,12,31)-868</f>
        <v>40406</v>
      </c>
      <c r="B3401" s="13">
        <v>1840.8535</v>
      </c>
    </row>
    <row r="3402" s="6" customFormat="1" spans="1:2">
      <c r="A3402" s="12">
        <f>DATE(2012,12,31)-1263</f>
        <v>40011</v>
      </c>
      <c r="B3402" s="13">
        <v>60.64</v>
      </c>
    </row>
    <row r="3403" s="6" customFormat="1" spans="1:2">
      <c r="A3403" s="12">
        <f>DATE(2012,12,31)-1242</f>
        <v>40032</v>
      </c>
      <c r="B3403" s="13">
        <v>2482.034</v>
      </c>
    </row>
    <row r="3404" s="6" customFormat="1" spans="1:2">
      <c r="A3404" s="12">
        <f>DATE(2012,12,31)-820</f>
        <v>40454</v>
      </c>
      <c r="B3404" s="13">
        <v>548.3</v>
      </c>
    </row>
    <row r="3405" s="6" customFormat="1" spans="1:2">
      <c r="A3405" s="12">
        <f>DATE(2012,12,31)-105</f>
        <v>41169</v>
      </c>
      <c r="B3405" s="13">
        <v>946.27</v>
      </c>
    </row>
    <row r="3406" s="6" customFormat="1" spans="1:2">
      <c r="A3406" s="12">
        <f>DATE(2012,12,31)-107</f>
        <v>41167</v>
      </c>
      <c r="B3406" s="13">
        <v>512.81</v>
      </c>
    </row>
    <row r="3407" s="6" customFormat="1" spans="1:2">
      <c r="A3407" s="12">
        <f>DATE(2012,12,31)-1247</f>
        <v>40027</v>
      </c>
      <c r="B3407" s="13">
        <v>4865.72</v>
      </c>
    </row>
    <row r="3408" s="6" customFormat="1" spans="1:2">
      <c r="A3408" s="12">
        <f>DATE(2012,12,31)-459</f>
        <v>40815</v>
      </c>
      <c r="B3408" s="13">
        <v>1596.86</v>
      </c>
    </row>
    <row r="3409" s="6" customFormat="1" spans="1:2">
      <c r="A3409" s="12">
        <f>DATE(2012,12,31)-459</f>
        <v>40815</v>
      </c>
      <c r="B3409" s="13">
        <v>78.36</v>
      </c>
    </row>
    <row r="3410" s="6" customFormat="1" spans="1:2">
      <c r="A3410" s="12">
        <f>DATE(2012,12,31)-966</f>
        <v>40308</v>
      </c>
      <c r="B3410" s="13">
        <v>103.48</v>
      </c>
    </row>
    <row r="3411" s="6" customFormat="1" spans="1:2">
      <c r="A3411" s="12">
        <f>DATE(2012,12,31)-965</f>
        <v>40309</v>
      </c>
      <c r="B3411" s="13">
        <v>12612.66</v>
      </c>
    </row>
    <row r="3412" s="6" customFormat="1" spans="1:2">
      <c r="A3412" s="12">
        <f>DATE(2012,12,31)-1325</f>
        <v>39949</v>
      </c>
      <c r="B3412" s="13">
        <v>7333.45</v>
      </c>
    </row>
    <row r="3413" s="6" customFormat="1" spans="1:2">
      <c r="A3413" s="12">
        <f>DATE(2012,12,31)-646</f>
        <v>40628</v>
      </c>
      <c r="B3413" s="13">
        <v>205.11</v>
      </c>
    </row>
    <row r="3414" s="6" customFormat="1" spans="1:2">
      <c r="A3414" s="12">
        <f>DATE(2012,12,31)-646</f>
        <v>40628</v>
      </c>
      <c r="B3414" s="13">
        <v>3981.23</v>
      </c>
    </row>
    <row r="3415" s="6" customFormat="1" spans="1:2">
      <c r="A3415" s="12">
        <f>DATE(2012,12,31)-646</f>
        <v>40628</v>
      </c>
      <c r="B3415" s="13">
        <v>2458.2425</v>
      </c>
    </row>
    <row r="3416" s="6" customFormat="1" spans="1:2">
      <c r="A3416" s="12">
        <f>DATE(2012,12,31)-188</f>
        <v>41086</v>
      </c>
      <c r="B3416" s="13">
        <v>4256.51</v>
      </c>
    </row>
    <row r="3417" s="6" customFormat="1" spans="1:2">
      <c r="A3417" s="12">
        <f>DATE(2012,12,31)-188</f>
        <v>41086</v>
      </c>
      <c r="B3417" s="13">
        <v>503.08</v>
      </c>
    </row>
    <row r="3418" s="6" customFormat="1" spans="1:2">
      <c r="A3418" s="12">
        <f>DATE(2012,12,31)-188</f>
        <v>41086</v>
      </c>
      <c r="B3418" s="13">
        <v>76.94</v>
      </c>
    </row>
    <row r="3419" s="6" customFormat="1" spans="1:2">
      <c r="A3419" s="12">
        <f>DATE(2012,12,31)-509</f>
        <v>40765</v>
      </c>
      <c r="B3419" s="13">
        <v>1003.31</v>
      </c>
    </row>
    <row r="3420" s="6" customFormat="1" spans="1:2">
      <c r="A3420" s="12">
        <f>DATE(2012,12,31)-509</f>
        <v>40765</v>
      </c>
      <c r="B3420" s="13">
        <v>6048.18</v>
      </c>
    </row>
    <row r="3421" s="6" customFormat="1" spans="1:2">
      <c r="A3421" s="12">
        <f>DATE(2012,12,31)-705</f>
        <v>40569</v>
      </c>
      <c r="B3421" s="13">
        <v>8662.34</v>
      </c>
    </row>
    <row r="3422" s="6" customFormat="1" spans="1:2">
      <c r="A3422" s="12">
        <f>DATE(2012,12,31)-208</f>
        <v>41066</v>
      </c>
      <c r="B3422" s="13">
        <v>107.67</v>
      </c>
    </row>
    <row r="3423" s="6" customFormat="1" spans="1:2">
      <c r="A3423" s="12">
        <f>DATE(2012,12,31)-1396</f>
        <v>39878</v>
      </c>
      <c r="B3423" s="13">
        <v>3236.8</v>
      </c>
    </row>
    <row r="3424" s="6" customFormat="1" spans="1:2">
      <c r="A3424" s="12">
        <f>DATE(2012,12,31)-368</f>
        <v>40906</v>
      </c>
      <c r="B3424" s="13">
        <v>3467.28</v>
      </c>
    </row>
    <row r="3425" s="6" customFormat="1" spans="1:2">
      <c r="A3425" s="12">
        <f>DATE(2012,12,31)-329</f>
        <v>40945</v>
      </c>
      <c r="B3425" s="13">
        <v>11036.16</v>
      </c>
    </row>
    <row r="3426" s="6" customFormat="1" spans="1:2">
      <c r="A3426" s="12">
        <f>DATE(2012,12,31)-175</f>
        <v>41099</v>
      </c>
      <c r="B3426" s="13">
        <v>443.35</v>
      </c>
    </row>
    <row r="3427" s="6" customFormat="1" spans="1:2">
      <c r="A3427" s="12">
        <f>DATE(2012,12,31)-175</f>
        <v>41099</v>
      </c>
      <c r="B3427" s="13">
        <v>392.61</v>
      </c>
    </row>
    <row r="3428" s="6" customFormat="1" spans="1:2">
      <c r="A3428" s="12">
        <f>DATE(2012,12,31)-175</f>
        <v>41099</v>
      </c>
      <c r="B3428" s="13">
        <v>30.85</v>
      </c>
    </row>
    <row r="3429" spans="1:2">
      <c r="A3429" s="14">
        <f>DATE(2012,12,31)-28</f>
        <v>41246</v>
      </c>
      <c r="B3429" s="15">
        <v>1689.97</v>
      </c>
    </row>
    <row r="3430" s="6" customFormat="1" spans="1:2">
      <c r="A3430" s="12">
        <f>DATE(2012,12,31)-1334</f>
        <v>39940</v>
      </c>
      <c r="B3430" s="13">
        <v>115.71</v>
      </c>
    </row>
    <row r="3431" s="6" customFormat="1" spans="1:2">
      <c r="A3431" s="12">
        <f>DATE(2012,12,31)-1121</f>
        <v>40153</v>
      </c>
      <c r="B3431" s="13">
        <v>169.11</v>
      </c>
    </row>
    <row r="3432" spans="1:2">
      <c r="A3432" s="14">
        <f>DATE(2012,12,31)-1121</f>
        <v>40153</v>
      </c>
      <c r="B3432" s="15">
        <v>152.59</v>
      </c>
    </row>
    <row r="3433" s="6" customFormat="1" spans="1:2">
      <c r="A3433" s="12">
        <f>DATE(2012,12,31)-619</f>
        <v>40655</v>
      </c>
      <c r="B3433" s="13">
        <v>28.11</v>
      </c>
    </row>
    <row r="3434" s="6" customFormat="1" spans="1:2">
      <c r="A3434" s="12">
        <f>DATE(2012,12,31)-619</f>
        <v>40655</v>
      </c>
      <c r="B3434" s="13">
        <v>27.06</v>
      </c>
    </row>
    <row r="3435" s="6" customFormat="1" spans="1:2">
      <c r="A3435" s="12">
        <f>DATE(2012,12,31)-970</f>
        <v>40304</v>
      </c>
      <c r="B3435" s="13">
        <v>3051.27</v>
      </c>
    </row>
    <row r="3436" s="6" customFormat="1" spans="1:2">
      <c r="A3436" s="12">
        <f>DATE(2012,12,31)-569</f>
        <v>40705</v>
      </c>
      <c r="B3436" s="13">
        <v>127.56</v>
      </c>
    </row>
    <row r="3437" s="6" customFormat="1" spans="1:2">
      <c r="A3437" s="12">
        <f>DATE(2012,12,31)-1435</f>
        <v>39839</v>
      </c>
      <c r="B3437" s="13">
        <v>4587.3</v>
      </c>
    </row>
    <row r="3438" s="6" customFormat="1" spans="1:2">
      <c r="A3438" s="12">
        <f>DATE(2012,12,31)-1435</f>
        <v>39839</v>
      </c>
      <c r="B3438" s="13">
        <v>403.71</v>
      </c>
    </row>
    <row r="3439" s="6" customFormat="1" spans="1:2">
      <c r="A3439" s="12">
        <f>DATE(2012,12,31)-1435</f>
        <v>39839</v>
      </c>
      <c r="B3439" s="13">
        <v>1243.45</v>
      </c>
    </row>
    <row r="3440" s="6" customFormat="1" spans="1:2">
      <c r="A3440" s="12">
        <f>DATE(2012,12,31)-280</f>
        <v>40994</v>
      </c>
      <c r="B3440" s="13">
        <v>81.58</v>
      </c>
    </row>
    <row r="3441" s="6" customFormat="1" spans="1:2">
      <c r="A3441" s="12">
        <f>DATE(2012,12,31)-658</f>
        <v>40616</v>
      </c>
      <c r="B3441" s="13">
        <v>269.3</v>
      </c>
    </row>
    <row r="3442" s="6" customFormat="1" spans="1:2">
      <c r="A3442" s="12">
        <f>DATE(2012,12,31)-20</f>
        <v>41254</v>
      </c>
      <c r="B3442" s="13">
        <v>531.063</v>
      </c>
    </row>
    <row r="3443" s="6" customFormat="1" spans="1:2">
      <c r="A3443" s="12">
        <f>DATE(2012,12,31)-20</f>
        <v>41254</v>
      </c>
      <c r="B3443" s="13">
        <v>152.84</v>
      </c>
    </row>
    <row r="3444" s="6" customFormat="1" spans="1:2">
      <c r="A3444" s="12">
        <f>DATE(2012,12,31)-1036</f>
        <v>40238</v>
      </c>
      <c r="B3444" s="13">
        <v>180.79</v>
      </c>
    </row>
    <row r="3445" s="6" customFormat="1" spans="1:2">
      <c r="A3445" s="12">
        <f>DATE(2012,12,31)-43</f>
        <v>41231</v>
      </c>
      <c r="B3445" s="13">
        <v>13921.6</v>
      </c>
    </row>
    <row r="3446" s="6" customFormat="1" spans="1:2">
      <c r="A3446" s="12">
        <f>DATE(2012,12,31)-43</f>
        <v>41231</v>
      </c>
      <c r="B3446" s="13">
        <v>467.5</v>
      </c>
    </row>
    <row r="3447" s="6" customFormat="1" spans="1:2">
      <c r="A3447" s="12">
        <f>DATE(2012,12,31)-191</f>
        <v>41083</v>
      </c>
      <c r="B3447" s="13">
        <v>1081.22</v>
      </c>
    </row>
    <row r="3448" s="6" customFormat="1" spans="1:2">
      <c r="A3448" s="12">
        <f>DATE(2012,12,31)-191</f>
        <v>41083</v>
      </c>
      <c r="B3448" s="13">
        <v>36.41</v>
      </c>
    </row>
    <row r="3449" s="6" customFormat="1" spans="1:2">
      <c r="A3449" s="12">
        <f>DATE(2012,12,31)-997</f>
        <v>40277</v>
      </c>
      <c r="B3449" s="13">
        <v>38.56</v>
      </c>
    </row>
    <row r="3450" s="6" customFormat="1" spans="1:2">
      <c r="A3450" s="12">
        <f>DATE(2012,12,31)-510</f>
        <v>40764</v>
      </c>
      <c r="B3450" s="13">
        <v>42.29</v>
      </c>
    </row>
    <row r="3451" s="6" customFormat="1" spans="1:2">
      <c r="A3451" s="12">
        <f>DATE(2012,12,31)-139</f>
        <v>41135</v>
      </c>
      <c r="B3451" s="13">
        <v>197.36</v>
      </c>
    </row>
    <row r="3452" s="6" customFormat="1" spans="1:2">
      <c r="A3452" s="12">
        <f>DATE(2012,12,31)-1078</f>
        <v>40196</v>
      </c>
      <c r="B3452" s="13">
        <v>883.31</v>
      </c>
    </row>
    <row r="3453" s="6" customFormat="1" spans="1:2">
      <c r="A3453" s="12">
        <f>DATE(2012,12,31)-168</f>
        <v>41106</v>
      </c>
      <c r="B3453" s="13">
        <v>9695.84</v>
      </c>
    </row>
    <row r="3454" s="6" customFormat="1" spans="1:2">
      <c r="A3454" s="12">
        <f>DATE(2012,12,31)-168</f>
        <v>41106</v>
      </c>
      <c r="B3454" s="13">
        <v>246.79</v>
      </c>
    </row>
    <row r="3455" s="6" customFormat="1" spans="1:2">
      <c r="A3455" s="12">
        <f>DATE(2012,12,31)-168</f>
        <v>41106</v>
      </c>
      <c r="B3455" s="13">
        <v>777.78</v>
      </c>
    </row>
    <row r="3456" s="6" customFormat="1" spans="1:2">
      <c r="A3456" s="12">
        <f>DATE(2012,12,31)-1136</f>
        <v>40138</v>
      </c>
      <c r="B3456" s="13">
        <v>1644.59</v>
      </c>
    </row>
    <row r="3457" s="6" customFormat="1" spans="1:2">
      <c r="A3457" s="12">
        <f>DATE(2012,12,31)-702</f>
        <v>40572</v>
      </c>
      <c r="B3457" s="13">
        <v>1379.98</v>
      </c>
    </row>
    <row r="3458" s="6" customFormat="1" spans="1:2">
      <c r="A3458" s="12">
        <f>DATE(2012,12,31)-246</f>
        <v>41028</v>
      </c>
      <c r="B3458" s="13">
        <v>2368.168</v>
      </c>
    </row>
    <row r="3459" spans="1:2">
      <c r="A3459" s="14">
        <f>DATE(2012,12,31)-1252</f>
        <v>40022</v>
      </c>
      <c r="B3459" s="15">
        <v>2550.12</v>
      </c>
    </row>
    <row r="3460" s="6" customFormat="1" spans="1:2">
      <c r="A3460" s="12">
        <f>DATE(2012,12,31)-1252</f>
        <v>40022</v>
      </c>
      <c r="B3460" s="13">
        <v>5897.47</v>
      </c>
    </row>
    <row r="3461" s="6" customFormat="1" spans="1:2">
      <c r="A3461" s="12">
        <f>DATE(2012,12,31)-626</f>
        <v>40648</v>
      </c>
      <c r="B3461" s="13">
        <v>662.51</v>
      </c>
    </row>
    <row r="3462" s="6" customFormat="1" spans="1:2">
      <c r="A3462" s="12">
        <f>DATE(2012,12,31)-626</f>
        <v>40648</v>
      </c>
      <c r="B3462" s="13">
        <v>61.18</v>
      </c>
    </row>
    <row r="3463" s="6" customFormat="1" spans="1:2">
      <c r="A3463" s="12">
        <f>DATE(2012,12,31)-1306</f>
        <v>39968</v>
      </c>
      <c r="B3463" s="13">
        <v>3029.97</v>
      </c>
    </row>
    <row r="3464" s="6" customFormat="1" spans="1:2">
      <c r="A3464" s="12">
        <f>DATE(2012,12,31)-1306</f>
        <v>39968</v>
      </c>
      <c r="B3464" s="13">
        <v>241.04</v>
      </c>
    </row>
    <row r="3465" s="6" customFormat="1" spans="1:2">
      <c r="A3465" s="12">
        <f>DATE(2012,12,31)-289</f>
        <v>40985</v>
      </c>
      <c r="B3465" s="13">
        <v>44.17</v>
      </c>
    </row>
    <row r="3466" s="6" customFormat="1" spans="1:2">
      <c r="A3466" s="12">
        <f>DATE(2012,12,31)-289</f>
        <v>40985</v>
      </c>
      <c r="B3466" s="13">
        <v>192.92</v>
      </c>
    </row>
    <row r="3467" s="6" customFormat="1" spans="1:2">
      <c r="A3467" s="12">
        <f>DATE(2012,12,31)-289</f>
        <v>40985</v>
      </c>
      <c r="B3467" s="13">
        <v>10532.94</v>
      </c>
    </row>
    <row r="3468" s="6" customFormat="1" spans="1:2">
      <c r="A3468" s="12">
        <f>DATE(2012,12,31)-301</f>
        <v>40973</v>
      </c>
      <c r="B3468" s="13">
        <v>364.4</v>
      </c>
    </row>
    <row r="3469" s="6" customFormat="1" spans="1:2">
      <c r="A3469" s="12">
        <f>DATE(2012,12,31)-604</f>
        <v>40670</v>
      </c>
      <c r="B3469" s="13">
        <v>33.99</v>
      </c>
    </row>
    <row r="3470" s="6" customFormat="1" spans="1:2">
      <c r="A3470" s="12">
        <f>DATE(2012,12,31)-473</f>
        <v>40801</v>
      </c>
      <c r="B3470" s="13">
        <v>260.51</v>
      </c>
    </row>
    <row r="3471" s="6" customFormat="1" spans="1:2">
      <c r="A3471" s="12">
        <f>DATE(2012,12,31)-473</f>
        <v>40801</v>
      </c>
      <c r="B3471" s="13">
        <v>466.28</v>
      </c>
    </row>
    <row r="3472" s="6" customFormat="1" spans="1:2">
      <c r="A3472" s="12">
        <f>DATE(2012,12,31)-296</f>
        <v>40978</v>
      </c>
      <c r="B3472" s="13">
        <v>1961.39</v>
      </c>
    </row>
    <row r="3473" spans="1:2">
      <c r="A3473" s="14">
        <f>DATE(2012,12,31)-296</f>
        <v>40978</v>
      </c>
      <c r="B3473" s="15">
        <v>4.94</v>
      </c>
    </row>
    <row r="3474" s="6" customFormat="1" spans="1:2">
      <c r="A3474" s="12">
        <f>DATE(2012,12,31)-823</f>
        <v>40451</v>
      </c>
      <c r="B3474" s="13">
        <v>22.06</v>
      </c>
    </row>
    <row r="3475" s="6" customFormat="1" spans="1:2">
      <c r="A3475" s="12">
        <f>DATE(2012,12,31)-1121</f>
        <v>40153</v>
      </c>
      <c r="B3475" s="13">
        <v>549.92</v>
      </c>
    </row>
    <row r="3476" s="6" customFormat="1" spans="1:2">
      <c r="A3476" s="12">
        <f>DATE(2012,12,31)-1121</f>
        <v>40153</v>
      </c>
      <c r="B3476" s="13">
        <v>182.09</v>
      </c>
    </row>
    <row r="3477" s="6" customFormat="1" spans="1:2">
      <c r="A3477" s="12">
        <f>DATE(2012,12,31)-1086</f>
        <v>40188</v>
      </c>
      <c r="B3477" s="13">
        <v>1091.47</v>
      </c>
    </row>
    <row r="3478" s="6" customFormat="1" spans="1:2">
      <c r="A3478" s="12">
        <f>DATE(2012,12,31)-1086</f>
        <v>40188</v>
      </c>
      <c r="B3478" s="13">
        <v>112.59</v>
      </c>
    </row>
    <row r="3479" s="6" customFormat="1" spans="1:2">
      <c r="A3479" s="12">
        <f>DATE(2012,12,31)-186</f>
        <v>41088</v>
      </c>
      <c r="B3479" s="13">
        <v>9633.59</v>
      </c>
    </row>
    <row r="3480" s="6" customFormat="1" spans="1:2">
      <c r="A3480" s="12">
        <f>DATE(2012,12,31)-186</f>
        <v>41088</v>
      </c>
      <c r="B3480" s="13">
        <v>3758.77</v>
      </c>
    </row>
    <row r="3481" s="6" customFormat="1" spans="1:2">
      <c r="A3481" s="12">
        <f>DATE(2012,12,31)-318</f>
        <v>40956</v>
      </c>
      <c r="B3481" s="13">
        <v>1616.66</v>
      </c>
    </row>
    <row r="3482" s="6" customFormat="1" spans="1:2">
      <c r="A3482" s="12">
        <f>DATE(2012,12,31)-318</f>
        <v>40956</v>
      </c>
      <c r="B3482" s="13">
        <v>96.21</v>
      </c>
    </row>
    <row r="3483" s="6" customFormat="1" spans="1:2">
      <c r="A3483" s="12">
        <f>DATE(2012,12,31)-46</f>
        <v>41228</v>
      </c>
      <c r="B3483" s="13">
        <v>18.91</v>
      </c>
    </row>
    <row r="3484" s="6" customFormat="1" spans="1:2">
      <c r="A3484" s="12">
        <f>DATE(2012,12,31)-46</f>
        <v>41228</v>
      </c>
      <c r="B3484" s="13">
        <v>685.7</v>
      </c>
    </row>
    <row r="3485" s="6" customFormat="1" spans="1:2">
      <c r="A3485" s="12">
        <f>DATE(2012,12,31)-46</f>
        <v>41228</v>
      </c>
      <c r="B3485" s="13">
        <v>1024.165</v>
      </c>
    </row>
    <row r="3486" s="6" customFormat="1" spans="1:2">
      <c r="A3486" s="12">
        <f>DATE(2012,12,31)-1438</f>
        <v>39836</v>
      </c>
      <c r="B3486" s="13">
        <v>1383.2</v>
      </c>
    </row>
    <row r="3487" s="6" customFormat="1" spans="1:2">
      <c r="A3487" s="12">
        <f>DATE(2012,12,31)-584</f>
        <v>40690</v>
      </c>
      <c r="B3487" s="13">
        <v>211.42</v>
      </c>
    </row>
    <row r="3488" spans="1:2">
      <c r="A3488" s="14">
        <f>DATE(2012,12,31)-847</f>
        <v>40427</v>
      </c>
      <c r="B3488" s="15">
        <v>112.03</v>
      </c>
    </row>
    <row r="3489" s="6" customFormat="1" spans="1:2">
      <c r="A3489" s="12">
        <f>DATE(2012,12,31)-899</f>
        <v>40375</v>
      </c>
      <c r="B3489" s="13">
        <v>5205.83</v>
      </c>
    </row>
    <row r="3490" s="6" customFormat="1" spans="1:2">
      <c r="A3490" s="12">
        <f>DATE(2012,12,31)-287</f>
        <v>40987</v>
      </c>
      <c r="B3490" s="13">
        <v>175.23</v>
      </c>
    </row>
    <row r="3491" s="6" customFormat="1" spans="1:2">
      <c r="A3491" s="12">
        <f>DATE(2012,12,31)-1300</f>
        <v>39974</v>
      </c>
      <c r="B3491" s="13">
        <v>132.72</v>
      </c>
    </row>
    <row r="3492" s="6" customFormat="1" spans="1:2">
      <c r="A3492" s="12">
        <f>DATE(2012,12,31)-1347</f>
        <v>39927</v>
      </c>
      <c r="B3492" s="13">
        <v>1396.58</v>
      </c>
    </row>
    <row r="3493" spans="1:2">
      <c r="A3493" s="14">
        <f>DATE(2012,12,31)-1347</f>
        <v>39927</v>
      </c>
      <c r="B3493" s="15">
        <v>6448.69</v>
      </c>
    </row>
    <row r="3494" s="6" customFormat="1" spans="1:2">
      <c r="A3494" s="12">
        <f>DATE(2012,12,31)-649</f>
        <v>40625</v>
      </c>
      <c r="B3494" s="13">
        <v>143.78</v>
      </c>
    </row>
    <row r="3495" s="6" customFormat="1" spans="1:2">
      <c r="A3495" s="12">
        <f>DATE(2012,12,31)-499</f>
        <v>40775</v>
      </c>
      <c r="B3495" s="13">
        <v>252.99</v>
      </c>
    </row>
    <row r="3496" s="6" customFormat="1" spans="1:2">
      <c r="A3496" s="12">
        <f>DATE(2012,12,31)-950</f>
        <v>40324</v>
      </c>
      <c r="B3496" s="13">
        <v>224.58</v>
      </c>
    </row>
    <row r="3497" s="6" customFormat="1" spans="1:2">
      <c r="A3497" s="12">
        <f>DATE(2012,12,31)-804</f>
        <v>40470</v>
      </c>
      <c r="B3497" s="13">
        <v>1646.47</v>
      </c>
    </row>
    <row r="3498" s="6" customFormat="1" spans="1:2">
      <c r="A3498" s="12">
        <f>DATE(2012,12,31)-420</f>
        <v>40854</v>
      </c>
      <c r="B3498" s="13">
        <v>149.64</v>
      </c>
    </row>
    <row r="3499" s="6" customFormat="1" spans="1:2">
      <c r="A3499" s="12">
        <f>DATE(2012,12,31)-1254</f>
        <v>40020</v>
      </c>
      <c r="B3499" s="13">
        <v>3416.38</v>
      </c>
    </row>
    <row r="3500" s="6" customFormat="1" spans="1:2">
      <c r="A3500" s="12">
        <f>DATE(2012,12,31)-1254</f>
        <v>40020</v>
      </c>
      <c r="B3500" s="13">
        <v>142.81</v>
      </c>
    </row>
    <row r="3501" s="6" customFormat="1" spans="1:2">
      <c r="A3501" s="12">
        <f>DATE(2012,12,31)-704</f>
        <v>40570</v>
      </c>
      <c r="B3501" s="13">
        <v>1760.35</v>
      </c>
    </row>
    <row r="3502" s="6" customFormat="1" spans="1:2">
      <c r="A3502" s="12">
        <f>DATE(2012,12,31)-704</f>
        <v>40570</v>
      </c>
      <c r="B3502" s="13">
        <v>1436.94</v>
      </c>
    </row>
    <row r="3503" s="6" customFormat="1" spans="1:2">
      <c r="A3503" s="12">
        <f>DATE(2012,12,31)-704</f>
        <v>40570</v>
      </c>
      <c r="B3503" s="13">
        <v>125.8</v>
      </c>
    </row>
    <row r="3504" s="6" customFormat="1" spans="1:2">
      <c r="A3504" s="12">
        <f>DATE(2012,12,31)-704</f>
        <v>40570</v>
      </c>
      <c r="B3504" s="13">
        <v>5797.68</v>
      </c>
    </row>
    <row r="3505" s="6" customFormat="1" spans="1:2">
      <c r="A3505" s="12">
        <f>DATE(2012,12,31)-1070</f>
        <v>40204</v>
      </c>
      <c r="B3505" s="13">
        <v>487.59</v>
      </c>
    </row>
    <row r="3506" spans="1:2">
      <c r="A3506" s="14">
        <f>DATE(2012,12,31)-643</f>
        <v>40631</v>
      </c>
      <c r="B3506" s="15">
        <v>2528.49</v>
      </c>
    </row>
    <row r="3507" s="6" customFormat="1" spans="1:2">
      <c r="A3507" s="12">
        <f>DATE(2012,12,31)-643</f>
        <v>40631</v>
      </c>
      <c r="B3507" s="13">
        <v>1146.11</v>
      </c>
    </row>
    <row r="3508" s="6" customFormat="1" spans="1:2">
      <c r="A3508" s="12">
        <f>DATE(2012,12,31)-380</f>
        <v>40894</v>
      </c>
      <c r="B3508" s="13">
        <v>4152.12</v>
      </c>
    </row>
    <row r="3509" s="6" customFormat="1" spans="1:2">
      <c r="A3509" s="12">
        <f>DATE(2012,12,31)-1026</f>
        <v>40248</v>
      </c>
      <c r="B3509" s="13">
        <v>1561.2205</v>
      </c>
    </row>
    <row r="3510" s="6" customFormat="1" spans="1:2">
      <c r="A3510" s="12">
        <f>DATE(2012,12,31)-463</f>
        <v>40811</v>
      </c>
      <c r="B3510" s="13">
        <v>1793.24</v>
      </c>
    </row>
    <row r="3511" s="6" customFormat="1" spans="1:2">
      <c r="A3511" s="12">
        <f>DATE(2012,12,31)-463</f>
        <v>40811</v>
      </c>
      <c r="B3511" s="13">
        <v>143.667</v>
      </c>
    </row>
    <row r="3512" s="6" customFormat="1" spans="1:2">
      <c r="A3512" s="12">
        <f>DATE(2012,12,31)-1111</f>
        <v>40163</v>
      </c>
      <c r="B3512" s="13">
        <v>3585.91</v>
      </c>
    </row>
    <row r="3513" s="6" customFormat="1" spans="1:2">
      <c r="A3513" s="12">
        <f>DATE(2012,12,31)-726</f>
        <v>40548</v>
      </c>
      <c r="B3513" s="13">
        <v>477.39</v>
      </c>
    </row>
    <row r="3514" s="6" customFormat="1" spans="1:2">
      <c r="A3514" s="12">
        <f>DATE(2012,12,31)-726</f>
        <v>40548</v>
      </c>
      <c r="B3514" s="13">
        <v>552.08</v>
      </c>
    </row>
    <row r="3515" s="6" customFormat="1" spans="1:2">
      <c r="A3515" s="12">
        <f>DATE(2012,12,31)-1226</f>
        <v>40048</v>
      </c>
      <c r="B3515" s="13">
        <v>4636.62</v>
      </c>
    </row>
    <row r="3516" s="6" customFormat="1" spans="1:2">
      <c r="A3516" s="12">
        <f>DATE(2012,12,31)-1226</f>
        <v>40048</v>
      </c>
      <c r="B3516" s="13">
        <v>100.11</v>
      </c>
    </row>
    <row r="3517" s="6" customFormat="1" spans="1:2">
      <c r="A3517" s="12">
        <f>DATE(2012,12,31)-832</f>
        <v>40442</v>
      </c>
      <c r="B3517" s="13">
        <v>295.12</v>
      </c>
    </row>
    <row r="3518" s="6" customFormat="1" spans="1:2">
      <c r="A3518" s="12">
        <f>DATE(2012,12,31)-1260</f>
        <v>40014</v>
      </c>
      <c r="B3518" s="13">
        <v>7767.02</v>
      </c>
    </row>
    <row r="3519" s="6" customFormat="1" spans="1:2">
      <c r="A3519" s="12">
        <f>DATE(2012,12,31)-1260</f>
        <v>40014</v>
      </c>
      <c r="B3519" s="13">
        <v>1893.93</v>
      </c>
    </row>
    <row r="3520" s="6" customFormat="1" spans="1:2">
      <c r="A3520" s="12">
        <f>DATE(2012,12,31)-379</f>
        <v>40895</v>
      </c>
      <c r="B3520" s="13">
        <v>941.13</v>
      </c>
    </row>
    <row r="3521" spans="1:2">
      <c r="A3521" s="14">
        <f>DATE(2012,12,31)-793</f>
        <v>40481</v>
      </c>
      <c r="B3521" s="15">
        <v>78.79</v>
      </c>
    </row>
    <row r="3522" spans="1:2">
      <c r="A3522" s="14">
        <f>DATE(2012,12,31)-793</f>
        <v>40481</v>
      </c>
      <c r="B3522" s="15">
        <v>3928.25</v>
      </c>
    </row>
    <row r="3523" s="6" customFormat="1" spans="1:2">
      <c r="A3523" s="12">
        <f>DATE(2012,12,31)-1281</f>
        <v>39993</v>
      </c>
      <c r="B3523" s="13">
        <v>711.875</v>
      </c>
    </row>
    <row r="3524" spans="1:2">
      <c r="A3524" s="14">
        <f>DATE(2012,12,31)-1046</f>
        <v>40228</v>
      </c>
      <c r="B3524" s="15">
        <v>156.97</v>
      </c>
    </row>
    <row r="3525" s="6" customFormat="1" spans="1:2">
      <c r="A3525" s="12">
        <f>DATE(2012,12,31)-761</f>
        <v>40513</v>
      </c>
      <c r="B3525" s="13">
        <v>141.27</v>
      </c>
    </row>
    <row r="3526" s="6" customFormat="1" spans="1:2">
      <c r="A3526" s="12">
        <f>DATE(2012,12,31)-761</f>
        <v>40513</v>
      </c>
      <c r="B3526" s="13">
        <v>16.02</v>
      </c>
    </row>
    <row r="3527" s="6" customFormat="1" spans="1:2">
      <c r="A3527" s="12">
        <f>DATE(2012,12,31)-761</f>
        <v>40513</v>
      </c>
      <c r="B3527" s="13">
        <v>242.8</v>
      </c>
    </row>
    <row r="3528" s="6" customFormat="1" spans="1:2">
      <c r="A3528" s="12">
        <f>DATE(2012,12,31)-706</f>
        <v>40568</v>
      </c>
      <c r="B3528" s="13">
        <v>693.06</v>
      </c>
    </row>
    <row r="3529" s="6" customFormat="1" spans="1:2">
      <c r="A3529" s="12">
        <f>DATE(2012,12,31)-706</f>
        <v>40568</v>
      </c>
      <c r="B3529" s="13">
        <v>4475.03</v>
      </c>
    </row>
    <row r="3530" s="6" customFormat="1" spans="1:2">
      <c r="A3530" s="12">
        <f>DATE(2012,12,31)-1426</f>
        <v>39848</v>
      </c>
      <c r="B3530" s="13">
        <v>237.15</v>
      </c>
    </row>
    <row r="3531" s="6" customFormat="1" spans="1:2">
      <c r="A3531" s="12">
        <f>DATE(2012,12,31)-1426</f>
        <v>39848</v>
      </c>
      <c r="B3531" s="13">
        <v>179.22</v>
      </c>
    </row>
    <row r="3532" s="6" customFormat="1" spans="1:2">
      <c r="A3532" s="12">
        <f>DATE(2012,12,31)-1426</f>
        <v>39848</v>
      </c>
      <c r="B3532" s="13">
        <v>71.86</v>
      </c>
    </row>
    <row r="3533" spans="1:2">
      <c r="A3533" s="14">
        <f>DATE(2012,12,31)-77</f>
        <v>41197</v>
      </c>
      <c r="B3533" s="15">
        <v>195.21</v>
      </c>
    </row>
    <row r="3534" spans="1:2">
      <c r="A3534" s="14">
        <f>DATE(2012,12,31)-864</f>
        <v>40410</v>
      </c>
      <c r="B3534" s="15">
        <v>102.5</v>
      </c>
    </row>
    <row r="3535" s="6" customFormat="1" spans="1:2">
      <c r="A3535" s="12">
        <f>DATE(2012,12,31)-1076</f>
        <v>40198</v>
      </c>
      <c r="B3535" s="13">
        <v>1038.99</v>
      </c>
    </row>
    <row r="3536" s="6" customFormat="1" spans="1:2">
      <c r="A3536" s="12">
        <f>DATE(2012,12,31)-1076</f>
        <v>40198</v>
      </c>
      <c r="B3536" s="13">
        <v>114.01</v>
      </c>
    </row>
    <row r="3537" s="6" customFormat="1" spans="1:2">
      <c r="A3537" s="12">
        <f>DATE(2012,12,31)-1076</f>
        <v>40198</v>
      </c>
      <c r="B3537" s="13">
        <v>30.37</v>
      </c>
    </row>
    <row r="3538" s="6" customFormat="1" spans="1:2">
      <c r="A3538" s="12">
        <f>DATE(2012,12,31)-951</f>
        <v>40323</v>
      </c>
      <c r="B3538" s="13">
        <v>545.38</v>
      </c>
    </row>
    <row r="3539" s="6" customFormat="1" spans="1:2">
      <c r="A3539" s="12">
        <f>DATE(2012,12,31)-951</f>
        <v>40323</v>
      </c>
      <c r="B3539" s="13">
        <v>271.78</v>
      </c>
    </row>
    <row r="3540" s="6" customFormat="1" spans="1:2">
      <c r="A3540" s="12">
        <f>DATE(2012,12,31)-728</f>
        <v>40546</v>
      </c>
      <c r="B3540" s="13">
        <v>1564.1615</v>
      </c>
    </row>
    <row r="3541" s="6" customFormat="1" spans="1:2">
      <c r="A3541" s="12">
        <f>DATE(2012,12,31)-642</f>
        <v>40632</v>
      </c>
      <c r="B3541" s="13">
        <v>4091.152</v>
      </c>
    </row>
    <row r="3542" s="6" customFormat="1" spans="1:2">
      <c r="A3542" s="12">
        <f>DATE(2012,12,31)-396</f>
        <v>40878</v>
      </c>
      <c r="B3542" s="13">
        <v>271.14</v>
      </c>
    </row>
    <row r="3543" s="6" customFormat="1" spans="1:2">
      <c r="A3543" s="12">
        <f>DATE(2012,12,31)-396</f>
        <v>40878</v>
      </c>
      <c r="B3543" s="13">
        <v>1150.3</v>
      </c>
    </row>
    <row r="3544" s="6" customFormat="1" spans="1:2">
      <c r="A3544" s="12">
        <f>DATE(2012,12,31)-55</f>
        <v>41219</v>
      </c>
      <c r="B3544" s="13">
        <v>926.85</v>
      </c>
    </row>
    <row r="3545" s="6" customFormat="1" spans="1:2">
      <c r="A3545" s="12">
        <f>DATE(2012,12,31)-836</f>
        <v>40438</v>
      </c>
      <c r="B3545" s="13">
        <v>299.68</v>
      </c>
    </row>
    <row r="3546" s="6" customFormat="1" spans="1:2">
      <c r="A3546" s="12">
        <f>DATE(2012,12,31)-590</f>
        <v>40684</v>
      </c>
      <c r="B3546" s="13">
        <v>179.26</v>
      </c>
    </row>
    <row r="3547" s="6" customFormat="1" spans="1:2">
      <c r="A3547" s="12">
        <f>DATE(2012,12,31)-590</f>
        <v>40684</v>
      </c>
      <c r="B3547" s="13">
        <v>202.64</v>
      </c>
    </row>
    <row r="3548" s="6" customFormat="1" spans="1:2">
      <c r="A3548" s="12">
        <f>DATE(2012,12,31)-132</f>
        <v>41142</v>
      </c>
      <c r="B3548" s="13">
        <v>418.7</v>
      </c>
    </row>
    <row r="3549" s="6" customFormat="1" spans="1:2">
      <c r="A3549" s="12">
        <f>DATE(2012,12,31)-311</f>
        <v>40963</v>
      </c>
      <c r="B3549" s="13">
        <v>7679.512</v>
      </c>
    </row>
    <row r="3550" spans="1:2">
      <c r="A3550" s="14">
        <f>DATE(2012,12,31)-760</f>
        <v>40514</v>
      </c>
      <c r="B3550" s="15">
        <v>7783.36</v>
      </c>
    </row>
    <row r="3551" spans="1:2">
      <c r="A3551" s="14">
        <f>DATE(2012,12,31)-760</f>
        <v>40514</v>
      </c>
      <c r="B3551" s="15">
        <v>61.76</v>
      </c>
    </row>
    <row r="3552" s="6" customFormat="1" spans="1:2">
      <c r="A3552" s="12">
        <f>DATE(2012,12,31)-760</f>
        <v>40514</v>
      </c>
      <c r="B3552" s="13">
        <v>1280.34</v>
      </c>
    </row>
    <row r="3553" s="6" customFormat="1" spans="1:2">
      <c r="A3553" s="12">
        <f>DATE(2012,12,31)-408</f>
        <v>40866</v>
      </c>
      <c r="B3553" s="13">
        <v>440.92</v>
      </c>
    </row>
    <row r="3554" s="6" customFormat="1" spans="1:2">
      <c r="A3554" s="12">
        <f>DATE(2012,12,31)-408</f>
        <v>40866</v>
      </c>
      <c r="B3554" s="13">
        <v>3.2</v>
      </c>
    </row>
    <row r="3555" s="6" customFormat="1" spans="1:2">
      <c r="A3555" s="12">
        <f>DATE(2012,12,31)-1298</f>
        <v>39976</v>
      </c>
      <c r="B3555" s="13">
        <v>967.27</v>
      </c>
    </row>
    <row r="3556" s="6" customFormat="1" spans="1:2">
      <c r="A3556" s="12">
        <f>DATE(2012,12,31)-236</f>
        <v>41038</v>
      </c>
      <c r="B3556" s="13">
        <v>343.36</v>
      </c>
    </row>
    <row r="3557" s="6" customFormat="1" spans="1:2">
      <c r="A3557" s="12">
        <f>DATE(2012,12,31)-236</f>
        <v>41038</v>
      </c>
      <c r="B3557" s="13">
        <v>309.2215</v>
      </c>
    </row>
    <row r="3558" s="6" customFormat="1" spans="1:2">
      <c r="A3558" s="12">
        <f>DATE(2012,12,31)-759</f>
        <v>40515</v>
      </c>
      <c r="B3558" s="13">
        <v>2477.99</v>
      </c>
    </row>
    <row r="3559" s="6" customFormat="1" spans="1:2">
      <c r="A3559" s="12">
        <f>DATE(2012,12,31)-759</f>
        <v>40515</v>
      </c>
      <c r="B3559" s="13">
        <v>48.83</v>
      </c>
    </row>
    <row r="3560" s="6" customFormat="1" spans="1:2">
      <c r="A3560" s="12">
        <f>DATE(2012,12,31)-646</f>
        <v>40628</v>
      </c>
      <c r="B3560" s="13">
        <v>76.61</v>
      </c>
    </row>
    <row r="3561" s="6" customFormat="1" spans="1:2">
      <c r="A3561" s="12">
        <f>DATE(2012,12,31)-35</f>
        <v>41239</v>
      </c>
      <c r="B3561" s="13">
        <v>4343.51</v>
      </c>
    </row>
    <row r="3562" s="6" customFormat="1" spans="1:2">
      <c r="A3562" s="12">
        <f>DATE(2012,12,31)-379</f>
        <v>40895</v>
      </c>
      <c r="B3562" s="13">
        <v>3713.0125</v>
      </c>
    </row>
    <row r="3563" s="6" customFormat="1" spans="1:2">
      <c r="A3563" s="12">
        <f>DATE(2012,12,31)-574</f>
        <v>40700</v>
      </c>
      <c r="B3563" s="13">
        <v>129.77</v>
      </c>
    </row>
    <row r="3564" s="6" customFormat="1" spans="1:2">
      <c r="A3564" s="12">
        <f>DATE(2012,12,31)-1424</f>
        <v>39850</v>
      </c>
      <c r="B3564" s="13">
        <v>6589.304</v>
      </c>
    </row>
    <row r="3565" spans="1:2">
      <c r="A3565" s="14">
        <f>DATE(2012,12,31)-361</f>
        <v>40913</v>
      </c>
      <c r="B3565" s="15">
        <v>1666</v>
      </c>
    </row>
    <row r="3566" s="6" customFormat="1" spans="1:2">
      <c r="A3566" s="12">
        <f>DATE(2012,12,31)-361</f>
        <v>40913</v>
      </c>
      <c r="B3566" s="13">
        <v>453.98</v>
      </c>
    </row>
    <row r="3567" s="6" customFormat="1" spans="1:2">
      <c r="A3567" s="12">
        <f>DATE(2012,12,31)-100</f>
        <v>41174</v>
      </c>
      <c r="B3567" s="13">
        <v>570.24</v>
      </c>
    </row>
    <row r="3568" s="6" customFormat="1" spans="1:2">
      <c r="A3568" s="12">
        <f>DATE(2012,12,31)-1316</f>
        <v>39958</v>
      </c>
      <c r="B3568" s="13">
        <v>1444</v>
      </c>
    </row>
    <row r="3569" s="6" customFormat="1" spans="1:2">
      <c r="A3569" s="12">
        <f>DATE(2012,12,31)-222</f>
        <v>41052</v>
      </c>
      <c r="B3569" s="13">
        <v>536.21</v>
      </c>
    </row>
    <row r="3570" s="6" customFormat="1" spans="1:2">
      <c r="A3570" s="12">
        <f>DATE(2012,12,31)-222</f>
        <v>41052</v>
      </c>
      <c r="B3570" s="13">
        <v>4428.56</v>
      </c>
    </row>
    <row r="3571" spans="1:2">
      <c r="A3571" s="14">
        <f>DATE(2012,12,31)-1320</f>
        <v>39954</v>
      </c>
      <c r="B3571" s="15">
        <v>194.02</v>
      </c>
    </row>
    <row r="3572" s="6" customFormat="1" spans="1:2">
      <c r="A3572" s="12">
        <f>DATE(2012,12,31)-78</f>
        <v>41196</v>
      </c>
      <c r="B3572" s="13">
        <v>17304.85</v>
      </c>
    </row>
    <row r="3573" s="6" customFormat="1" spans="1:2">
      <c r="A3573" s="12">
        <f>DATE(2012,12,31)-78</f>
        <v>41196</v>
      </c>
      <c r="B3573" s="13">
        <v>794.32</v>
      </c>
    </row>
    <row r="3574" s="6" customFormat="1" spans="1:2">
      <c r="A3574" s="12">
        <f>DATE(2012,12,31)-1367</f>
        <v>39907</v>
      </c>
      <c r="B3574" s="13">
        <v>305.96</v>
      </c>
    </row>
    <row r="3575" s="6" customFormat="1" spans="1:2">
      <c r="A3575" s="12">
        <f>DATE(2012,12,31)-90</f>
        <v>41184</v>
      </c>
      <c r="B3575" s="13">
        <v>676.69</v>
      </c>
    </row>
    <row r="3576" s="6" customFormat="1" spans="1:2">
      <c r="A3576" s="12">
        <f>DATE(2012,12,31)-90</f>
        <v>41184</v>
      </c>
      <c r="B3576" s="13">
        <v>13698.96</v>
      </c>
    </row>
    <row r="3577" s="6" customFormat="1" spans="1:2">
      <c r="A3577" s="12">
        <f>DATE(2012,12,31)-251</f>
        <v>41023</v>
      </c>
      <c r="B3577" s="13">
        <v>4725.0905</v>
      </c>
    </row>
    <row r="3578" spans="1:2">
      <c r="A3578" s="14">
        <f>DATE(2012,12,31)-251</f>
        <v>41023</v>
      </c>
      <c r="B3578" s="15">
        <v>286.76</v>
      </c>
    </row>
    <row r="3579" s="6" customFormat="1" spans="1:2">
      <c r="A3579" s="12">
        <f>DATE(2012,12,31)-613</f>
        <v>40661</v>
      </c>
      <c r="B3579" s="13">
        <v>210.5025</v>
      </c>
    </row>
    <row r="3580" s="6" customFormat="1" spans="1:2">
      <c r="A3580" s="12">
        <f>DATE(2012,12,31)-1244</f>
        <v>40030</v>
      </c>
      <c r="B3580" s="13">
        <v>555.2</v>
      </c>
    </row>
    <row r="3581" s="6" customFormat="1" spans="1:2">
      <c r="A3581" s="12">
        <f>DATE(2012,12,31)-1319</f>
        <v>39955</v>
      </c>
      <c r="B3581" s="13">
        <v>212.28</v>
      </c>
    </row>
    <row r="3582" s="6" customFormat="1" spans="1:2">
      <c r="A3582" s="12">
        <f>DATE(2012,12,31)-528</f>
        <v>40746</v>
      </c>
      <c r="B3582" s="13">
        <v>193.25</v>
      </c>
    </row>
    <row r="3583" s="6" customFormat="1" spans="1:2">
      <c r="A3583" s="12">
        <f>DATE(2012,12,31)-1448</f>
        <v>39826</v>
      </c>
      <c r="B3583" s="13">
        <v>297.76</v>
      </c>
    </row>
    <row r="3584" s="6" customFormat="1" spans="1:2">
      <c r="A3584" s="12">
        <f>DATE(2012,12,31)-1</f>
        <v>41273</v>
      </c>
      <c r="B3584" s="13">
        <v>257.46</v>
      </c>
    </row>
    <row r="3585" s="6" customFormat="1" spans="1:2">
      <c r="A3585" s="12">
        <f>DATE(2012,12,31)-175</f>
        <v>41099</v>
      </c>
      <c r="B3585" s="13">
        <v>311.21</v>
      </c>
    </row>
    <row r="3586" s="6" customFormat="1" spans="1:2">
      <c r="A3586" s="12">
        <f>DATE(2012,12,31)-135</f>
        <v>41139</v>
      </c>
      <c r="B3586" s="13">
        <v>3749</v>
      </c>
    </row>
    <row r="3587" s="6" customFormat="1" spans="1:2">
      <c r="A3587" s="12">
        <f>DATE(2012,12,31)-1390</f>
        <v>39884</v>
      </c>
      <c r="B3587" s="13">
        <v>5074.07</v>
      </c>
    </row>
    <row r="3588" s="6" customFormat="1" spans="1:2">
      <c r="A3588" s="12">
        <f>DATE(2012,12,31)-1390</f>
        <v>39884</v>
      </c>
      <c r="B3588" s="13">
        <v>1526.67</v>
      </c>
    </row>
    <row r="3589" s="6" customFormat="1" spans="1:2">
      <c r="A3589" s="12">
        <f>DATE(2012,12,31)-1456</f>
        <v>39818</v>
      </c>
      <c r="B3589" s="13">
        <v>257.41</v>
      </c>
    </row>
    <row r="3590" s="6" customFormat="1" spans="1:2">
      <c r="A3590" s="12">
        <f>DATE(2012,12,31)-667</f>
        <v>40607</v>
      </c>
      <c r="B3590" s="13">
        <v>862.64</v>
      </c>
    </row>
    <row r="3591" s="6" customFormat="1" spans="1:2">
      <c r="A3591" s="12">
        <f>DATE(2012,12,31)-518</f>
        <v>40756</v>
      </c>
      <c r="B3591" s="13">
        <v>5140.08</v>
      </c>
    </row>
    <row r="3592" s="6" customFormat="1" spans="1:2">
      <c r="A3592" s="12">
        <f>DATE(2012,12,31)-886</f>
        <v>40388</v>
      </c>
      <c r="B3592" s="13">
        <v>593.32</v>
      </c>
    </row>
    <row r="3593" s="6" customFormat="1" spans="1:2">
      <c r="A3593" s="12">
        <f>DATE(2012,12,31)-886</f>
        <v>40388</v>
      </c>
      <c r="B3593" s="13">
        <v>626.07</v>
      </c>
    </row>
    <row r="3594" s="6" customFormat="1" spans="1:2">
      <c r="A3594" s="12">
        <f>DATE(2012,12,31)-216</f>
        <v>41058</v>
      </c>
      <c r="B3594" s="13">
        <v>633.08</v>
      </c>
    </row>
    <row r="3595" s="6" customFormat="1" spans="1:2">
      <c r="A3595" s="12">
        <f>DATE(2012,12,31)-216</f>
        <v>41058</v>
      </c>
      <c r="B3595" s="13">
        <v>110.42</v>
      </c>
    </row>
    <row r="3596" s="6" customFormat="1" spans="1:2">
      <c r="A3596" s="12">
        <f>DATE(2012,12,31)-310</f>
        <v>40964</v>
      </c>
      <c r="B3596" s="13">
        <v>2409.424</v>
      </c>
    </row>
    <row r="3597" s="6" customFormat="1" spans="1:2">
      <c r="A3597" s="12">
        <f>DATE(2012,12,31)-1243</f>
        <v>40031</v>
      </c>
      <c r="B3597" s="13">
        <v>163.89</v>
      </c>
    </row>
    <row r="3598" s="6" customFormat="1" spans="1:2">
      <c r="A3598" s="12">
        <f>DATE(2012,12,31)-1243</f>
        <v>40031</v>
      </c>
      <c r="B3598" s="13">
        <v>115.45</v>
      </c>
    </row>
    <row r="3599" s="6" customFormat="1" spans="1:2">
      <c r="A3599" s="12">
        <f>DATE(2012,12,31)-120</f>
        <v>41154</v>
      </c>
      <c r="B3599" s="13">
        <v>260.08</v>
      </c>
    </row>
    <row r="3600" s="6" customFormat="1" spans="1:2">
      <c r="A3600" s="12">
        <f>DATE(2012,12,31)-120</f>
        <v>41154</v>
      </c>
      <c r="B3600" s="13">
        <v>5072.34</v>
      </c>
    </row>
    <row r="3601" s="6" customFormat="1" spans="1:2">
      <c r="A3601" s="12">
        <f>DATE(2012,12,31)-715</f>
        <v>40559</v>
      </c>
      <c r="B3601" s="13">
        <v>45.63</v>
      </c>
    </row>
    <row r="3602" s="6" customFormat="1" spans="1:2">
      <c r="A3602" s="12">
        <f>DATE(2012,12,31)-615</f>
        <v>40659</v>
      </c>
      <c r="B3602" s="13">
        <v>400.25</v>
      </c>
    </row>
    <row r="3603" s="6" customFormat="1" spans="1:2">
      <c r="A3603" s="12">
        <f>DATE(2012,12,31)-233</f>
        <v>41041</v>
      </c>
      <c r="B3603" s="13">
        <v>557.23</v>
      </c>
    </row>
    <row r="3604" s="6" customFormat="1" spans="1:2">
      <c r="A3604" s="12">
        <f>DATE(2012,12,31)-732</f>
        <v>40542</v>
      </c>
      <c r="B3604" s="13">
        <v>260.37</v>
      </c>
    </row>
    <row r="3605" s="6" customFormat="1" spans="1:2">
      <c r="A3605" s="12">
        <f>DATE(2012,12,31)-303</f>
        <v>40971</v>
      </c>
      <c r="B3605" s="13">
        <v>261.88</v>
      </c>
    </row>
    <row r="3606" s="6" customFormat="1" spans="1:2">
      <c r="A3606" s="12">
        <f>DATE(2012,12,31)-303</f>
        <v>40971</v>
      </c>
      <c r="B3606" s="13">
        <v>593.73</v>
      </c>
    </row>
    <row r="3607" s="6" customFormat="1" spans="1:2">
      <c r="A3607" s="12">
        <f>DATE(2012,12,31)-268</f>
        <v>41006</v>
      </c>
      <c r="B3607" s="13">
        <v>3436.771</v>
      </c>
    </row>
    <row r="3608" s="6" customFormat="1" spans="1:2">
      <c r="A3608" s="12">
        <f>DATE(2012,12,31)-121</f>
        <v>41153</v>
      </c>
      <c r="B3608" s="13">
        <v>925.43</v>
      </c>
    </row>
    <row r="3609" s="6" customFormat="1" spans="1:2">
      <c r="A3609" s="12">
        <f>DATE(2012,12,31)-676</f>
        <v>40598</v>
      </c>
      <c r="B3609" s="13">
        <v>136.5</v>
      </c>
    </row>
    <row r="3610" s="6" customFormat="1" spans="1:2">
      <c r="A3610" s="12">
        <f>DATE(2012,12,31)-1214</f>
        <v>40060</v>
      </c>
      <c r="B3610" s="13">
        <v>25.27</v>
      </c>
    </row>
    <row r="3611" s="6" customFormat="1" spans="1:2">
      <c r="A3611" s="12">
        <f>DATE(2012,12,31)-1214</f>
        <v>40060</v>
      </c>
      <c r="B3611" s="13">
        <v>14410.78</v>
      </c>
    </row>
    <row r="3612" s="6" customFormat="1" spans="1:2">
      <c r="A3612" s="12">
        <f>DATE(2012,12,31)-1214</f>
        <v>40060</v>
      </c>
      <c r="B3612" s="13">
        <v>15341.46</v>
      </c>
    </row>
    <row r="3613" s="6" customFormat="1" spans="1:2">
      <c r="A3613" s="12">
        <f>DATE(2012,12,31)-1214</f>
        <v>40060</v>
      </c>
      <c r="B3613" s="13">
        <v>507.5605</v>
      </c>
    </row>
    <row r="3614" s="6" customFormat="1" spans="1:2">
      <c r="A3614" s="12">
        <f>DATE(2012,12,31)-165</f>
        <v>41109</v>
      </c>
      <c r="B3614" s="13">
        <v>483.74</v>
      </c>
    </row>
    <row r="3615" s="6" customFormat="1" spans="1:2">
      <c r="A3615" s="12">
        <f>DATE(2012,12,31)-165</f>
        <v>41109</v>
      </c>
      <c r="B3615" s="13">
        <v>159.65</v>
      </c>
    </row>
    <row r="3616" s="6" customFormat="1" spans="1:2">
      <c r="A3616" s="12">
        <f>DATE(2012,12,31)-769</f>
        <v>40505</v>
      </c>
      <c r="B3616" s="13">
        <v>241.43</v>
      </c>
    </row>
    <row r="3617" s="6" customFormat="1" spans="1:2">
      <c r="A3617" s="12">
        <f>DATE(2012,12,31)-769</f>
        <v>40505</v>
      </c>
      <c r="B3617" s="13">
        <v>163.04</v>
      </c>
    </row>
    <row r="3618" s="6" customFormat="1" spans="1:2">
      <c r="A3618" s="12">
        <f>DATE(2012,12,31)-769</f>
        <v>40505</v>
      </c>
      <c r="B3618" s="13">
        <v>9041.26</v>
      </c>
    </row>
    <row r="3619" s="6" customFormat="1" spans="1:2">
      <c r="A3619" s="12">
        <f>DATE(2012,12,31)-970</f>
        <v>40304</v>
      </c>
      <c r="B3619" s="13">
        <v>25.34</v>
      </c>
    </row>
    <row r="3620" s="6" customFormat="1" spans="1:2">
      <c r="A3620" s="12">
        <f>DATE(2012,12,31)-970</f>
        <v>40304</v>
      </c>
      <c r="B3620" s="13">
        <v>178.57</v>
      </c>
    </row>
    <row r="3621" s="6" customFormat="1" spans="1:2">
      <c r="A3621" s="12">
        <f>DATE(2012,12,31)-1204</f>
        <v>40070</v>
      </c>
      <c r="B3621" s="13">
        <v>250.376</v>
      </c>
    </row>
    <row r="3622" s="6" customFormat="1" spans="1:2">
      <c r="A3622" s="12">
        <f>DATE(2012,12,31)-1094</f>
        <v>40180</v>
      </c>
      <c r="B3622" s="13">
        <v>740.2</v>
      </c>
    </row>
    <row r="3623" s="6" customFormat="1" spans="1:2">
      <c r="A3623" s="12">
        <f>DATE(2012,12,31)-1094</f>
        <v>40180</v>
      </c>
      <c r="B3623" s="13">
        <v>1288.7785</v>
      </c>
    </row>
    <row r="3624" s="6" customFormat="1" spans="1:2">
      <c r="A3624" s="12">
        <f>DATE(2012,12,31)-146</f>
        <v>41128</v>
      </c>
      <c r="B3624" s="13">
        <v>23775.56</v>
      </c>
    </row>
    <row r="3625" s="6" customFormat="1" spans="1:2">
      <c r="A3625" s="12">
        <f>DATE(2012,12,31)-619</f>
        <v>40655</v>
      </c>
      <c r="B3625" s="13">
        <v>340.6885</v>
      </c>
    </row>
    <row r="3626" s="6" customFormat="1" spans="1:2">
      <c r="A3626" s="12">
        <f>DATE(2012,12,31)-937</f>
        <v>40337</v>
      </c>
      <c r="B3626" s="13">
        <v>321.63</v>
      </c>
    </row>
    <row r="3627" s="6" customFormat="1" spans="1:2">
      <c r="A3627" s="12">
        <f>DATE(2012,12,31)-258</f>
        <v>41016</v>
      </c>
      <c r="B3627" s="13">
        <v>709.91</v>
      </c>
    </row>
    <row r="3628" s="6" customFormat="1" spans="1:2">
      <c r="A3628" s="12">
        <f>DATE(2012,12,31)-1137</f>
        <v>40137</v>
      </c>
      <c r="B3628" s="13">
        <v>3300.216</v>
      </c>
    </row>
    <row r="3629" s="6" customFormat="1" spans="1:2">
      <c r="A3629" s="12">
        <f>DATE(2012,12,31)-1137</f>
        <v>40137</v>
      </c>
      <c r="B3629" s="13">
        <v>331.54</v>
      </c>
    </row>
    <row r="3630" spans="1:2">
      <c r="A3630" s="14">
        <f>DATE(2012,12,31)-1349</f>
        <v>39925</v>
      </c>
      <c r="B3630" s="15">
        <v>422.83</v>
      </c>
    </row>
    <row r="3631" spans="1:2">
      <c r="A3631" s="14">
        <f>DATE(2012,12,31)-1349</f>
        <v>39925</v>
      </c>
      <c r="B3631" s="15">
        <v>945.9</v>
      </c>
    </row>
    <row r="3632" s="6" customFormat="1" spans="1:2">
      <c r="A3632" s="12">
        <f>DATE(2012,12,31)-849</f>
        <v>40425</v>
      </c>
      <c r="B3632" s="13">
        <v>2864.1005</v>
      </c>
    </row>
    <row r="3633" s="6" customFormat="1" spans="1:2">
      <c r="A3633" s="12">
        <f>DATE(2012,12,31)-1191</f>
        <v>40083</v>
      </c>
      <c r="B3633" s="13">
        <v>258.54</v>
      </c>
    </row>
    <row r="3634" s="6" customFormat="1" spans="1:2">
      <c r="A3634" s="12">
        <f>DATE(2012,12,31)-1191</f>
        <v>40083</v>
      </c>
      <c r="B3634" s="13">
        <v>1972.884</v>
      </c>
    </row>
    <row r="3635" spans="1:2">
      <c r="A3635" s="14">
        <f>DATE(2012,12,31)-607</f>
        <v>40667</v>
      </c>
      <c r="B3635" s="15">
        <v>170.35</v>
      </c>
    </row>
    <row r="3636" s="6" customFormat="1" spans="1:2">
      <c r="A3636" s="12">
        <f>DATE(2012,12,31)-120</f>
        <v>41154</v>
      </c>
      <c r="B3636" s="13">
        <v>230.63</v>
      </c>
    </row>
    <row r="3637" s="6" customFormat="1" spans="1:2">
      <c r="A3637" s="12">
        <f>DATE(2012,12,31)-120</f>
        <v>41154</v>
      </c>
      <c r="B3637" s="13">
        <v>80.79</v>
      </c>
    </row>
    <row r="3638" s="6" customFormat="1" spans="1:2">
      <c r="A3638" s="12">
        <f>DATE(2012,12,31)-192</f>
        <v>41082</v>
      </c>
      <c r="B3638" s="13">
        <v>278.07</v>
      </c>
    </row>
    <row r="3639" s="6" customFormat="1" spans="1:2">
      <c r="A3639" s="12">
        <f>DATE(2012,12,31)-1181</f>
        <v>40093</v>
      </c>
      <c r="B3639" s="13">
        <v>154.94</v>
      </c>
    </row>
    <row r="3640" s="6" customFormat="1" spans="1:2">
      <c r="A3640" s="12">
        <f>DATE(2012,12,31)-1181</f>
        <v>40093</v>
      </c>
      <c r="B3640" s="13">
        <v>1642.642</v>
      </c>
    </row>
    <row r="3641" s="6" customFormat="1" spans="1:2">
      <c r="A3641" s="12">
        <f>DATE(2012,12,31)-108</f>
        <v>41166</v>
      </c>
      <c r="B3641" s="13">
        <v>328.627</v>
      </c>
    </row>
    <row r="3642" s="6" customFormat="1" spans="1:2">
      <c r="A3642" s="12">
        <f>DATE(2012,12,31)-864</f>
        <v>40410</v>
      </c>
      <c r="B3642" s="13">
        <v>120.77</v>
      </c>
    </row>
    <row r="3643" s="6" customFormat="1" spans="1:2">
      <c r="A3643" s="12">
        <f>DATE(2012,12,31)-564</f>
        <v>40710</v>
      </c>
      <c r="B3643" s="13">
        <v>365.24</v>
      </c>
    </row>
    <row r="3644" s="6" customFormat="1" spans="1:2">
      <c r="A3644" s="12">
        <f>DATE(2012,12,31)-918</f>
        <v>40356</v>
      </c>
      <c r="B3644" s="13">
        <v>795.74</v>
      </c>
    </row>
    <row r="3645" s="6" customFormat="1" spans="1:2">
      <c r="A3645" s="12">
        <f>DATE(2012,12,31)-918</f>
        <v>40356</v>
      </c>
      <c r="B3645" s="13">
        <v>251.75</v>
      </c>
    </row>
    <row r="3646" s="6" customFormat="1" spans="1:2">
      <c r="A3646" s="12">
        <f>DATE(2012,12,31)-342</f>
        <v>40932</v>
      </c>
      <c r="B3646" s="13">
        <v>878.75</v>
      </c>
    </row>
    <row r="3647" s="6" customFormat="1" spans="1:2">
      <c r="A3647" s="12">
        <f>DATE(2012,12,31)-1053</f>
        <v>40221</v>
      </c>
      <c r="B3647" s="13">
        <v>396.78</v>
      </c>
    </row>
    <row r="3648" s="6" customFormat="1" spans="1:2">
      <c r="A3648" s="12">
        <f>DATE(2012,12,31)-36</f>
        <v>41238</v>
      </c>
      <c r="B3648" s="13">
        <v>6733.52</v>
      </c>
    </row>
    <row r="3649" s="6" customFormat="1" spans="1:2">
      <c r="A3649" s="12">
        <f>DATE(2012,12,31)-76</f>
        <v>41198</v>
      </c>
      <c r="B3649" s="13">
        <v>228.82</v>
      </c>
    </row>
    <row r="3650" s="6" customFormat="1" spans="1:2">
      <c r="A3650" s="12">
        <f>DATE(2012,12,31)-63</f>
        <v>41211</v>
      </c>
      <c r="B3650" s="13">
        <v>697.41</v>
      </c>
    </row>
    <row r="3651" s="6" customFormat="1" spans="1:2">
      <c r="A3651" s="12">
        <f>DATE(2012,12,31)-432</f>
        <v>40842</v>
      </c>
      <c r="B3651" s="13">
        <v>75.74</v>
      </c>
    </row>
    <row r="3652" s="6" customFormat="1" spans="1:2">
      <c r="A3652" s="12">
        <f>DATE(2012,12,31)-546</f>
        <v>40728</v>
      </c>
      <c r="B3652" s="13">
        <v>99.36</v>
      </c>
    </row>
    <row r="3653" s="6" customFormat="1" spans="1:2">
      <c r="A3653" s="12">
        <f>DATE(2012,12,31)-546</f>
        <v>40728</v>
      </c>
      <c r="B3653" s="13">
        <v>510.15</v>
      </c>
    </row>
    <row r="3654" s="6" customFormat="1" spans="1:2">
      <c r="A3654" s="12">
        <f>DATE(2012,12,31)-546</f>
        <v>40728</v>
      </c>
      <c r="B3654" s="13">
        <v>735.09</v>
      </c>
    </row>
    <row r="3655" s="6" customFormat="1" spans="1:2">
      <c r="A3655" s="12">
        <f>DATE(2012,12,31)-1177</f>
        <v>40097</v>
      </c>
      <c r="B3655" s="13">
        <v>1351.76</v>
      </c>
    </row>
    <row r="3656" s="6" customFormat="1" spans="1:2">
      <c r="A3656" s="12">
        <f>DATE(2012,12,31)-1177</f>
        <v>40097</v>
      </c>
      <c r="B3656" s="13">
        <v>595.4</v>
      </c>
    </row>
    <row r="3657" s="6" customFormat="1" spans="1:2">
      <c r="A3657" s="12">
        <f>DATE(2012,12,31)-408</f>
        <v>40866</v>
      </c>
      <c r="B3657" s="13">
        <v>94.32</v>
      </c>
    </row>
    <row r="3658" s="6" customFormat="1" spans="1:2">
      <c r="A3658" s="12">
        <f>DATE(2012,12,31)-408</f>
        <v>40866</v>
      </c>
      <c r="B3658" s="13">
        <v>554.4295</v>
      </c>
    </row>
    <row r="3659" s="6" customFormat="1" spans="1:2">
      <c r="A3659" s="12">
        <f>DATE(2012,12,31)-1080</f>
        <v>40194</v>
      </c>
      <c r="B3659" s="13">
        <v>4684.9</v>
      </c>
    </row>
    <row r="3660" s="6" customFormat="1" spans="1:2">
      <c r="A3660" s="12">
        <f>DATE(2012,12,31)-1080</f>
        <v>40194</v>
      </c>
      <c r="B3660" s="13">
        <v>770.76</v>
      </c>
    </row>
    <row r="3661" s="6" customFormat="1" spans="1:2">
      <c r="A3661" s="12">
        <f>DATE(2012,12,31)-407</f>
        <v>40867</v>
      </c>
      <c r="B3661" s="13">
        <v>305.68</v>
      </c>
    </row>
    <row r="3662" s="6" customFormat="1" spans="1:2">
      <c r="A3662" s="12">
        <f>DATE(2012,12,31)-407</f>
        <v>40867</v>
      </c>
      <c r="B3662" s="13">
        <v>1901.29</v>
      </c>
    </row>
    <row r="3663" s="6" customFormat="1" spans="1:2">
      <c r="A3663" s="12">
        <f>DATE(2012,12,31)-1108</f>
        <v>40166</v>
      </c>
      <c r="B3663" s="13">
        <v>1483.44</v>
      </c>
    </row>
    <row r="3664" s="6" customFormat="1" spans="1:2">
      <c r="A3664" s="12">
        <f>DATE(2012,12,31)-1108</f>
        <v>40166</v>
      </c>
      <c r="B3664" s="13">
        <v>145.68</v>
      </c>
    </row>
    <row r="3665" spans="1:2">
      <c r="A3665" s="14">
        <f>DATE(2012,12,31)-534</f>
        <v>40740</v>
      </c>
      <c r="B3665" s="15">
        <v>71.32</v>
      </c>
    </row>
    <row r="3666" s="6" customFormat="1" spans="1:2">
      <c r="A3666" s="12">
        <f>DATE(2012,12,31)-881</f>
        <v>40393</v>
      </c>
      <c r="B3666" s="13">
        <v>131.72</v>
      </c>
    </row>
    <row r="3667" s="6" customFormat="1" spans="1:2">
      <c r="A3667" s="12">
        <f>DATE(2012,12,31)-185</f>
        <v>41089</v>
      </c>
      <c r="B3667" s="13">
        <v>905.94</v>
      </c>
    </row>
    <row r="3668" s="6" customFormat="1" spans="1:2">
      <c r="A3668" s="12">
        <f>DATE(2012,12,31)-202</f>
        <v>41072</v>
      </c>
      <c r="B3668" s="13">
        <v>377.83</v>
      </c>
    </row>
    <row r="3669" s="6" customFormat="1" spans="1:2">
      <c r="A3669" s="12">
        <f>DATE(2012,12,31)-841</f>
        <v>40433</v>
      </c>
      <c r="B3669" s="13">
        <v>20329.8</v>
      </c>
    </row>
    <row r="3670" s="6" customFormat="1" spans="1:2">
      <c r="A3670" s="12">
        <f>DATE(2012,12,31)-841</f>
        <v>40433</v>
      </c>
      <c r="B3670" s="13">
        <v>3685.38</v>
      </c>
    </row>
    <row r="3671" s="6" customFormat="1" spans="1:2">
      <c r="A3671" s="12">
        <f>DATE(2012,12,31)-553</f>
        <v>40721</v>
      </c>
      <c r="B3671" s="13">
        <v>877.81</v>
      </c>
    </row>
    <row r="3672" s="6" customFormat="1" spans="1:2">
      <c r="A3672" s="12">
        <f>DATE(2012,12,31)-1250</f>
        <v>40024</v>
      </c>
      <c r="B3672" s="13">
        <v>211.7435</v>
      </c>
    </row>
    <row r="3673" s="6" customFormat="1" spans="1:2">
      <c r="A3673" s="12">
        <f>DATE(2012,12,31)-653</f>
        <v>40621</v>
      </c>
      <c r="B3673" s="13">
        <v>7452.137</v>
      </c>
    </row>
    <row r="3674" spans="1:2">
      <c r="A3674" s="14">
        <f>DATE(2012,12,31)-760</f>
        <v>40514</v>
      </c>
      <c r="B3674" s="15">
        <v>1118.21</v>
      </c>
    </row>
    <row r="3675" s="6" customFormat="1" spans="1:2">
      <c r="A3675" s="12">
        <f>DATE(2012,12,31)-760</f>
        <v>40514</v>
      </c>
      <c r="B3675" s="13">
        <v>3503.56</v>
      </c>
    </row>
    <row r="3676" s="6" customFormat="1" spans="1:2">
      <c r="A3676" s="12">
        <f>DATE(2012,12,31)-62</f>
        <v>41212</v>
      </c>
      <c r="B3676" s="13">
        <v>7725.66</v>
      </c>
    </row>
    <row r="3677" s="6" customFormat="1" spans="1:2">
      <c r="A3677" s="12">
        <f>DATE(2012,12,31)-62</f>
        <v>41212</v>
      </c>
      <c r="B3677" s="13">
        <v>2567.64</v>
      </c>
    </row>
    <row r="3678" s="6" customFormat="1" spans="1:2">
      <c r="A3678" s="12">
        <f>DATE(2012,12,31)-316</f>
        <v>40958</v>
      </c>
      <c r="B3678" s="13">
        <v>128.13</v>
      </c>
    </row>
    <row r="3679" spans="1:2">
      <c r="A3679" s="14">
        <f>DATE(2012,12,31)-155</f>
        <v>41119</v>
      </c>
      <c r="B3679" s="15">
        <v>77.41</v>
      </c>
    </row>
    <row r="3680" spans="1:2">
      <c r="A3680" s="14">
        <f>DATE(2012,12,31)-155</f>
        <v>41119</v>
      </c>
      <c r="B3680" s="15">
        <v>112.67</v>
      </c>
    </row>
    <row r="3681" s="6" customFormat="1" spans="1:2">
      <c r="A3681" s="12">
        <f>DATE(2012,12,31)-219</f>
        <v>41055</v>
      </c>
      <c r="B3681" s="13">
        <v>1516.82</v>
      </c>
    </row>
    <row r="3682" s="6" customFormat="1" spans="1:2">
      <c r="A3682" s="12">
        <f>DATE(2012,12,31)-219</f>
        <v>41055</v>
      </c>
      <c r="B3682" s="13">
        <v>2752.68</v>
      </c>
    </row>
    <row r="3683" s="6" customFormat="1" spans="1:2">
      <c r="A3683" s="12">
        <f>DATE(2012,12,31)-1150</f>
        <v>40124</v>
      </c>
      <c r="B3683" s="13">
        <v>153.27</v>
      </c>
    </row>
    <row r="3684" s="6" customFormat="1" spans="1:2">
      <c r="A3684" s="12">
        <f>DATE(2012,12,31)-887</f>
        <v>40387</v>
      </c>
      <c r="B3684" s="13">
        <v>1095.27</v>
      </c>
    </row>
    <row r="3685" s="6" customFormat="1" spans="1:2">
      <c r="A3685" s="12">
        <f>DATE(2012,12,31)-1170</f>
        <v>40104</v>
      </c>
      <c r="B3685" s="13">
        <v>265.35</v>
      </c>
    </row>
    <row r="3686" s="6" customFormat="1" spans="1:2">
      <c r="A3686" s="12">
        <f>DATE(2012,12,31)-1170</f>
        <v>40104</v>
      </c>
      <c r="B3686" s="13">
        <v>1993.94</v>
      </c>
    </row>
    <row r="3687" s="6" customFormat="1" spans="1:2">
      <c r="A3687" s="12">
        <f>DATE(2012,12,31)-1170</f>
        <v>40104</v>
      </c>
      <c r="B3687" s="13">
        <v>24.73</v>
      </c>
    </row>
    <row r="3688" s="6" customFormat="1" spans="1:2">
      <c r="A3688" s="12">
        <f>DATE(2012,12,31)-900</f>
        <v>40374</v>
      </c>
      <c r="B3688" s="13">
        <v>1809.0125</v>
      </c>
    </row>
    <row r="3689" s="6" customFormat="1" spans="1:2">
      <c r="A3689" s="12">
        <f>DATE(2012,12,31)-511</f>
        <v>40763</v>
      </c>
      <c r="B3689" s="13">
        <v>270.23</v>
      </c>
    </row>
    <row r="3690" s="6" customFormat="1" spans="1:2">
      <c r="A3690" s="12">
        <f>DATE(2012,12,31)-511</f>
        <v>40763</v>
      </c>
      <c r="B3690" s="13">
        <v>660.27</v>
      </c>
    </row>
    <row r="3691" s="6" customFormat="1" spans="1:2">
      <c r="A3691" s="12">
        <f>DATE(2012,12,31)-1268</f>
        <v>40006</v>
      </c>
      <c r="B3691" s="13">
        <v>31.96</v>
      </c>
    </row>
    <row r="3692" s="6" customFormat="1" spans="1:2">
      <c r="A3692" s="12">
        <f>DATE(2012,12,31)-893</f>
        <v>40381</v>
      </c>
      <c r="B3692" s="13">
        <v>285.08</v>
      </c>
    </row>
    <row r="3693" s="6" customFormat="1" spans="1:2">
      <c r="A3693" s="12">
        <f>DATE(2012,12,31)-1152</f>
        <v>40122</v>
      </c>
      <c r="B3693" s="13">
        <v>90.9415</v>
      </c>
    </row>
    <row r="3694" s="6" customFormat="1" spans="1:2">
      <c r="A3694" s="12">
        <f>DATE(2012,12,31)-810</f>
        <v>40464</v>
      </c>
      <c r="B3694" s="13">
        <v>415</v>
      </c>
    </row>
    <row r="3695" s="6" customFormat="1" spans="1:2">
      <c r="A3695" s="12">
        <f>DATE(2012,12,31)-629</f>
        <v>40645</v>
      </c>
      <c r="B3695" s="13">
        <v>167.46</v>
      </c>
    </row>
    <row r="3696" s="6" customFormat="1" spans="1:2">
      <c r="A3696" s="12">
        <f>DATE(2012,12,31)-195</f>
        <v>41079</v>
      </c>
      <c r="B3696" s="13">
        <v>9522.12</v>
      </c>
    </row>
    <row r="3697" s="6" customFormat="1" spans="1:2">
      <c r="A3697" s="12">
        <f>DATE(2012,12,31)-195</f>
        <v>41079</v>
      </c>
      <c r="B3697" s="13">
        <v>1985.6935</v>
      </c>
    </row>
    <row r="3698" s="6" customFormat="1" spans="1:2">
      <c r="A3698" s="12">
        <f>DATE(2012,12,31)-1097</f>
        <v>40177</v>
      </c>
      <c r="B3698" s="13">
        <v>1420.89</v>
      </c>
    </row>
    <row r="3699" s="6" customFormat="1" spans="1:2">
      <c r="A3699" s="12">
        <f>DATE(2012,12,31)-1097</f>
        <v>40177</v>
      </c>
      <c r="B3699" s="13">
        <v>27820.34</v>
      </c>
    </row>
    <row r="3700" s="6" customFormat="1" spans="1:2">
      <c r="A3700" s="12">
        <f>DATE(2012,12,31)-1097</f>
        <v>40177</v>
      </c>
      <c r="B3700" s="13">
        <v>45.18</v>
      </c>
    </row>
    <row r="3701" s="6" customFormat="1" spans="1:2">
      <c r="A3701" s="12">
        <f>DATE(2012,12,31)-399</f>
        <v>40875</v>
      </c>
      <c r="B3701" s="13">
        <v>52.43</v>
      </c>
    </row>
    <row r="3702" s="6" customFormat="1" spans="1:2">
      <c r="A3702" s="12">
        <f>DATE(2012,12,31)-399</f>
        <v>40875</v>
      </c>
      <c r="B3702" s="13">
        <v>254.51</v>
      </c>
    </row>
    <row r="3703" s="6" customFormat="1" spans="1:2">
      <c r="A3703" s="12">
        <f>DATE(2012,12,31)-473</f>
        <v>40801</v>
      </c>
      <c r="B3703" s="13">
        <v>1230.83</v>
      </c>
    </row>
    <row r="3704" s="6" customFormat="1" spans="1:2">
      <c r="A3704" s="12">
        <f>DATE(2012,12,31)-473</f>
        <v>40801</v>
      </c>
      <c r="B3704" s="13">
        <v>169.93</v>
      </c>
    </row>
    <row r="3705" s="6" customFormat="1" spans="1:2">
      <c r="A3705" s="12">
        <f>DATE(2012,12,31)-473</f>
        <v>40801</v>
      </c>
      <c r="B3705" s="13">
        <v>1176.944</v>
      </c>
    </row>
    <row r="3706" s="6" customFormat="1" spans="1:2">
      <c r="A3706" s="12">
        <f>DATE(2012,12,31)-386</f>
        <v>40888</v>
      </c>
      <c r="B3706" s="13">
        <v>268.58</v>
      </c>
    </row>
    <row r="3707" s="6" customFormat="1" spans="1:2">
      <c r="A3707" s="12">
        <f>DATE(2012,12,31)-386</f>
        <v>40888</v>
      </c>
      <c r="B3707" s="13">
        <v>1280.65</v>
      </c>
    </row>
    <row r="3708" s="6" customFormat="1" spans="1:2">
      <c r="A3708" s="12">
        <f>DATE(2012,12,31)-1299</f>
        <v>39975</v>
      </c>
      <c r="B3708" s="13">
        <v>909.721</v>
      </c>
    </row>
    <row r="3709" spans="1:2">
      <c r="A3709" s="14">
        <f>DATE(2012,12,31)-154</f>
        <v>41120</v>
      </c>
      <c r="B3709" s="15">
        <v>7406.49</v>
      </c>
    </row>
    <row r="3710" spans="1:2">
      <c r="A3710" s="14">
        <f>DATE(2012,12,31)-154</f>
        <v>41120</v>
      </c>
      <c r="B3710" s="15">
        <v>350.01</v>
      </c>
    </row>
    <row r="3711" spans="1:2">
      <c r="A3711" s="14">
        <f>DATE(2012,12,31)-1381</f>
        <v>39893</v>
      </c>
      <c r="B3711" s="15">
        <v>18081.76</v>
      </c>
    </row>
    <row r="3712" s="6" customFormat="1" spans="1:2">
      <c r="A3712" s="12">
        <f>DATE(2012,12,31)-1044</f>
        <v>40230</v>
      </c>
      <c r="B3712" s="13">
        <v>32.4</v>
      </c>
    </row>
    <row r="3713" s="6" customFormat="1" spans="1:2">
      <c r="A3713" s="12">
        <f>DATE(2012,12,31)-620</f>
        <v>40654</v>
      </c>
      <c r="B3713" s="13">
        <v>671.78</v>
      </c>
    </row>
    <row r="3714" s="6" customFormat="1" spans="1:2">
      <c r="A3714" s="12">
        <f>DATE(2012,12,31)-620</f>
        <v>40654</v>
      </c>
      <c r="B3714" s="13">
        <v>262.09</v>
      </c>
    </row>
    <row r="3715" s="6" customFormat="1" spans="1:2">
      <c r="A3715" s="12">
        <f>DATE(2012,12,31)-703</f>
        <v>40571</v>
      </c>
      <c r="B3715" s="13">
        <v>201.72</v>
      </c>
    </row>
    <row r="3716" s="6" customFormat="1" spans="1:2">
      <c r="A3716" s="12">
        <f>DATE(2012,12,31)-703</f>
        <v>40571</v>
      </c>
      <c r="B3716" s="13">
        <v>12125.14</v>
      </c>
    </row>
    <row r="3717" s="6" customFormat="1" spans="1:2">
      <c r="A3717" s="12">
        <f>DATE(2012,12,31)-560</f>
        <v>40714</v>
      </c>
      <c r="B3717" s="13">
        <v>4688.9485</v>
      </c>
    </row>
    <row r="3718" s="6" customFormat="1" spans="1:2">
      <c r="A3718" s="12">
        <f>DATE(2012,12,31)-286</f>
        <v>40988</v>
      </c>
      <c r="B3718" s="13">
        <v>141.7</v>
      </c>
    </row>
    <row r="3719" spans="1:2">
      <c r="A3719" s="14">
        <f>DATE(2012,12,31)-1167</f>
        <v>40107</v>
      </c>
      <c r="B3719" s="15">
        <v>21337.27</v>
      </c>
    </row>
    <row r="3720" s="6" customFormat="1" spans="1:2">
      <c r="A3720" s="12">
        <f>DATE(2012,12,31)-1214</f>
        <v>40060</v>
      </c>
      <c r="B3720" s="13">
        <v>50.7</v>
      </c>
    </row>
    <row r="3721" s="6" customFormat="1" spans="1:2">
      <c r="A3721" s="12">
        <f>DATE(2012,12,31)-1214</f>
        <v>40060</v>
      </c>
      <c r="B3721" s="13">
        <v>90.06</v>
      </c>
    </row>
    <row r="3722" s="6" customFormat="1" spans="1:2">
      <c r="A3722" s="12">
        <f>DATE(2012,12,31)-1214</f>
        <v>40060</v>
      </c>
      <c r="B3722" s="13">
        <v>338.52</v>
      </c>
    </row>
    <row r="3723" s="6" customFormat="1" spans="1:2">
      <c r="A3723" s="12">
        <f>DATE(2012,12,31)-1214</f>
        <v>40060</v>
      </c>
      <c r="B3723" s="13">
        <v>6109.817</v>
      </c>
    </row>
    <row r="3724" s="6" customFormat="1" spans="1:2">
      <c r="A3724" s="12">
        <f>DATE(2012,12,31)-1158</f>
        <v>40116</v>
      </c>
      <c r="B3724" s="13">
        <v>38.37</v>
      </c>
    </row>
    <row r="3725" s="6" customFormat="1" spans="1:2">
      <c r="A3725" s="12">
        <f>DATE(2012,12,31)-1270</f>
        <v>40004</v>
      </c>
      <c r="B3725" s="13">
        <v>21956.03</v>
      </c>
    </row>
    <row r="3726" spans="1:2">
      <c r="A3726" s="14">
        <f>DATE(2012,12,31)-1270</f>
        <v>40004</v>
      </c>
      <c r="B3726" s="15">
        <v>89.89</v>
      </c>
    </row>
    <row r="3727" s="6" customFormat="1" spans="1:2">
      <c r="A3727" s="12">
        <f>DATE(2012,12,31)-765</f>
        <v>40509</v>
      </c>
      <c r="B3727" s="13">
        <v>65.67</v>
      </c>
    </row>
    <row r="3728" s="6" customFormat="1" spans="1:2">
      <c r="A3728" s="12">
        <f>DATE(2012,12,31)-791</f>
        <v>40483</v>
      </c>
      <c r="B3728" s="13">
        <v>231.65</v>
      </c>
    </row>
    <row r="3729" s="6" customFormat="1" spans="1:2">
      <c r="A3729" s="12">
        <f>DATE(2012,12,31)-93</f>
        <v>41181</v>
      </c>
      <c r="B3729" s="13">
        <v>1107.64</v>
      </c>
    </row>
    <row r="3730" s="6" customFormat="1" spans="1:2">
      <c r="A3730" s="12">
        <f>DATE(2012,12,31)-375</f>
        <v>40899</v>
      </c>
      <c r="B3730" s="13">
        <v>72.75</v>
      </c>
    </row>
    <row r="3731" s="6" customFormat="1" spans="1:2">
      <c r="A3731" s="12">
        <f>DATE(2012,12,31)-288</f>
        <v>40986</v>
      </c>
      <c r="B3731" s="13">
        <v>10.23</v>
      </c>
    </row>
    <row r="3732" s="6" customFormat="1" spans="1:2">
      <c r="A3732" s="12">
        <f>DATE(2012,12,31)-12</f>
        <v>41262</v>
      </c>
      <c r="B3732" s="13">
        <v>1772.2245</v>
      </c>
    </row>
    <row r="3733" s="6" customFormat="1" spans="1:2">
      <c r="A3733" s="12">
        <f>DATE(2012,12,31)-866</f>
        <v>40408</v>
      </c>
      <c r="B3733" s="13">
        <v>424.13</v>
      </c>
    </row>
    <row r="3734" s="6" customFormat="1" spans="1:2">
      <c r="A3734" s="12">
        <f>DATE(2012,12,31)-866</f>
        <v>40408</v>
      </c>
      <c r="B3734" s="13">
        <v>69.4</v>
      </c>
    </row>
    <row r="3735" s="6" customFormat="1" spans="1:2">
      <c r="A3735" s="12">
        <f>DATE(2012,12,31)-1189</f>
        <v>40085</v>
      </c>
      <c r="B3735" s="13">
        <v>198.44</v>
      </c>
    </row>
    <row r="3736" s="6" customFormat="1" spans="1:2">
      <c r="A3736" s="12">
        <f>DATE(2012,12,31)-150</f>
        <v>41124</v>
      </c>
      <c r="B3736" s="13">
        <v>270.43</v>
      </c>
    </row>
    <row r="3737" s="6" customFormat="1" spans="1:2">
      <c r="A3737" s="12">
        <f>DATE(2012,12,31)-863</f>
        <v>40411</v>
      </c>
      <c r="B3737" s="13">
        <v>2094.978</v>
      </c>
    </row>
    <row r="3738" spans="1:2">
      <c r="A3738" s="14">
        <f>DATE(2012,12,31)-939</f>
        <v>40335</v>
      </c>
      <c r="B3738" s="15">
        <v>367.11</v>
      </c>
    </row>
    <row r="3739" s="6" customFormat="1" spans="1:2">
      <c r="A3739" s="12">
        <f>DATE(2012,12,31)-669</f>
        <v>40605</v>
      </c>
      <c r="B3739" s="13">
        <v>441.8045</v>
      </c>
    </row>
    <row r="3740" s="6" customFormat="1" spans="1:2">
      <c r="A3740" s="12">
        <f>DATE(2012,12,31)-1424</f>
        <v>39850</v>
      </c>
      <c r="B3740" s="13">
        <v>1838.18</v>
      </c>
    </row>
    <row r="3741" s="6" customFormat="1" spans="1:2">
      <c r="A3741" s="12">
        <f>DATE(2012,12,31)-4</f>
        <v>41270</v>
      </c>
      <c r="B3741" s="13">
        <v>173.11</v>
      </c>
    </row>
    <row r="3742" s="6" customFormat="1" spans="1:2">
      <c r="A3742" s="12">
        <f>DATE(2012,12,31)-4</f>
        <v>41270</v>
      </c>
      <c r="B3742" s="13">
        <v>86.68</v>
      </c>
    </row>
    <row r="3743" s="6" customFormat="1" spans="1:2">
      <c r="A3743" s="12">
        <f>DATE(2012,12,31)-4</f>
        <v>41270</v>
      </c>
      <c r="B3743" s="13">
        <v>833.51</v>
      </c>
    </row>
    <row r="3744" s="6" customFormat="1" spans="1:2">
      <c r="A3744" s="12">
        <f>DATE(2012,12,31)-235</f>
        <v>41039</v>
      </c>
      <c r="B3744" s="13">
        <v>767.26</v>
      </c>
    </row>
    <row r="3745" s="6" customFormat="1" spans="1:2">
      <c r="A3745" s="12">
        <f>DATE(2012,12,31)-235</f>
        <v>41039</v>
      </c>
      <c r="B3745" s="13">
        <v>253.89</v>
      </c>
    </row>
    <row r="3746" s="6" customFormat="1" spans="1:2">
      <c r="A3746" s="12">
        <f>DATE(2012,12,31)-235</f>
        <v>41039</v>
      </c>
      <c r="B3746" s="13">
        <v>127.9</v>
      </c>
    </row>
    <row r="3747" s="6" customFormat="1" spans="1:2">
      <c r="A3747" s="12">
        <f>DATE(2012,12,31)-1318</f>
        <v>39956</v>
      </c>
      <c r="B3747" s="13">
        <v>3519.12</v>
      </c>
    </row>
    <row r="3748" s="6" customFormat="1" spans="1:2">
      <c r="A3748" s="12">
        <f>DATE(2012,12,31)-1318</f>
        <v>39956</v>
      </c>
      <c r="B3748" s="13">
        <v>108.33</v>
      </c>
    </row>
    <row r="3749" spans="1:2">
      <c r="A3749" s="14">
        <f>DATE(2012,12,31)-341</f>
        <v>40933</v>
      </c>
      <c r="B3749" s="15">
        <v>251.11</v>
      </c>
    </row>
    <row r="3750" s="6" customFormat="1" spans="1:2">
      <c r="A3750" s="12">
        <f>DATE(2012,12,31)-892</f>
        <v>40382</v>
      </c>
      <c r="B3750" s="13">
        <v>1466.95</v>
      </c>
    </row>
    <row r="3751" s="6" customFormat="1" spans="1:2">
      <c r="A3751" s="12">
        <f>DATE(2012,12,31)-892</f>
        <v>40382</v>
      </c>
      <c r="B3751" s="13">
        <v>440.23</v>
      </c>
    </row>
    <row r="3752" s="6" customFormat="1" spans="1:2">
      <c r="A3752" s="12">
        <f>DATE(2012,12,31)-999</f>
        <v>40275</v>
      </c>
      <c r="B3752" s="13">
        <v>296.94</v>
      </c>
    </row>
    <row r="3753" s="6" customFormat="1" spans="1:2">
      <c r="A3753" s="12">
        <f>DATE(2012,12,31)-469</f>
        <v>40805</v>
      </c>
      <c r="B3753" s="13">
        <v>1119.91</v>
      </c>
    </row>
    <row r="3754" spans="1:2">
      <c r="A3754" s="14">
        <f>DATE(2012,12,31)-612</f>
        <v>40662</v>
      </c>
      <c r="B3754" s="15">
        <v>500.48</v>
      </c>
    </row>
    <row r="3755" s="6" customFormat="1" spans="1:2">
      <c r="A3755" s="12">
        <f>DATE(2012,12,31)-358</f>
        <v>40916</v>
      </c>
      <c r="B3755" s="13">
        <v>202.84</v>
      </c>
    </row>
    <row r="3756" s="6" customFormat="1" spans="1:2">
      <c r="A3756" s="12">
        <f>DATE(2012,12,31)-358</f>
        <v>40916</v>
      </c>
      <c r="B3756" s="13">
        <v>78.39</v>
      </c>
    </row>
    <row r="3757" s="6" customFormat="1" spans="1:2">
      <c r="A3757" s="12">
        <f>DATE(2012,12,31)-358</f>
        <v>40916</v>
      </c>
      <c r="B3757" s="13">
        <v>251.34</v>
      </c>
    </row>
    <row r="3758" s="6" customFormat="1" spans="1:2">
      <c r="A3758" s="12">
        <f>DATE(2012,12,31)-526</f>
        <v>40748</v>
      </c>
      <c r="B3758" s="13">
        <v>73.64</v>
      </c>
    </row>
    <row r="3759" spans="1:2">
      <c r="A3759" s="14">
        <f>DATE(2012,12,31)-1031</f>
        <v>40243</v>
      </c>
      <c r="B3759" s="15">
        <v>15.81</v>
      </c>
    </row>
    <row r="3760" spans="1:2">
      <c r="A3760" s="14">
        <f>DATE(2012,12,31)-202</f>
        <v>41072</v>
      </c>
      <c r="B3760" s="15">
        <v>64.44</v>
      </c>
    </row>
    <row r="3761" s="6" customFormat="1" spans="1:2">
      <c r="A3761" s="12">
        <f>DATE(2012,12,31)-1289</f>
        <v>39985</v>
      </c>
      <c r="B3761" s="13">
        <v>34.11</v>
      </c>
    </row>
    <row r="3762" s="6" customFormat="1" spans="1:2">
      <c r="A3762" s="12">
        <f>DATE(2012,12,31)-1387</f>
        <v>39887</v>
      </c>
      <c r="B3762" s="13">
        <v>396.04</v>
      </c>
    </row>
    <row r="3763" s="6" customFormat="1" spans="1:2">
      <c r="A3763" s="12">
        <f>DATE(2012,12,31)-1248</f>
        <v>40026</v>
      </c>
      <c r="B3763" s="13">
        <v>10692.97</v>
      </c>
    </row>
    <row r="3764" s="6" customFormat="1" spans="1:2">
      <c r="A3764" s="12">
        <f>DATE(2012,12,31)-596</f>
        <v>40678</v>
      </c>
      <c r="B3764" s="13">
        <v>1637.78</v>
      </c>
    </row>
    <row r="3765" s="6" customFormat="1" spans="1:2">
      <c r="A3765" s="12">
        <f>DATE(2012,12,31)-596</f>
        <v>40678</v>
      </c>
      <c r="B3765" s="13">
        <v>193.84</v>
      </c>
    </row>
    <row r="3766" s="6" customFormat="1" spans="1:2">
      <c r="A3766" s="12">
        <f>DATE(2012,12,31)-248</f>
        <v>41026</v>
      </c>
      <c r="B3766" s="13">
        <v>3136.2025</v>
      </c>
    </row>
    <row r="3767" s="6" customFormat="1" spans="1:2">
      <c r="A3767" s="12">
        <f>DATE(2012,12,31)-248</f>
        <v>41026</v>
      </c>
      <c r="B3767" s="13">
        <v>1090.11</v>
      </c>
    </row>
    <row r="3768" s="6" customFormat="1" spans="1:2">
      <c r="A3768" s="12">
        <f>DATE(2012,12,31)-1189</f>
        <v>40085</v>
      </c>
      <c r="B3768" s="13">
        <v>642.9145</v>
      </c>
    </row>
    <row r="3769" spans="1:2">
      <c r="A3769" s="14">
        <f>DATE(2012,12,31)-1365</f>
        <v>39909</v>
      </c>
      <c r="B3769" s="15">
        <v>77.96</v>
      </c>
    </row>
    <row r="3770" s="6" customFormat="1" spans="1:2">
      <c r="A3770" s="12">
        <f>DATE(2012,12,31)-21</f>
        <v>41253</v>
      </c>
      <c r="B3770" s="13">
        <v>3534.56</v>
      </c>
    </row>
    <row r="3771" s="6" customFormat="1" spans="1:2">
      <c r="A3771" s="12">
        <f>DATE(2012,12,31)-21</f>
        <v>41253</v>
      </c>
      <c r="B3771" s="13">
        <v>155.27</v>
      </c>
    </row>
    <row r="3772" s="6" customFormat="1" spans="1:2">
      <c r="A3772" s="12">
        <f>DATE(2012,12,31)-1150</f>
        <v>40124</v>
      </c>
      <c r="B3772" s="13">
        <v>453.87</v>
      </c>
    </row>
    <row r="3773" s="6" customFormat="1" spans="1:2">
      <c r="A3773" s="12">
        <f>DATE(2012,12,31)-1425</f>
        <v>39849</v>
      </c>
      <c r="B3773" s="13">
        <v>221.33</v>
      </c>
    </row>
    <row r="3774" s="6" customFormat="1" spans="1:2">
      <c r="A3774" s="12">
        <f>DATE(2012,12,31)-941</f>
        <v>40333</v>
      </c>
      <c r="B3774" s="13">
        <v>467.15</v>
      </c>
    </row>
    <row r="3775" s="6" customFormat="1" spans="1:2">
      <c r="A3775" s="12">
        <f>DATE(2012,12,31)-405</f>
        <v>40869</v>
      </c>
      <c r="B3775" s="13">
        <v>203.55</v>
      </c>
    </row>
    <row r="3776" s="6" customFormat="1" spans="1:2">
      <c r="A3776" s="12">
        <f>DATE(2012,12,31)-405</f>
        <v>40869</v>
      </c>
      <c r="B3776" s="13">
        <v>273.89</v>
      </c>
    </row>
    <row r="3777" s="6" customFormat="1" spans="1:2">
      <c r="A3777" s="12">
        <f>DATE(2012,12,31)-1234</f>
        <v>40040</v>
      </c>
      <c r="B3777" s="13">
        <v>460.69</v>
      </c>
    </row>
    <row r="3778" s="6" customFormat="1" spans="1:2">
      <c r="A3778" s="12">
        <f>DATE(2012,12,31)-998</f>
        <v>40276</v>
      </c>
      <c r="B3778" s="13">
        <v>451.81</v>
      </c>
    </row>
    <row r="3779" s="6" customFormat="1" spans="1:2">
      <c r="A3779" s="12">
        <f>DATE(2012,12,31)-591</f>
        <v>40683</v>
      </c>
      <c r="B3779" s="13">
        <v>729.75</v>
      </c>
    </row>
    <row r="3780" s="6" customFormat="1" spans="1:2">
      <c r="A3780" s="12">
        <f>DATE(2012,12,31)-591</f>
        <v>40683</v>
      </c>
      <c r="B3780" s="13">
        <v>1417.21</v>
      </c>
    </row>
    <row r="3781" s="6" customFormat="1" spans="1:2">
      <c r="A3781" s="12">
        <f>DATE(2012,12,31)-591</f>
        <v>40683</v>
      </c>
      <c r="B3781" s="13">
        <v>1154.9375</v>
      </c>
    </row>
    <row r="3782" s="6" customFormat="1" spans="1:2">
      <c r="A3782" s="12">
        <f>DATE(2012,12,31)-920</f>
        <v>40354</v>
      </c>
      <c r="B3782" s="13">
        <v>27875.54</v>
      </c>
    </row>
    <row r="3783" s="6" customFormat="1" spans="1:2">
      <c r="A3783" s="12">
        <f>DATE(2012,12,31)-920</f>
        <v>40354</v>
      </c>
      <c r="B3783" s="13">
        <v>2030.44</v>
      </c>
    </row>
    <row r="3784" s="6" customFormat="1" spans="1:2">
      <c r="A3784" s="12">
        <f>DATE(2012,12,31)-920</f>
        <v>40354</v>
      </c>
      <c r="B3784" s="13">
        <v>695.99</v>
      </c>
    </row>
    <row r="3785" s="6" customFormat="1" spans="1:2">
      <c r="A3785" s="12">
        <f>DATE(2012,12,31)-920</f>
        <v>40354</v>
      </c>
      <c r="B3785" s="13">
        <v>48.84</v>
      </c>
    </row>
    <row r="3786" s="6" customFormat="1" spans="1:2">
      <c r="A3786" s="12">
        <f>DATE(2012,12,31)-278</f>
        <v>40996</v>
      </c>
      <c r="B3786" s="13">
        <v>337.01</v>
      </c>
    </row>
    <row r="3787" s="6" customFormat="1" spans="1:2">
      <c r="A3787" s="12">
        <f>DATE(2012,12,31)-278</f>
        <v>40996</v>
      </c>
      <c r="B3787" s="13">
        <v>6093.242</v>
      </c>
    </row>
    <row r="3788" s="6" customFormat="1" spans="1:2">
      <c r="A3788" s="12">
        <f>DATE(2012,12,31)-123</f>
        <v>41151</v>
      </c>
      <c r="B3788" s="13">
        <v>603.347</v>
      </c>
    </row>
    <row r="3789" s="6" customFormat="1" spans="1:2">
      <c r="A3789" s="12">
        <f>DATE(2012,12,31)-123</f>
        <v>41151</v>
      </c>
      <c r="B3789" s="13">
        <v>770.53</v>
      </c>
    </row>
    <row r="3790" spans="1:2">
      <c r="A3790" s="14">
        <f>DATE(2012,12,31)-247</f>
        <v>41027</v>
      </c>
      <c r="B3790" s="15">
        <v>1984.61</v>
      </c>
    </row>
    <row r="3791" s="6" customFormat="1" spans="1:2">
      <c r="A3791" s="12">
        <f>DATE(2012,12,31)-732</f>
        <v>40542</v>
      </c>
      <c r="B3791" s="13">
        <v>53.66</v>
      </c>
    </row>
    <row r="3792" s="6" customFormat="1" spans="1:2">
      <c r="A3792" s="12">
        <f>DATE(2012,12,31)-1275</f>
        <v>39999</v>
      </c>
      <c r="B3792" s="13">
        <v>2232.15</v>
      </c>
    </row>
    <row r="3793" s="6" customFormat="1" spans="1:2">
      <c r="A3793" s="12">
        <f>DATE(2012,12,31)-1275</f>
        <v>39999</v>
      </c>
      <c r="B3793" s="13">
        <v>7007.19</v>
      </c>
    </row>
    <row r="3794" s="6" customFormat="1" spans="1:2">
      <c r="A3794" s="12">
        <f>DATE(2012,12,31)-366</f>
        <v>40908</v>
      </c>
      <c r="B3794" s="13">
        <v>1339.25</v>
      </c>
    </row>
    <row r="3795" s="6" customFormat="1" spans="1:2">
      <c r="A3795" s="12">
        <f>DATE(2012,12,31)-770</f>
        <v>40504</v>
      </c>
      <c r="B3795" s="13">
        <v>14240.76</v>
      </c>
    </row>
    <row r="3796" s="6" customFormat="1" spans="1:2">
      <c r="A3796" s="12">
        <f>DATE(2012,12,31)-770</f>
        <v>40504</v>
      </c>
      <c r="B3796" s="13">
        <v>167.41</v>
      </c>
    </row>
    <row r="3797" s="6" customFormat="1" spans="1:2">
      <c r="A3797" s="12">
        <f>DATE(2012,12,31)-1022</f>
        <v>40252</v>
      </c>
      <c r="B3797" s="13">
        <v>1612.93</v>
      </c>
    </row>
    <row r="3798" spans="1:2">
      <c r="A3798" s="14">
        <f>DATE(2012,12,31)-141</f>
        <v>41133</v>
      </c>
      <c r="B3798" s="15">
        <v>152.44</v>
      </c>
    </row>
    <row r="3799" s="6" customFormat="1" spans="1:2">
      <c r="A3799" s="12">
        <f>DATE(2012,12,31)-684</f>
        <v>40590</v>
      </c>
      <c r="B3799" s="13">
        <v>223.74</v>
      </c>
    </row>
    <row r="3800" s="6" customFormat="1" spans="1:2">
      <c r="A3800" s="12">
        <f>DATE(2012,12,31)-684</f>
        <v>40590</v>
      </c>
      <c r="B3800" s="13">
        <v>26.82</v>
      </c>
    </row>
    <row r="3801" spans="1:2">
      <c r="A3801" s="14">
        <f>DATE(2012,12,31)-396</f>
        <v>40878</v>
      </c>
      <c r="B3801" s="15">
        <v>13.96</v>
      </c>
    </row>
    <row r="3802" spans="1:2">
      <c r="A3802" s="14">
        <f>DATE(2012,12,31)-396</f>
        <v>40878</v>
      </c>
      <c r="B3802" s="15">
        <v>531.48</v>
      </c>
    </row>
    <row r="3803" s="6" customFormat="1" spans="1:2">
      <c r="A3803" s="12">
        <f>DATE(2012,12,31)-396</f>
        <v>40878</v>
      </c>
      <c r="B3803" s="13">
        <v>3524.55</v>
      </c>
    </row>
    <row r="3804" s="6" customFormat="1" spans="1:2">
      <c r="A3804" s="12">
        <f>DATE(2012,12,31)-396</f>
        <v>40878</v>
      </c>
      <c r="B3804" s="13">
        <v>890.61</v>
      </c>
    </row>
    <row r="3805" spans="1:2">
      <c r="A3805" s="14">
        <f>DATE(2012,12,31)-396</f>
        <v>40878</v>
      </c>
      <c r="B3805" s="15">
        <v>64.19</v>
      </c>
    </row>
    <row r="3806" s="6" customFormat="1" spans="1:2">
      <c r="A3806" s="12">
        <f>DATE(2012,12,31)-327</f>
        <v>40947</v>
      </c>
      <c r="B3806" s="13">
        <v>538.22</v>
      </c>
    </row>
    <row r="3807" s="6" customFormat="1" spans="1:2">
      <c r="A3807" s="12">
        <f>DATE(2012,12,31)-1391</f>
        <v>39883</v>
      </c>
      <c r="B3807" s="13">
        <v>1064.23</v>
      </c>
    </row>
    <row r="3808" s="6" customFormat="1" spans="1:2">
      <c r="A3808" s="12">
        <f>DATE(2012,12,31)-1391</f>
        <v>39883</v>
      </c>
      <c r="B3808" s="13">
        <v>3497.05</v>
      </c>
    </row>
    <row r="3809" s="6" customFormat="1" spans="1:2">
      <c r="A3809" s="12">
        <f>DATE(2012,12,31)-1391</f>
        <v>39883</v>
      </c>
      <c r="B3809" s="13">
        <v>774.0525</v>
      </c>
    </row>
    <row r="3810" s="6" customFormat="1" spans="1:2">
      <c r="A3810" s="12">
        <f>DATE(2012,12,31)-366</f>
        <v>40908</v>
      </c>
      <c r="B3810" s="13">
        <v>60.5625</v>
      </c>
    </row>
    <row r="3811" s="6" customFormat="1" spans="1:2">
      <c r="A3811" s="12">
        <f>DATE(2012,12,31)-215</f>
        <v>41059</v>
      </c>
      <c r="B3811" s="13">
        <v>2976.21</v>
      </c>
    </row>
    <row r="3812" s="6" customFormat="1" spans="1:2">
      <c r="A3812" s="12">
        <f>DATE(2012,12,31)-215</f>
        <v>41059</v>
      </c>
      <c r="B3812" s="13">
        <v>1894.1655</v>
      </c>
    </row>
    <row r="3813" s="6" customFormat="1" spans="1:2">
      <c r="A3813" s="12">
        <f>DATE(2012,12,31)-1061</f>
        <v>40213</v>
      </c>
      <c r="B3813" s="13">
        <v>495.8</v>
      </c>
    </row>
    <row r="3814" s="6" customFormat="1" spans="1:2">
      <c r="A3814" s="12">
        <f>DATE(2012,12,31)-1061</f>
        <v>40213</v>
      </c>
      <c r="B3814" s="13">
        <v>1645.51</v>
      </c>
    </row>
    <row r="3815" s="6" customFormat="1" spans="1:2">
      <c r="A3815" s="12">
        <f>DATE(2012,12,31)-477</f>
        <v>40797</v>
      </c>
      <c r="B3815" s="13">
        <v>109.9</v>
      </c>
    </row>
    <row r="3816" s="6" customFormat="1" spans="1:2">
      <c r="A3816" s="12">
        <f>DATE(2012,12,31)-450</f>
        <v>40824</v>
      </c>
      <c r="B3816" s="13">
        <v>477.5045</v>
      </c>
    </row>
    <row r="3817" s="6" customFormat="1" spans="1:2">
      <c r="A3817" s="12">
        <f>DATE(2012,12,31)-159</f>
        <v>41115</v>
      </c>
      <c r="B3817" s="13">
        <v>5056.89</v>
      </c>
    </row>
    <row r="3818" s="6" customFormat="1" spans="1:2">
      <c r="A3818" s="12">
        <f>DATE(2012,12,31)-159</f>
        <v>41115</v>
      </c>
      <c r="B3818" s="13">
        <v>3500.1</v>
      </c>
    </row>
    <row r="3819" s="6" customFormat="1" spans="1:2">
      <c r="A3819" s="12">
        <f>DATE(2012,12,31)-955</f>
        <v>40319</v>
      </c>
      <c r="B3819" s="13">
        <v>87.11</v>
      </c>
    </row>
    <row r="3820" s="6" customFormat="1" spans="1:2">
      <c r="A3820" s="12">
        <f>DATE(2012,12,31)-866</f>
        <v>40408</v>
      </c>
      <c r="B3820" s="13">
        <v>639.3</v>
      </c>
    </row>
    <row r="3821" s="6" customFormat="1" spans="1:2">
      <c r="A3821" s="12">
        <f>DATE(2012,12,31)-1035</f>
        <v>40239</v>
      </c>
      <c r="B3821" s="13">
        <v>393.31</v>
      </c>
    </row>
    <row r="3822" s="6" customFormat="1" spans="1:2">
      <c r="A3822" s="12">
        <f>DATE(2012,12,31)-576</f>
        <v>40698</v>
      </c>
      <c r="B3822" s="13">
        <v>74.05</v>
      </c>
    </row>
    <row r="3823" s="6" customFormat="1" spans="1:2">
      <c r="A3823" s="12">
        <f>DATE(2012,12,31)-239</f>
        <v>41035</v>
      </c>
      <c r="B3823" s="13">
        <v>14981.74</v>
      </c>
    </row>
    <row r="3824" s="6" customFormat="1" spans="1:2">
      <c r="A3824" s="12">
        <f>DATE(2012,12,31)-239</f>
        <v>41035</v>
      </c>
      <c r="B3824" s="13">
        <v>5587.2</v>
      </c>
    </row>
    <row r="3825" s="6" customFormat="1" spans="1:2">
      <c r="A3825" s="12">
        <f>DATE(2012,12,31)-239</f>
        <v>41035</v>
      </c>
      <c r="B3825" s="13">
        <v>401.39</v>
      </c>
    </row>
    <row r="3826" s="6" customFormat="1" spans="1:2">
      <c r="A3826" s="12">
        <f>DATE(2012,12,31)-480</f>
        <v>40794</v>
      </c>
      <c r="B3826" s="13">
        <v>1031.06</v>
      </c>
    </row>
    <row r="3827" s="6" customFormat="1" spans="1:2">
      <c r="A3827" s="12">
        <f>DATE(2012,12,31)-474</f>
        <v>40800</v>
      </c>
      <c r="B3827" s="13">
        <v>301.57</v>
      </c>
    </row>
    <row r="3828" s="6" customFormat="1" spans="1:2">
      <c r="A3828" s="12">
        <f>DATE(2012,12,31)-408</f>
        <v>40866</v>
      </c>
      <c r="B3828" s="13">
        <v>7813.7</v>
      </c>
    </row>
    <row r="3829" s="6" customFormat="1" spans="1:2">
      <c r="A3829" s="12">
        <f>DATE(2012,12,31)-408</f>
        <v>40866</v>
      </c>
      <c r="B3829" s="13">
        <v>164.92</v>
      </c>
    </row>
    <row r="3830" s="6" customFormat="1" spans="1:2">
      <c r="A3830" s="12">
        <f>DATE(2012,12,31)-148</f>
        <v>41126</v>
      </c>
      <c r="B3830" s="13">
        <v>802.16</v>
      </c>
    </row>
    <row r="3831" s="6" customFormat="1" spans="1:2">
      <c r="A3831" s="12">
        <f>DATE(2012,12,31)-92</f>
        <v>41182</v>
      </c>
      <c r="B3831" s="13">
        <v>3333.1</v>
      </c>
    </row>
    <row r="3832" spans="1:2">
      <c r="A3832" s="14">
        <f>DATE(2012,12,31)-92</f>
        <v>41182</v>
      </c>
      <c r="B3832" s="15">
        <v>55.68</v>
      </c>
    </row>
    <row r="3833" s="6" customFormat="1" spans="1:2">
      <c r="A3833" s="12">
        <f>DATE(2012,12,31)-110</f>
        <v>41164</v>
      </c>
      <c r="B3833" s="13">
        <v>237.54</v>
      </c>
    </row>
    <row r="3834" s="6" customFormat="1" spans="1:2">
      <c r="A3834" s="12">
        <f>DATE(2012,12,31)-110</f>
        <v>41164</v>
      </c>
      <c r="B3834" s="13">
        <v>143.5</v>
      </c>
    </row>
    <row r="3835" s="6" customFormat="1" spans="1:2">
      <c r="A3835" s="12">
        <f>DATE(2012,12,31)-1202</f>
        <v>40072</v>
      </c>
      <c r="B3835" s="13">
        <v>507.74</v>
      </c>
    </row>
    <row r="3836" s="6" customFormat="1" spans="1:2">
      <c r="A3836" s="12">
        <f>DATE(2012,12,31)-1202</f>
        <v>40072</v>
      </c>
      <c r="B3836" s="13">
        <v>12600.99</v>
      </c>
    </row>
    <row r="3837" s="6" customFormat="1" spans="1:2">
      <c r="A3837" s="12">
        <f>DATE(2012,12,31)-786</f>
        <v>40488</v>
      </c>
      <c r="B3837" s="13">
        <v>67.47</v>
      </c>
    </row>
    <row r="3838" s="6" customFormat="1" spans="1:2">
      <c r="A3838" s="12">
        <f>DATE(2012,12,31)-440</f>
        <v>40834</v>
      </c>
      <c r="B3838" s="13">
        <v>646.14</v>
      </c>
    </row>
    <row r="3839" s="6" customFormat="1" spans="1:2">
      <c r="A3839" s="12">
        <f>DATE(2012,12,31)-440</f>
        <v>40834</v>
      </c>
      <c r="B3839" s="13">
        <v>323.26</v>
      </c>
    </row>
    <row r="3840" s="6" customFormat="1" spans="1:2">
      <c r="A3840" s="12">
        <f>DATE(2012,12,31)-591</f>
        <v>40683</v>
      </c>
      <c r="B3840" s="13">
        <v>74.07</v>
      </c>
    </row>
    <row r="3841" s="6" customFormat="1" spans="1:2">
      <c r="A3841" s="12">
        <f>DATE(2012,12,31)-591</f>
        <v>40683</v>
      </c>
      <c r="B3841" s="13">
        <v>1529.0565</v>
      </c>
    </row>
    <row r="3842" s="6" customFormat="1" spans="1:2">
      <c r="A3842" s="12">
        <f>DATE(2012,12,31)-304</f>
        <v>40970</v>
      </c>
      <c r="B3842" s="13">
        <v>5753.85</v>
      </c>
    </row>
    <row r="3843" s="6" customFormat="1" spans="1:2">
      <c r="A3843" s="12">
        <f>DATE(2012,12,31)-754</f>
        <v>40520</v>
      </c>
      <c r="B3843" s="13">
        <v>138.31</v>
      </c>
    </row>
    <row r="3844" s="6" customFormat="1" spans="1:2">
      <c r="A3844" s="12">
        <f>DATE(2012,12,31)-1042</f>
        <v>40232</v>
      </c>
      <c r="B3844" s="13">
        <v>438.66</v>
      </c>
    </row>
    <row r="3845" s="6" customFormat="1" spans="1:2">
      <c r="A3845" s="12">
        <f>DATE(2012,12,31)-1042</f>
        <v>40232</v>
      </c>
      <c r="B3845" s="13">
        <v>416.99</v>
      </c>
    </row>
    <row r="3846" spans="1:2">
      <c r="A3846" s="14">
        <f>DATE(2012,12,31)-700</f>
        <v>40574</v>
      </c>
      <c r="B3846" s="15">
        <v>82.64</v>
      </c>
    </row>
    <row r="3847" s="6" customFormat="1" spans="1:2">
      <c r="A3847" s="12">
        <f>DATE(2012,12,31)-700</f>
        <v>40574</v>
      </c>
      <c r="B3847" s="13">
        <v>315.27</v>
      </c>
    </row>
    <row r="3848" spans="1:2">
      <c r="A3848" s="14">
        <f>DATE(2012,12,31)-1361</f>
        <v>39913</v>
      </c>
      <c r="B3848" s="15">
        <v>9492.92</v>
      </c>
    </row>
    <row r="3849" s="6" customFormat="1" spans="1:2">
      <c r="A3849" s="12">
        <f>DATE(2012,12,31)-1329</f>
        <v>39945</v>
      </c>
      <c r="B3849" s="13">
        <v>855.03</v>
      </c>
    </row>
    <row r="3850" s="6" customFormat="1" spans="1:2">
      <c r="A3850" s="12">
        <f>DATE(2012,12,31)-1329</f>
        <v>39945</v>
      </c>
      <c r="B3850" s="13">
        <v>196.58</v>
      </c>
    </row>
    <row r="3851" spans="1:2">
      <c r="A3851" s="14">
        <f>DATE(2012,12,31)-1039</f>
        <v>40235</v>
      </c>
      <c r="B3851" s="15">
        <v>121.92</v>
      </c>
    </row>
    <row r="3852" spans="1:2">
      <c r="A3852" s="14">
        <f>DATE(2012,12,31)-1039</f>
        <v>40235</v>
      </c>
      <c r="B3852" s="15">
        <v>1096.17</v>
      </c>
    </row>
    <row r="3853" s="6" customFormat="1" spans="1:2">
      <c r="A3853" s="12">
        <f>DATE(2012,12,31)-1144</f>
        <v>40130</v>
      </c>
      <c r="B3853" s="13">
        <v>835.11</v>
      </c>
    </row>
    <row r="3854" s="6" customFormat="1" spans="1:2">
      <c r="A3854" s="12">
        <f>DATE(2012,12,31)-1144</f>
        <v>40130</v>
      </c>
      <c r="B3854" s="13">
        <v>54.52</v>
      </c>
    </row>
    <row r="3855" s="6" customFormat="1" spans="1:2">
      <c r="A3855" s="12">
        <f>DATE(2012,12,31)-292</f>
        <v>40982</v>
      </c>
      <c r="B3855" s="13">
        <v>611.71</v>
      </c>
    </row>
    <row r="3856" s="6" customFormat="1" spans="1:2">
      <c r="A3856" s="12">
        <f>DATE(2012,12,31)-1362</f>
        <v>39912</v>
      </c>
      <c r="B3856" s="13">
        <v>985.01</v>
      </c>
    </row>
    <row r="3857" s="6" customFormat="1" spans="1:2">
      <c r="A3857" s="12">
        <f>DATE(2012,12,31)-1362</f>
        <v>39912</v>
      </c>
      <c r="B3857" s="13">
        <v>350.71</v>
      </c>
    </row>
    <row r="3858" s="6" customFormat="1" spans="1:2">
      <c r="A3858" s="12">
        <f>DATE(2012,12,31)-1362</f>
        <v>39912</v>
      </c>
      <c r="B3858" s="13">
        <v>75.23</v>
      </c>
    </row>
    <row r="3859" s="6" customFormat="1" spans="1:2">
      <c r="A3859" s="12">
        <f>DATE(2012,12,31)-1064</f>
        <v>40210</v>
      </c>
      <c r="B3859" s="13">
        <v>343.94</v>
      </c>
    </row>
    <row r="3860" s="6" customFormat="1" spans="1:2">
      <c r="A3860" s="12">
        <f>DATE(2012,12,31)-762</f>
        <v>40512</v>
      </c>
      <c r="B3860" s="13">
        <v>376.58</v>
      </c>
    </row>
    <row r="3861" s="6" customFormat="1" spans="1:2">
      <c r="A3861" s="12">
        <f>DATE(2012,12,31)-507</f>
        <v>40767</v>
      </c>
      <c r="B3861" s="13">
        <v>18235.47</v>
      </c>
    </row>
    <row r="3862" s="6" customFormat="1" spans="1:2">
      <c r="A3862" s="12">
        <f>DATE(2012,12,31)-507</f>
        <v>40767</v>
      </c>
      <c r="B3862" s="13">
        <v>2631.107</v>
      </c>
    </row>
    <row r="3863" s="6" customFormat="1" spans="1:2">
      <c r="A3863" s="12">
        <f>DATE(2012,12,31)-662</f>
        <v>40612</v>
      </c>
      <c r="B3863" s="13">
        <v>12685.544</v>
      </c>
    </row>
    <row r="3864" s="6" customFormat="1" spans="1:2">
      <c r="A3864" s="12">
        <f>DATE(2012,12,31)-1217</f>
        <v>40057</v>
      </c>
      <c r="B3864" s="13">
        <v>209.42</v>
      </c>
    </row>
    <row r="3865" spans="1:2">
      <c r="A3865" s="14">
        <f>DATE(2012,12,31)-327</f>
        <v>40947</v>
      </c>
      <c r="B3865" s="15">
        <v>56.13</v>
      </c>
    </row>
    <row r="3866" s="6" customFormat="1" spans="1:2">
      <c r="A3866" s="12">
        <f>DATE(2012,12,31)-543</f>
        <v>40731</v>
      </c>
      <c r="B3866" s="13">
        <v>423.24</v>
      </c>
    </row>
    <row r="3867" s="6" customFormat="1" spans="1:2">
      <c r="A3867" s="12">
        <f>DATE(2012,12,31)-428</f>
        <v>40846</v>
      </c>
      <c r="B3867" s="13">
        <v>465.9</v>
      </c>
    </row>
    <row r="3868" s="6" customFormat="1" spans="1:2">
      <c r="A3868" s="12">
        <f>DATE(2012,12,31)-473</f>
        <v>40801</v>
      </c>
      <c r="B3868" s="13">
        <v>845.7</v>
      </c>
    </row>
    <row r="3869" s="6" customFormat="1" spans="1:2">
      <c r="A3869" s="12">
        <f>DATE(2012,12,31)-473</f>
        <v>40801</v>
      </c>
      <c r="B3869" s="13">
        <v>467</v>
      </c>
    </row>
    <row r="3870" s="6" customFormat="1" spans="1:2">
      <c r="A3870" s="12">
        <f>DATE(2012,12,31)-473</f>
        <v>40801</v>
      </c>
      <c r="B3870" s="13">
        <v>64.43</v>
      </c>
    </row>
    <row r="3871" s="6" customFormat="1" spans="1:2">
      <c r="A3871" s="12">
        <f>DATE(2012,12,31)-154</f>
        <v>41120</v>
      </c>
      <c r="B3871" s="13">
        <v>614.14</v>
      </c>
    </row>
    <row r="3872" s="6" customFormat="1" spans="1:2">
      <c r="A3872" s="12">
        <f>DATE(2012,12,31)-694</f>
        <v>40580</v>
      </c>
      <c r="B3872" s="13">
        <v>1280.73</v>
      </c>
    </row>
    <row r="3873" spans="1:2">
      <c r="A3873" s="14">
        <f>DATE(2012,12,31)-829</f>
        <v>40445</v>
      </c>
      <c r="B3873" s="15">
        <v>94.83</v>
      </c>
    </row>
    <row r="3874" s="6" customFormat="1" spans="1:2">
      <c r="A3874" s="12">
        <f>DATE(2012,12,31)-1070</f>
        <v>40204</v>
      </c>
      <c r="B3874" s="13">
        <v>324.4</v>
      </c>
    </row>
    <row r="3875" s="6" customFormat="1" spans="1:2">
      <c r="A3875" s="12">
        <f>DATE(2012,12,31)-1070</f>
        <v>40204</v>
      </c>
      <c r="B3875" s="13">
        <v>137.02</v>
      </c>
    </row>
    <row r="3876" s="6" customFormat="1" spans="1:2">
      <c r="A3876" s="12">
        <f>DATE(2012,12,31)-768</f>
        <v>40506</v>
      </c>
      <c r="B3876" s="13">
        <v>37.8</v>
      </c>
    </row>
    <row r="3877" s="6" customFormat="1" spans="1:2">
      <c r="A3877" s="12">
        <f>DATE(2012,12,31)-768</f>
        <v>40506</v>
      </c>
      <c r="B3877" s="13">
        <v>183.28</v>
      </c>
    </row>
    <row r="3878" spans="1:2">
      <c r="A3878" s="14">
        <f>DATE(2012,12,31)-483</f>
        <v>40791</v>
      </c>
      <c r="B3878" s="15">
        <v>13.04</v>
      </c>
    </row>
    <row r="3879" s="6" customFormat="1" spans="1:2">
      <c r="A3879" s="12">
        <f>DATE(2012,12,31)-984</f>
        <v>40290</v>
      </c>
      <c r="B3879" s="13">
        <v>251.3</v>
      </c>
    </row>
    <row r="3880" s="6" customFormat="1" spans="1:2">
      <c r="A3880" s="12">
        <f>DATE(2012,12,31)-1033</f>
        <v>40241</v>
      </c>
      <c r="B3880" s="13">
        <v>246.63</v>
      </c>
    </row>
    <row r="3881" s="6" customFormat="1" spans="1:2">
      <c r="A3881" s="12">
        <f>DATE(2012,12,31)-469</f>
        <v>40805</v>
      </c>
      <c r="B3881" s="13">
        <v>94.52</v>
      </c>
    </row>
    <row r="3882" s="6" customFormat="1" spans="1:2">
      <c r="A3882" s="12">
        <f>DATE(2012,12,31)-432</f>
        <v>40842</v>
      </c>
      <c r="B3882" s="13">
        <v>75.19</v>
      </c>
    </row>
    <row r="3883" s="6" customFormat="1" spans="1:2">
      <c r="A3883" s="12">
        <f>DATE(2012,12,31)-881</f>
        <v>40393</v>
      </c>
      <c r="B3883" s="13">
        <v>106.69</v>
      </c>
    </row>
    <row r="3884" s="6" customFormat="1" spans="1:2">
      <c r="A3884" s="12">
        <f>DATE(2012,12,31)-833</f>
        <v>40441</v>
      </c>
      <c r="B3884" s="13">
        <v>6126.93</v>
      </c>
    </row>
    <row r="3885" s="6" customFormat="1" spans="1:2">
      <c r="A3885" s="12">
        <f>DATE(2012,12,31)-758</f>
        <v>40516</v>
      </c>
      <c r="B3885" s="13">
        <v>87.09</v>
      </c>
    </row>
    <row r="3886" s="6" customFormat="1" spans="1:2">
      <c r="A3886" s="12">
        <f>DATE(2012,12,31)-758</f>
        <v>40516</v>
      </c>
      <c r="B3886" s="13">
        <v>196.1</v>
      </c>
    </row>
    <row r="3887" s="6" customFormat="1" spans="1:2">
      <c r="A3887" s="12">
        <f>DATE(2012,12,31)-758</f>
        <v>40516</v>
      </c>
      <c r="B3887" s="13">
        <v>1540.77</v>
      </c>
    </row>
    <row r="3888" s="6" customFormat="1" spans="1:2">
      <c r="A3888" s="12">
        <f>DATE(2012,12,31)-73</f>
        <v>41201</v>
      </c>
      <c r="B3888" s="13">
        <v>769.17</v>
      </c>
    </row>
    <row r="3889" s="6" customFormat="1" spans="1:2">
      <c r="A3889" s="12">
        <f>DATE(2012,12,31)-73</f>
        <v>41201</v>
      </c>
      <c r="B3889" s="13">
        <v>7370.84</v>
      </c>
    </row>
    <row r="3890" s="6" customFormat="1" spans="1:2">
      <c r="A3890" s="12">
        <f>DATE(2012,12,31)-972</f>
        <v>40302</v>
      </c>
      <c r="B3890" s="13">
        <v>226.68</v>
      </c>
    </row>
    <row r="3891" s="6" customFormat="1" spans="1:2">
      <c r="A3891" s="12">
        <f>DATE(2012,12,31)-486</f>
        <v>40788</v>
      </c>
      <c r="B3891" s="13">
        <v>6350.29</v>
      </c>
    </row>
    <row r="3892" s="6" customFormat="1" spans="1:2">
      <c r="A3892" s="12">
        <f>DATE(2012,12,31)-486</f>
        <v>40788</v>
      </c>
      <c r="B3892" s="13">
        <v>232.67</v>
      </c>
    </row>
    <row r="3893" s="6" customFormat="1" spans="1:2">
      <c r="A3893" s="12">
        <f>DATE(2012,12,31)-486</f>
        <v>40788</v>
      </c>
      <c r="B3893" s="13">
        <v>4805.92</v>
      </c>
    </row>
    <row r="3894" s="6" customFormat="1" spans="1:2">
      <c r="A3894" s="12">
        <f>DATE(2012,12,31)-72</f>
        <v>41202</v>
      </c>
      <c r="B3894" s="13">
        <v>56.41</v>
      </c>
    </row>
    <row r="3895" s="6" customFormat="1" spans="1:2">
      <c r="A3895" s="12">
        <f>DATE(2012,12,31)-72</f>
        <v>41202</v>
      </c>
      <c r="B3895" s="13">
        <v>147.71</v>
      </c>
    </row>
    <row r="3896" s="6" customFormat="1" spans="1:2">
      <c r="A3896" s="12">
        <f>DATE(2012,12,31)-72</f>
        <v>41202</v>
      </c>
      <c r="B3896" s="13">
        <v>1678.34</v>
      </c>
    </row>
    <row r="3897" s="6" customFormat="1" spans="1:2">
      <c r="A3897" s="12">
        <f>DATE(2012,12,31)-473</f>
        <v>40801</v>
      </c>
      <c r="B3897" s="13">
        <v>181.13</v>
      </c>
    </row>
    <row r="3898" s="6" customFormat="1" spans="1:2">
      <c r="A3898" s="12">
        <f>DATE(2012,12,31)-1070</f>
        <v>40204</v>
      </c>
      <c r="B3898" s="13">
        <v>196.12</v>
      </c>
    </row>
    <row r="3899" s="6" customFormat="1" spans="1:2">
      <c r="A3899" s="12">
        <f>DATE(2012,12,31)-1068</f>
        <v>40206</v>
      </c>
      <c r="B3899" s="13">
        <v>216.51</v>
      </c>
    </row>
    <row r="3900" spans="1:2">
      <c r="A3900" s="14">
        <f>DATE(2012,12,31)-668</f>
        <v>40606</v>
      </c>
      <c r="B3900" s="15">
        <v>197.59</v>
      </c>
    </row>
    <row r="3901" spans="1:2">
      <c r="A3901" s="14">
        <f>DATE(2012,12,31)-668</f>
        <v>40606</v>
      </c>
      <c r="B3901" s="15">
        <v>73.9</v>
      </c>
    </row>
    <row r="3902" s="6" customFormat="1" spans="1:2">
      <c r="A3902" s="12">
        <f>DATE(2012,12,31)-1449</f>
        <v>39825</v>
      </c>
      <c r="B3902" s="13">
        <v>401.14</v>
      </c>
    </row>
    <row r="3903" s="6" customFormat="1" spans="1:2">
      <c r="A3903" s="12">
        <f>DATE(2012,12,31)-1277</f>
        <v>39997</v>
      </c>
      <c r="B3903" s="13">
        <v>1209.37</v>
      </c>
    </row>
    <row r="3904" s="6" customFormat="1" spans="1:2">
      <c r="A3904" s="12">
        <f>DATE(2012,12,31)-106</f>
        <v>41168</v>
      </c>
      <c r="B3904" s="13">
        <v>67.85</v>
      </c>
    </row>
    <row r="3905" s="6" customFormat="1" spans="1:2">
      <c r="A3905" s="12">
        <f>DATE(2012,12,31)-848</f>
        <v>40426</v>
      </c>
      <c r="B3905" s="13">
        <v>139.61</v>
      </c>
    </row>
    <row r="3906" s="6" customFormat="1" spans="1:2">
      <c r="A3906" s="12">
        <f>DATE(2012,12,31)-551</f>
        <v>40723</v>
      </c>
      <c r="B3906" s="13">
        <v>11.08</v>
      </c>
    </row>
    <row r="3907" s="6" customFormat="1" spans="1:2">
      <c r="A3907" s="12">
        <f>DATE(2012,12,31)-551</f>
        <v>40723</v>
      </c>
      <c r="B3907" s="13">
        <v>135.86</v>
      </c>
    </row>
    <row r="3908" s="6" customFormat="1" spans="1:2">
      <c r="A3908" s="12">
        <f>DATE(2012,12,31)-537</f>
        <v>40737</v>
      </c>
      <c r="B3908" s="13">
        <v>220.45</v>
      </c>
    </row>
    <row r="3909" s="6" customFormat="1" spans="1:2">
      <c r="A3909" s="12">
        <f>DATE(2012,12,31)-445</f>
        <v>40829</v>
      </c>
      <c r="B3909" s="13">
        <v>388.71</v>
      </c>
    </row>
    <row r="3910" spans="1:2">
      <c r="A3910" s="14">
        <f>DATE(2012,12,31)-1011</f>
        <v>40263</v>
      </c>
      <c r="B3910" s="15">
        <v>64.97</v>
      </c>
    </row>
    <row r="3911" s="6" customFormat="1" spans="1:2">
      <c r="A3911" s="12">
        <f>DATE(2012,12,31)-846</f>
        <v>40428</v>
      </c>
      <c r="B3911" s="13">
        <v>777.63</v>
      </c>
    </row>
    <row r="3912" spans="1:2">
      <c r="A3912" s="14">
        <f>DATE(2012,12,31)-1039</f>
        <v>40235</v>
      </c>
      <c r="B3912" s="15">
        <v>669.01</v>
      </c>
    </row>
    <row r="3913" s="6" customFormat="1" spans="1:2">
      <c r="A3913" s="12">
        <f>DATE(2012,12,31)-1039</f>
        <v>40235</v>
      </c>
      <c r="B3913" s="13">
        <v>301.6</v>
      </c>
    </row>
    <row r="3914" s="6" customFormat="1" spans="1:2">
      <c r="A3914" s="12">
        <f>DATE(2012,12,31)-485</f>
        <v>40789</v>
      </c>
      <c r="B3914" s="13">
        <v>460.5895</v>
      </c>
    </row>
    <row r="3915" s="6" customFormat="1" spans="1:2">
      <c r="A3915" s="12">
        <f>DATE(2012,12,31)-328</f>
        <v>40946</v>
      </c>
      <c r="B3915" s="13">
        <v>62.26</v>
      </c>
    </row>
    <row r="3916" s="6" customFormat="1" spans="1:2">
      <c r="A3916" s="12">
        <f>DATE(2012,12,31)-328</f>
        <v>40946</v>
      </c>
      <c r="B3916" s="13">
        <v>58.53</v>
      </c>
    </row>
    <row r="3917" s="6" customFormat="1" spans="1:2">
      <c r="A3917" s="12">
        <f>DATE(2012,12,31)-543</f>
        <v>40731</v>
      </c>
      <c r="B3917" s="13">
        <v>1028.16</v>
      </c>
    </row>
    <row r="3918" s="6" customFormat="1" spans="1:2">
      <c r="A3918" s="12">
        <f>DATE(2012,12,31)-543</f>
        <v>40731</v>
      </c>
      <c r="B3918" s="13">
        <v>9172.32</v>
      </c>
    </row>
    <row r="3919" s="6" customFormat="1" spans="1:2">
      <c r="A3919" s="12">
        <f>DATE(2012,12,31)-1336</f>
        <v>39938</v>
      </c>
      <c r="B3919" s="13">
        <v>1233.51</v>
      </c>
    </row>
    <row r="3920" s="6" customFormat="1" spans="1:2">
      <c r="A3920" s="12">
        <f>DATE(2012,12,31)-265</f>
        <v>41009</v>
      </c>
      <c r="B3920" s="13">
        <v>60.17</v>
      </c>
    </row>
    <row r="3921" s="6" customFormat="1" spans="1:2">
      <c r="A3921" s="12">
        <f>DATE(2012,12,31)-937</f>
        <v>40337</v>
      </c>
      <c r="B3921" s="13">
        <v>5677.87</v>
      </c>
    </row>
    <row r="3922" s="6" customFormat="1" spans="1:2">
      <c r="A3922" s="12">
        <f>DATE(2012,12,31)-937</f>
        <v>40337</v>
      </c>
      <c r="B3922" s="13">
        <v>732.72</v>
      </c>
    </row>
    <row r="3923" s="6" customFormat="1" spans="1:2">
      <c r="A3923" s="12">
        <f>DATE(2012,12,31)-937</f>
        <v>40337</v>
      </c>
      <c r="B3923" s="13">
        <v>687.47</v>
      </c>
    </row>
    <row r="3924" s="6" customFormat="1" spans="1:2">
      <c r="A3924" s="12">
        <f>DATE(2012,12,31)-816</f>
        <v>40458</v>
      </c>
      <c r="B3924" s="13">
        <v>897.42</v>
      </c>
    </row>
    <row r="3925" s="6" customFormat="1" spans="1:2">
      <c r="A3925" s="12">
        <f>DATE(2012,12,31)-816</f>
        <v>40458</v>
      </c>
      <c r="B3925" s="13">
        <v>306.02</v>
      </c>
    </row>
    <row r="3926" s="6" customFormat="1" spans="1:2">
      <c r="A3926" s="12">
        <f>DATE(2012,12,31)-816</f>
        <v>40458</v>
      </c>
      <c r="B3926" s="13">
        <v>813.41</v>
      </c>
    </row>
    <row r="3927" s="6" customFormat="1" spans="1:2">
      <c r="A3927" s="12">
        <f>DATE(2012,12,31)-1296</f>
        <v>39978</v>
      </c>
      <c r="B3927" s="13">
        <v>8958.46</v>
      </c>
    </row>
    <row r="3928" s="6" customFormat="1" spans="1:2">
      <c r="A3928" s="12">
        <f>DATE(2012,12,31)-1296</f>
        <v>39978</v>
      </c>
      <c r="B3928" s="13">
        <v>4201.08</v>
      </c>
    </row>
    <row r="3929" s="6" customFormat="1" spans="1:2">
      <c r="A3929" s="12">
        <f>DATE(2012,12,31)-1178</f>
        <v>40096</v>
      </c>
      <c r="B3929" s="13">
        <v>43.55</v>
      </c>
    </row>
    <row r="3930" s="6" customFormat="1" spans="1:2">
      <c r="A3930" s="12">
        <f>DATE(2012,12,31)-653</f>
        <v>40621</v>
      </c>
      <c r="B3930" s="13">
        <v>157.79</v>
      </c>
    </row>
    <row r="3931" s="6" customFormat="1" spans="1:2">
      <c r="A3931" s="12">
        <f>DATE(2012,12,31)-998</f>
        <v>40276</v>
      </c>
      <c r="B3931" s="13">
        <v>128.97</v>
      </c>
    </row>
    <row r="3932" s="6" customFormat="1" spans="1:2">
      <c r="A3932" s="12">
        <f>DATE(2012,12,31)-998</f>
        <v>40276</v>
      </c>
      <c r="B3932" s="13">
        <v>238.77</v>
      </c>
    </row>
    <row r="3933" s="6" customFormat="1" spans="1:2">
      <c r="A3933" s="12">
        <f>DATE(2012,12,31)-998</f>
        <v>40276</v>
      </c>
      <c r="B3933" s="13">
        <v>257.34</v>
      </c>
    </row>
    <row r="3934" s="6" customFormat="1" spans="1:2">
      <c r="A3934" s="12">
        <f>DATE(2012,12,31)-839</f>
        <v>40435</v>
      </c>
      <c r="B3934" s="13">
        <v>2826.9</v>
      </c>
    </row>
    <row r="3935" s="6" customFormat="1" spans="1:2">
      <c r="A3935" s="12">
        <f>DATE(2012,12,31)-839</f>
        <v>40435</v>
      </c>
      <c r="B3935" s="13">
        <v>7834.77</v>
      </c>
    </row>
    <row r="3936" s="6" customFormat="1" spans="1:2">
      <c r="A3936" s="12">
        <f>DATE(2012,12,31)-839</f>
        <v>40435</v>
      </c>
      <c r="B3936" s="13">
        <v>127.56</v>
      </c>
    </row>
    <row r="3937" s="6" customFormat="1" spans="1:2">
      <c r="A3937" s="12">
        <f>DATE(2012,12,31)-603</f>
        <v>40671</v>
      </c>
      <c r="B3937" s="13">
        <v>376.21</v>
      </c>
    </row>
    <row r="3938" s="6" customFormat="1" spans="1:2">
      <c r="A3938" s="12">
        <f>DATE(2012,12,31)-1115</f>
        <v>40159</v>
      </c>
      <c r="B3938" s="13">
        <v>203.53</v>
      </c>
    </row>
    <row r="3939" spans="1:2">
      <c r="A3939" s="14">
        <f>DATE(2012,12,31)-851</f>
        <v>40423</v>
      </c>
      <c r="B3939" s="15">
        <v>856.45</v>
      </c>
    </row>
    <row r="3940" spans="1:2">
      <c r="A3940" s="14">
        <f>DATE(2012,12,31)-851</f>
        <v>40423</v>
      </c>
      <c r="B3940" s="15">
        <v>6.75</v>
      </c>
    </row>
    <row r="3941" s="6" customFormat="1" spans="1:2">
      <c r="A3941" s="12">
        <f>DATE(2012,12,31)-858</f>
        <v>40416</v>
      </c>
      <c r="B3941" s="13">
        <v>631.99</v>
      </c>
    </row>
    <row r="3942" s="6" customFormat="1" spans="1:2">
      <c r="A3942" s="12">
        <f>DATE(2012,12,31)-1320</f>
        <v>39954</v>
      </c>
      <c r="B3942" s="13">
        <v>10.17</v>
      </c>
    </row>
    <row r="3943" s="6" customFormat="1" spans="1:2">
      <c r="A3943" s="12">
        <f>DATE(2012,12,31)-1320</f>
        <v>39954</v>
      </c>
      <c r="B3943" s="13">
        <v>23.58</v>
      </c>
    </row>
    <row r="3944" s="6" customFormat="1" spans="1:2">
      <c r="A3944" s="12">
        <f>DATE(2012,12,31)-1328</f>
        <v>39946</v>
      </c>
      <c r="B3944" s="13">
        <v>2438.7</v>
      </c>
    </row>
    <row r="3945" s="6" customFormat="1" spans="1:2">
      <c r="A3945" s="12">
        <f>DATE(2012,12,31)-340</f>
        <v>40934</v>
      </c>
      <c r="B3945" s="13">
        <v>107.41</v>
      </c>
    </row>
    <row r="3946" s="6" customFormat="1" spans="1:2">
      <c r="A3946" s="12">
        <f>DATE(2012,12,31)-1250</f>
        <v>40024</v>
      </c>
      <c r="B3946" s="13">
        <v>404.24</v>
      </c>
    </row>
    <row r="3947" s="6" customFormat="1" spans="1:2">
      <c r="A3947" s="12">
        <f>DATE(2012,12,31)-1250</f>
        <v>40024</v>
      </c>
      <c r="B3947" s="13">
        <v>1381.88</v>
      </c>
    </row>
    <row r="3948" s="6" customFormat="1" spans="1:2">
      <c r="A3948" s="12">
        <f>DATE(2012,12,31)-1193</f>
        <v>40081</v>
      </c>
      <c r="B3948" s="13">
        <v>1601.24</v>
      </c>
    </row>
    <row r="3949" s="6" customFormat="1" spans="1:2">
      <c r="A3949" s="12">
        <f>DATE(2012,12,31)-1193</f>
        <v>40081</v>
      </c>
      <c r="B3949" s="13">
        <v>501.31</v>
      </c>
    </row>
    <row r="3950" s="6" customFormat="1" spans="1:2">
      <c r="A3950" s="12">
        <f>DATE(2012,12,31)-1295</f>
        <v>39979</v>
      </c>
      <c r="B3950" s="13">
        <v>784.08</v>
      </c>
    </row>
    <row r="3951" s="6" customFormat="1" spans="1:2">
      <c r="A3951" s="12">
        <f>DATE(2012,12,31)-1295</f>
        <v>39979</v>
      </c>
      <c r="B3951" s="13">
        <v>5028.31</v>
      </c>
    </row>
    <row r="3952" s="6" customFormat="1" spans="1:2">
      <c r="A3952" s="12">
        <f>DATE(2012,12,31)-1295</f>
        <v>39979</v>
      </c>
      <c r="B3952" s="13">
        <v>1085.61</v>
      </c>
    </row>
    <row r="3953" s="6" customFormat="1" spans="1:2">
      <c r="A3953" s="12">
        <f>DATE(2012,12,31)-175</f>
        <v>41099</v>
      </c>
      <c r="B3953" s="13">
        <v>24.96</v>
      </c>
    </row>
    <row r="3954" s="6" customFormat="1" spans="1:2">
      <c r="A3954" s="12">
        <f>DATE(2012,12,31)-327</f>
        <v>40947</v>
      </c>
      <c r="B3954" s="13">
        <v>7703.9665</v>
      </c>
    </row>
    <row r="3955" s="6" customFormat="1" spans="1:2">
      <c r="A3955" s="12">
        <f>DATE(2012,12,31)-12</f>
        <v>41262</v>
      </c>
      <c r="B3955" s="13">
        <v>163.41</v>
      </c>
    </row>
    <row r="3956" spans="1:2">
      <c r="A3956" s="14">
        <f>DATE(2012,12,31)-1439</f>
        <v>39835</v>
      </c>
      <c r="B3956" s="15">
        <v>1160.59</v>
      </c>
    </row>
    <row r="3957" s="6" customFormat="1" spans="1:2">
      <c r="A3957" s="12">
        <f>DATE(2012,12,31)-1439</f>
        <v>39835</v>
      </c>
      <c r="B3957" s="13">
        <v>206.04</v>
      </c>
    </row>
    <row r="3958" s="6" customFormat="1" spans="1:2">
      <c r="A3958" s="12">
        <f>DATE(2012,12,31)-173</f>
        <v>41101</v>
      </c>
      <c r="B3958" s="13">
        <v>346.23</v>
      </c>
    </row>
    <row r="3959" s="6" customFormat="1" spans="1:2">
      <c r="A3959" s="12">
        <f>DATE(2012,12,31)-1407</f>
        <v>39867</v>
      </c>
      <c r="B3959" s="13">
        <v>467.4</v>
      </c>
    </row>
    <row r="3960" s="6" customFormat="1" spans="1:2">
      <c r="A3960" s="12">
        <f>DATE(2012,12,31)-1389</f>
        <v>39885</v>
      </c>
      <c r="B3960" s="13">
        <v>201.178</v>
      </c>
    </row>
    <row r="3961" s="6" customFormat="1" spans="1:2">
      <c r="A3961" s="12">
        <f>DATE(2012,12,31)-1389</f>
        <v>39885</v>
      </c>
      <c r="B3961" s="13">
        <v>2493.24</v>
      </c>
    </row>
    <row r="3962" s="6" customFormat="1" spans="1:2">
      <c r="A3962" s="12">
        <f>DATE(2012,12,31)-1153</f>
        <v>40121</v>
      </c>
      <c r="B3962" s="13">
        <v>249.24</v>
      </c>
    </row>
    <row r="3963" s="6" customFormat="1" spans="1:2">
      <c r="A3963" s="12">
        <f>DATE(2012,12,31)-731</f>
        <v>40543</v>
      </c>
      <c r="B3963" s="13">
        <v>299.11</v>
      </c>
    </row>
    <row r="3964" s="6" customFormat="1" spans="1:2">
      <c r="A3964" s="12">
        <f>DATE(2012,12,31)-1082</f>
        <v>40192</v>
      </c>
      <c r="B3964" s="13">
        <v>166.76</v>
      </c>
    </row>
    <row r="3965" s="6" customFormat="1" spans="1:2">
      <c r="A3965" s="12">
        <f>DATE(2012,12,31)-1451</f>
        <v>39823</v>
      </c>
      <c r="B3965" s="13">
        <v>1307.35</v>
      </c>
    </row>
    <row r="3966" s="6" customFormat="1" spans="1:2">
      <c r="A3966" s="12">
        <f>DATE(2012,12,31)-1451</f>
        <v>39823</v>
      </c>
      <c r="B3966" s="13">
        <v>523.58</v>
      </c>
    </row>
    <row r="3967" s="6" customFormat="1" spans="1:2">
      <c r="A3967" s="12">
        <f>DATE(2012,12,31)-1398</f>
        <v>39876</v>
      </c>
      <c r="B3967" s="13">
        <v>3950.6</v>
      </c>
    </row>
    <row r="3968" s="6" customFormat="1" spans="1:2">
      <c r="A3968" s="12">
        <f>DATE(2012,12,31)-223</f>
        <v>41051</v>
      </c>
      <c r="B3968" s="13">
        <v>63.47</v>
      </c>
    </row>
    <row r="3969" spans="1:2">
      <c r="A3969" s="14">
        <f>DATE(2012,12,31)-883</f>
        <v>40391</v>
      </c>
      <c r="B3969" s="15">
        <v>90.5</v>
      </c>
    </row>
    <row r="3970" s="6" customFormat="1" spans="1:2">
      <c r="A3970" s="12">
        <f>DATE(2012,12,31)-512</f>
        <v>40762</v>
      </c>
      <c r="B3970" s="13">
        <v>385.99</v>
      </c>
    </row>
    <row r="3971" s="6" customFormat="1" spans="1:2">
      <c r="A3971" s="12">
        <f>DATE(2012,12,31)-1375</f>
        <v>39899</v>
      </c>
      <c r="B3971" s="13">
        <v>507.66</v>
      </c>
    </row>
    <row r="3972" s="6" customFormat="1" spans="1:2">
      <c r="A3972" s="12">
        <f>DATE(2012,12,31)-955</f>
        <v>40319</v>
      </c>
      <c r="B3972" s="13">
        <v>390.46</v>
      </c>
    </row>
    <row r="3973" s="6" customFormat="1" spans="1:2">
      <c r="A3973" s="12">
        <f>DATE(2012,12,31)-955</f>
        <v>40319</v>
      </c>
      <c r="B3973" s="13">
        <v>113.43</v>
      </c>
    </row>
    <row r="3974" s="6" customFormat="1" spans="1:2">
      <c r="A3974" s="12">
        <f>DATE(2012,12,31)-185</f>
        <v>41089</v>
      </c>
      <c r="B3974" s="13">
        <v>3212.97</v>
      </c>
    </row>
    <row r="3975" s="6" customFormat="1" spans="1:2">
      <c r="A3975" s="12">
        <f>DATE(2012,12,31)-185</f>
        <v>41089</v>
      </c>
      <c r="B3975" s="13">
        <v>292.95</v>
      </c>
    </row>
    <row r="3976" s="6" customFormat="1" spans="1:2">
      <c r="A3976" s="12">
        <f>DATE(2012,12,31)-1154</f>
        <v>40120</v>
      </c>
      <c r="B3976" s="13">
        <v>668.39</v>
      </c>
    </row>
    <row r="3977" s="6" customFormat="1" spans="1:2">
      <c r="A3977" s="12">
        <f>DATE(2012,12,31)-1154</f>
        <v>40120</v>
      </c>
      <c r="B3977" s="13">
        <v>4657.35</v>
      </c>
    </row>
    <row r="3978" s="6" customFormat="1" spans="1:2">
      <c r="A3978" s="12">
        <f>DATE(2012,12,31)-1154</f>
        <v>40120</v>
      </c>
      <c r="B3978" s="13">
        <v>2097.94</v>
      </c>
    </row>
    <row r="3979" s="6" customFormat="1" spans="1:2">
      <c r="A3979" s="12">
        <f>DATE(2012,12,31)-328</f>
        <v>40946</v>
      </c>
      <c r="B3979" s="13">
        <v>809.77</v>
      </c>
    </row>
    <row r="3980" s="6" customFormat="1" spans="1:2">
      <c r="A3980" s="12">
        <f>DATE(2012,12,31)-1157</f>
        <v>40117</v>
      </c>
      <c r="B3980" s="13">
        <v>133.85</v>
      </c>
    </row>
    <row r="3981" spans="1:2">
      <c r="A3981" s="14">
        <f>DATE(2012,12,31)-1194</f>
        <v>40080</v>
      </c>
      <c r="B3981" s="15">
        <v>45.64</v>
      </c>
    </row>
    <row r="3982" s="6" customFormat="1" spans="1:2">
      <c r="A3982" s="12">
        <f>DATE(2012,12,31)-1456</f>
        <v>39818</v>
      </c>
      <c r="B3982" s="13">
        <v>4201.08</v>
      </c>
    </row>
    <row r="3983" s="6" customFormat="1" spans="1:2">
      <c r="A3983" s="12">
        <f>DATE(2012,12,31)-1456</f>
        <v>39818</v>
      </c>
      <c r="B3983" s="13">
        <v>8958.46</v>
      </c>
    </row>
    <row r="3984" s="6" customFormat="1" spans="1:2">
      <c r="A3984" s="12">
        <f>DATE(2012,12,31)-1456</f>
        <v>39818</v>
      </c>
      <c r="B3984" s="13">
        <v>4913.7</v>
      </c>
    </row>
    <row r="3985" s="6" customFormat="1" spans="1:2">
      <c r="A3985" s="12">
        <f>DATE(2012,12,31)-3</f>
        <v>41271</v>
      </c>
      <c r="B3985" s="13">
        <v>560.03</v>
      </c>
    </row>
    <row r="3986" spans="1:2">
      <c r="A3986" s="14">
        <f>DATE(2012,12,31)-147</f>
        <v>41127</v>
      </c>
      <c r="B3986" s="15">
        <v>157.4</v>
      </c>
    </row>
    <row r="3987" s="6" customFormat="1" spans="1:2">
      <c r="A3987" s="12">
        <f>DATE(2012,12,31)-946</f>
        <v>40328</v>
      </c>
      <c r="B3987" s="13">
        <v>254.12</v>
      </c>
    </row>
    <row r="3988" s="6" customFormat="1" spans="1:2">
      <c r="A3988" s="12">
        <f>DATE(2012,12,31)-946</f>
        <v>40328</v>
      </c>
      <c r="B3988" s="13">
        <v>767.04</v>
      </c>
    </row>
    <row r="3989" s="6" customFormat="1" spans="1:2">
      <c r="A3989" s="12">
        <f>DATE(2012,12,31)-1387</f>
        <v>39887</v>
      </c>
      <c r="B3989" s="13">
        <v>30.62</v>
      </c>
    </row>
    <row r="3990" s="6" customFormat="1" spans="1:2">
      <c r="A3990" s="12">
        <f>DATE(2012,12,31)-1029</f>
        <v>40245</v>
      </c>
      <c r="B3990" s="13">
        <v>119.63</v>
      </c>
    </row>
    <row r="3991" s="6" customFormat="1" spans="1:2">
      <c r="A3991" s="12">
        <f>DATE(2012,12,31)-1029</f>
        <v>40245</v>
      </c>
      <c r="B3991" s="13">
        <v>177.92</v>
      </c>
    </row>
    <row r="3992" s="6" customFormat="1" spans="1:2">
      <c r="A3992" s="12">
        <f>DATE(2012,12,31)-354</f>
        <v>40920</v>
      </c>
      <c r="B3992" s="13">
        <v>49.18</v>
      </c>
    </row>
    <row r="3993" s="6" customFormat="1" spans="1:2">
      <c r="A3993" s="12">
        <f>DATE(2012,12,31)-1223</f>
        <v>40051</v>
      </c>
      <c r="B3993" s="13">
        <v>811.13</v>
      </c>
    </row>
    <row r="3994" s="6" customFormat="1" spans="1:2">
      <c r="A3994" s="12">
        <f>DATE(2012,12,31)-979</f>
        <v>40295</v>
      </c>
      <c r="B3994" s="13">
        <v>323.91</v>
      </c>
    </row>
    <row r="3995" s="6" customFormat="1" spans="1:2">
      <c r="A3995" s="12">
        <f>DATE(2012,12,31)-979</f>
        <v>40295</v>
      </c>
      <c r="B3995" s="13">
        <v>185.59</v>
      </c>
    </row>
    <row r="3996" s="6" customFormat="1" spans="1:2">
      <c r="A3996" s="12">
        <f>DATE(2012,12,31)-979</f>
        <v>40295</v>
      </c>
      <c r="B3996" s="13">
        <v>7168.15</v>
      </c>
    </row>
    <row r="3997" s="6" customFormat="1" spans="1:2">
      <c r="A3997" s="12">
        <f>DATE(2012,12,31)-915</f>
        <v>40359</v>
      </c>
      <c r="B3997" s="13">
        <v>379.78</v>
      </c>
    </row>
    <row r="3998" spans="1:2">
      <c r="A3998" s="14">
        <f>DATE(2012,12,31)-915</f>
        <v>40359</v>
      </c>
      <c r="B3998" s="15">
        <v>750.86</v>
      </c>
    </row>
    <row r="3999" s="6" customFormat="1" spans="1:2">
      <c r="A3999" s="12">
        <f>DATE(2012,12,31)-923</f>
        <v>40351</v>
      </c>
      <c r="B3999" s="13">
        <v>268.7105</v>
      </c>
    </row>
    <row r="4000" s="6" customFormat="1" spans="1:2">
      <c r="A4000" s="12">
        <f>DATE(2012,12,31)-125</f>
        <v>41149</v>
      </c>
      <c r="B4000" s="13">
        <v>68.5</v>
      </c>
    </row>
    <row r="4001" s="6" customFormat="1" spans="1:2">
      <c r="A4001" s="12">
        <f>DATE(2012,12,31)-496</f>
        <v>40778</v>
      </c>
      <c r="B4001" s="13">
        <v>5296.19</v>
      </c>
    </row>
    <row r="4002" s="6" customFormat="1" spans="1:2">
      <c r="A4002" s="12">
        <f>DATE(2012,12,31)-652</f>
        <v>40622</v>
      </c>
      <c r="B4002" s="13">
        <v>21532.26</v>
      </c>
    </row>
    <row r="4003" s="6" customFormat="1" spans="1:2">
      <c r="A4003" s="12">
        <f>DATE(2012,12,31)-652</f>
        <v>40622</v>
      </c>
      <c r="B4003" s="13">
        <v>7.64</v>
      </c>
    </row>
    <row r="4004" s="6" customFormat="1" spans="1:2">
      <c r="A4004" s="12">
        <f>DATE(2012,12,31)-390</f>
        <v>40884</v>
      </c>
      <c r="B4004" s="13">
        <v>36.4</v>
      </c>
    </row>
    <row r="4005" s="6" customFormat="1" spans="1:2">
      <c r="A4005" s="12">
        <f>DATE(2012,12,31)-390</f>
        <v>40884</v>
      </c>
      <c r="B4005" s="13">
        <v>176.35</v>
      </c>
    </row>
    <row r="4006" s="6" customFormat="1" spans="1:2">
      <c r="A4006" s="12">
        <f>DATE(2012,12,31)-344</f>
        <v>40930</v>
      </c>
      <c r="B4006" s="13">
        <v>1500.17</v>
      </c>
    </row>
    <row r="4007" s="6" customFormat="1" spans="1:2">
      <c r="A4007" s="12">
        <f>DATE(2012,12,31)-344</f>
        <v>40930</v>
      </c>
      <c r="B4007" s="13">
        <v>377.31</v>
      </c>
    </row>
    <row r="4008" spans="1:2">
      <c r="A4008" s="14">
        <f>DATE(2012,12,31)-1145</f>
        <v>40129</v>
      </c>
      <c r="B4008" s="15">
        <v>5811.72</v>
      </c>
    </row>
    <row r="4009" s="6" customFormat="1" spans="1:2">
      <c r="A4009" s="12">
        <f>DATE(2012,12,31)-4</f>
        <v>41270</v>
      </c>
      <c r="B4009" s="13">
        <v>15337.58</v>
      </c>
    </row>
    <row r="4010" s="6" customFormat="1" spans="1:2">
      <c r="A4010" s="12">
        <f>DATE(2012,12,31)-4</f>
        <v>41270</v>
      </c>
      <c r="B4010" s="13">
        <v>3883.4715</v>
      </c>
    </row>
    <row r="4011" s="6" customFormat="1" spans="1:2">
      <c r="A4011" s="12">
        <f>DATE(2012,12,31)-1169</f>
        <v>40105</v>
      </c>
      <c r="B4011" s="13">
        <v>7827.51</v>
      </c>
    </row>
    <row r="4012" s="6" customFormat="1" spans="1:2">
      <c r="A4012" s="12">
        <f>DATE(2012,12,31)-446</f>
        <v>40828</v>
      </c>
      <c r="B4012" s="13">
        <v>278.65</v>
      </c>
    </row>
    <row r="4013" s="6" customFormat="1" spans="1:2">
      <c r="A4013" s="12">
        <f>DATE(2012,12,31)-713</f>
        <v>40561</v>
      </c>
      <c r="B4013" s="13">
        <v>230.29</v>
      </c>
    </row>
    <row r="4014" s="6" customFormat="1" spans="1:2">
      <c r="A4014" s="12">
        <f>DATE(2012,12,31)-713</f>
        <v>40561</v>
      </c>
      <c r="B4014" s="13">
        <v>1592.0415</v>
      </c>
    </row>
    <row r="4015" s="6" customFormat="1" spans="1:2">
      <c r="A4015" s="12">
        <f>DATE(2012,12,31)-979</f>
        <v>40295</v>
      </c>
      <c r="B4015" s="13">
        <v>659.5</v>
      </c>
    </row>
    <row r="4016" s="6" customFormat="1" spans="1:2">
      <c r="A4016" s="12">
        <f>DATE(2012,12,31)-1388</f>
        <v>39886</v>
      </c>
      <c r="B4016" s="13">
        <v>5679.59</v>
      </c>
    </row>
    <row r="4017" s="6" customFormat="1" spans="1:2">
      <c r="A4017" s="12">
        <f>DATE(2012,12,31)-504</f>
        <v>40770</v>
      </c>
      <c r="B4017" s="13">
        <v>161.96</v>
      </c>
    </row>
    <row r="4018" s="6" customFormat="1" spans="1:2">
      <c r="A4018" s="12">
        <f>DATE(2012,12,31)-1180</f>
        <v>40094</v>
      </c>
      <c r="B4018" s="13">
        <v>822.8425</v>
      </c>
    </row>
    <row r="4019" s="6" customFormat="1" spans="1:2">
      <c r="A4019" s="12">
        <f>DATE(2012,12,31)-1350</f>
        <v>39924</v>
      </c>
      <c r="B4019" s="13">
        <v>1029.29</v>
      </c>
    </row>
    <row r="4020" s="6" customFormat="1" spans="1:2">
      <c r="A4020" s="12">
        <f>DATE(2012,12,31)-455</f>
        <v>40819</v>
      </c>
      <c r="B4020" s="13">
        <v>413.37</v>
      </c>
    </row>
    <row r="4021" s="6" customFormat="1" spans="1:2">
      <c r="A4021" s="12">
        <f>DATE(2012,12,31)-455</f>
        <v>40819</v>
      </c>
      <c r="B4021" s="13">
        <v>1721.641</v>
      </c>
    </row>
    <row r="4022" spans="1:2">
      <c r="A4022" s="14">
        <f>DATE(2012,12,31)-143</f>
        <v>41131</v>
      </c>
      <c r="B4022" s="15">
        <v>23.54</v>
      </c>
    </row>
    <row r="4023" spans="1:2">
      <c r="A4023" s="14">
        <f>DATE(2012,12,31)-143</f>
        <v>41131</v>
      </c>
      <c r="B4023" s="15">
        <v>1539.83</v>
      </c>
    </row>
    <row r="4024" s="6" customFormat="1" spans="1:2">
      <c r="A4024" s="12">
        <f>DATE(2012,12,31)-672</f>
        <v>40602</v>
      </c>
      <c r="B4024" s="13">
        <v>70.13</v>
      </c>
    </row>
    <row r="4025" s="6" customFormat="1" spans="1:2">
      <c r="A4025" s="12">
        <f>DATE(2012,12,31)-672</f>
        <v>40602</v>
      </c>
      <c r="B4025" s="13">
        <v>59.76</v>
      </c>
    </row>
    <row r="4026" s="6" customFormat="1" spans="1:2">
      <c r="A4026" s="12">
        <f>DATE(2012,12,31)-246</f>
        <v>41028</v>
      </c>
      <c r="B4026" s="13">
        <v>587.92</v>
      </c>
    </row>
    <row r="4027" s="6" customFormat="1" spans="1:2">
      <c r="A4027" s="12">
        <f>DATE(2012,12,31)-246</f>
        <v>41028</v>
      </c>
      <c r="B4027" s="13">
        <v>2171.464</v>
      </c>
    </row>
    <row r="4028" s="6" customFormat="1" spans="1:2">
      <c r="A4028" s="12">
        <f>DATE(2012,12,31)-856</f>
        <v>40418</v>
      </c>
      <c r="B4028" s="13">
        <v>195.75</v>
      </c>
    </row>
    <row r="4029" s="6" customFormat="1" spans="1:2">
      <c r="A4029" s="12">
        <f>DATE(2012,12,31)-1424</f>
        <v>39850</v>
      </c>
      <c r="B4029" s="13">
        <v>950.464</v>
      </c>
    </row>
    <row r="4030" s="6" customFormat="1" spans="1:2">
      <c r="A4030" s="12">
        <f>DATE(2012,12,31)-1424</f>
        <v>39850</v>
      </c>
      <c r="B4030" s="13">
        <v>705.687</v>
      </c>
    </row>
    <row r="4031" s="6" customFormat="1" spans="1:2">
      <c r="A4031" s="12">
        <f>DATE(2012,12,31)-690</f>
        <v>40584</v>
      </c>
      <c r="B4031" s="13">
        <v>2174.419</v>
      </c>
    </row>
    <row r="4032" spans="1:2">
      <c r="A4032" s="14">
        <f>DATE(2012,12,31)-1460</f>
        <v>39814</v>
      </c>
      <c r="B4032" s="15">
        <v>180.36</v>
      </c>
    </row>
    <row r="4033" s="6" customFormat="1" spans="1:2">
      <c r="A4033" s="12">
        <f>DATE(2012,12,31)-788</f>
        <v>40486</v>
      </c>
      <c r="B4033" s="13">
        <v>413.8</v>
      </c>
    </row>
    <row r="4034" s="6" customFormat="1" spans="1:2">
      <c r="A4034" s="12">
        <f>DATE(2012,12,31)-788</f>
        <v>40486</v>
      </c>
      <c r="B4034" s="13">
        <v>336.25</v>
      </c>
    </row>
    <row r="4035" s="6" customFormat="1" spans="1:2">
      <c r="A4035" s="12">
        <f>DATE(2012,12,31)-788</f>
        <v>40486</v>
      </c>
      <c r="B4035" s="13">
        <v>4001.4685</v>
      </c>
    </row>
    <row r="4036" s="6" customFormat="1" spans="1:2">
      <c r="A4036" s="12">
        <f>DATE(2012,12,31)-639</f>
        <v>40635</v>
      </c>
      <c r="B4036" s="13">
        <v>97.93</v>
      </c>
    </row>
    <row r="4037" s="6" customFormat="1" spans="1:2">
      <c r="A4037" s="12">
        <f>DATE(2012,12,31)-639</f>
        <v>40635</v>
      </c>
      <c r="B4037" s="13">
        <v>25.52</v>
      </c>
    </row>
    <row r="4038" s="6" customFormat="1" spans="1:2">
      <c r="A4038" s="12">
        <f>DATE(2012,12,31)-639</f>
        <v>40635</v>
      </c>
      <c r="B4038" s="13">
        <v>487.5</v>
      </c>
    </row>
    <row r="4039" s="6" customFormat="1" spans="1:2">
      <c r="A4039" s="12">
        <f>DATE(2012,12,31)-641</f>
        <v>40633</v>
      </c>
      <c r="B4039" s="13">
        <v>59.35</v>
      </c>
    </row>
    <row r="4040" s="6" customFormat="1" spans="1:2">
      <c r="A4040" s="12">
        <f>DATE(2012,12,31)-829</f>
        <v>40445</v>
      </c>
      <c r="B4040" s="13">
        <v>1500.84</v>
      </c>
    </row>
    <row r="4041" s="6" customFormat="1" spans="1:2">
      <c r="A4041" s="12">
        <f>DATE(2012,12,31)-829</f>
        <v>40445</v>
      </c>
      <c r="B4041" s="13">
        <v>98.64</v>
      </c>
    </row>
    <row r="4042" s="6" customFormat="1" spans="1:2">
      <c r="A4042" s="12">
        <f>DATE(2012,12,31)-275</f>
        <v>40999</v>
      </c>
      <c r="B4042" s="13">
        <v>184.18</v>
      </c>
    </row>
    <row r="4043" s="6" customFormat="1" spans="1:2">
      <c r="A4043" s="12">
        <f>DATE(2012,12,31)-799</f>
        <v>40475</v>
      </c>
      <c r="B4043" s="13">
        <v>8221.2935</v>
      </c>
    </row>
    <row r="4044" spans="1:2">
      <c r="A4044" s="14">
        <f>DATE(2012,12,31)-799</f>
        <v>40475</v>
      </c>
      <c r="B4044" s="15">
        <v>1158.26</v>
      </c>
    </row>
    <row r="4045" s="6" customFormat="1" spans="1:2">
      <c r="A4045" s="12">
        <f>DATE(2012,12,31)-1343</f>
        <v>39931</v>
      </c>
      <c r="B4045" s="13">
        <v>102.95</v>
      </c>
    </row>
    <row r="4046" s="6" customFormat="1" spans="1:2">
      <c r="A4046" s="12">
        <f>DATE(2012,12,31)-528</f>
        <v>40746</v>
      </c>
      <c r="B4046" s="13">
        <v>866.73</v>
      </c>
    </row>
    <row r="4047" s="6" customFormat="1" spans="1:2">
      <c r="A4047" s="12">
        <f>DATE(2012,12,31)-528</f>
        <v>40746</v>
      </c>
      <c r="B4047" s="13">
        <v>642.42</v>
      </c>
    </row>
    <row r="4048" s="6" customFormat="1" spans="1:2">
      <c r="A4048" s="12">
        <f>DATE(2012,12,31)-528</f>
        <v>40746</v>
      </c>
      <c r="B4048" s="13">
        <v>2169.7525</v>
      </c>
    </row>
    <row r="4049" s="6" customFormat="1" spans="1:2">
      <c r="A4049" s="12">
        <f>DATE(2012,12,31)-270</f>
        <v>41004</v>
      </c>
      <c r="B4049" s="13">
        <v>204.49</v>
      </c>
    </row>
    <row r="4050" s="6" customFormat="1" spans="1:2">
      <c r="A4050" s="12">
        <f>DATE(2012,12,31)-417</f>
        <v>40857</v>
      </c>
      <c r="B4050" s="13">
        <v>1154.89</v>
      </c>
    </row>
    <row r="4051" s="6" customFormat="1" spans="1:2">
      <c r="A4051" s="12">
        <f>DATE(2012,12,31)-417</f>
        <v>40857</v>
      </c>
      <c r="B4051" s="13">
        <v>3310.9455</v>
      </c>
    </row>
    <row r="4052" s="6" customFormat="1" spans="1:2">
      <c r="A4052" s="12">
        <f>DATE(2012,12,31)-260</f>
        <v>41014</v>
      </c>
      <c r="B4052" s="13">
        <v>55.02</v>
      </c>
    </row>
    <row r="4053" s="6" customFormat="1" spans="1:2">
      <c r="A4053" s="12">
        <f>DATE(2012,12,31)-1225</f>
        <v>40049</v>
      </c>
      <c r="B4053" s="13">
        <v>146.15</v>
      </c>
    </row>
    <row r="4054" s="6" customFormat="1" spans="1:2">
      <c r="A4054" s="12">
        <f>DATE(2012,12,31)-1225</f>
        <v>40049</v>
      </c>
      <c r="B4054" s="13">
        <v>877.47</v>
      </c>
    </row>
    <row r="4055" s="6" customFormat="1" spans="1:2">
      <c r="A4055" s="12">
        <f>DATE(2012,12,31)-583</f>
        <v>40691</v>
      </c>
      <c r="B4055" s="13">
        <v>246</v>
      </c>
    </row>
    <row r="4056" s="6" customFormat="1" spans="1:2">
      <c r="A4056" s="12">
        <f>DATE(2012,12,31)-200</f>
        <v>41074</v>
      </c>
      <c r="B4056" s="13">
        <v>4488.2635</v>
      </c>
    </row>
    <row r="4057" s="6" customFormat="1" spans="1:2">
      <c r="A4057" s="12">
        <f>DATE(2012,12,31)-203</f>
        <v>41071</v>
      </c>
      <c r="B4057" s="13">
        <v>871.32</v>
      </c>
    </row>
    <row r="4058" s="6" customFormat="1" spans="1:2">
      <c r="A4058" s="12">
        <f>DATE(2012,12,31)-976</f>
        <v>40298</v>
      </c>
      <c r="B4058" s="13">
        <v>185.16</v>
      </c>
    </row>
    <row r="4059" s="6" customFormat="1" spans="1:2">
      <c r="A4059" s="12">
        <f>DATE(2012,12,31)-976</f>
        <v>40298</v>
      </c>
      <c r="B4059" s="13">
        <v>5144.94</v>
      </c>
    </row>
    <row r="4060" s="6" customFormat="1" spans="1:2">
      <c r="A4060" s="12">
        <f>DATE(2012,12,31)-976</f>
        <v>40298</v>
      </c>
      <c r="B4060" s="13">
        <v>1397.383</v>
      </c>
    </row>
    <row r="4061" s="6" customFormat="1" spans="1:2">
      <c r="A4061" s="12">
        <f>DATE(2012,12,31)-83</f>
        <v>41191</v>
      </c>
      <c r="B4061" s="13">
        <v>230.97</v>
      </c>
    </row>
    <row r="4062" s="6" customFormat="1" spans="1:2">
      <c r="A4062" s="12">
        <f>DATE(2012,12,31)-83</f>
        <v>41191</v>
      </c>
      <c r="B4062" s="13">
        <v>723.17</v>
      </c>
    </row>
    <row r="4063" s="6" customFormat="1" spans="1:2">
      <c r="A4063" s="12">
        <f>DATE(2012,12,31)-894</f>
        <v>40380</v>
      </c>
      <c r="B4063" s="13">
        <v>269.57</v>
      </c>
    </row>
    <row r="4064" s="6" customFormat="1" spans="1:2">
      <c r="A4064" s="12">
        <f>DATE(2012,12,31)-894</f>
        <v>40380</v>
      </c>
      <c r="B4064" s="13">
        <v>98.94</v>
      </c>
    </row>
    <row r="4065" s="6" customFormat="1" spans="1:2">
      <c r="A4065" s="12">
        <f>DATE(2012,12,31)-1271</f>
        <v>40003</v>
      </c>
      <c r="B4065" s="13">
        <v>11.16</v>
      </c>
    </row>
    <row r="4066" s="6" customFormat="1" spans="1:2">
      <c r="A4066" s="12">
        <f>DATE(2012,12,31)-1271</f>
        <v>40003</v>
      </c>
      <c r="B4066" s="13">
        <v>156.2</v>
      </c>
    </row>
    <row r="4067" s="6" customFormat="1" spans="1:2">
      <c r="A4067" s="12">
        <f>DATE(2012,12,31)-33</f>
        <v>41241</v>
      </c>
      <c r="B4067" s="13">
        <v>1272.35</v>
      </c>
    </row>
    <row r="4068" s="6" customFormat="1" spans="1:2">
      <c r="A4068" s="12">
        <f>DATE(2012,12,31)-33</f>
        <v>41241</v>
      </c>
      <c r="B4068" s="13">
        <v>4000.35</v>
      </c>
    </row>
    <row r="4069" s="6" customFormat="1" spans="1:2">
      <c r="A4069" s="12">
        <f>DATE(2012,12,31)-33</f>
        <v>41241</v>
      </c>
      <c r="B4069" s="13">
        <v>3356.92</v>
      </c>
    </row>
    <row r="4070" s="6" customFormat="1" spans="1:2">
      <c r="A4070" s="12">
        <f>DATE(2012,12,31)-393</f>
        <v>40881</v>
      </c>
      <c r="B4070" s="13">
        <v>6072.1875</v>
      </c>
    </row>
    <row r="4071" spans="1:2">
      <c r="A4071" s="14">
        <f>DATE(2012,12,31)-469</f>
        <v>40805</v>
      </c>
      <c r="B4071" s="15">
        <v>6863.95</v>
      </c>
    </row>
    <row r="4072" spans="1:2">
      <c r="A4072" s="14">
        <f>DATE(2012,12,31)-964</f>
        <v>40310</v>
      </c>
      <c r="B4072" s="15">
        <v>298.52</v>
      </c>
    </row>
    <row r="4073" spans="1:2">
      <c r="A4073" s="14">
        <f>DATE(2012,12,31)-964</f>
        <v>40310</v>
      </c>
      <c r="B4073" s="15">
        <v>667.35</v>
      </c>
    </row>
    <row r="4074" s="6" customFormat="1" spans="1:2">
      <c r="A4074" s="12">
        <f>DATE(2012,12,31)-1451</f>
        <v>39823</v>
      </c>
      <c r="B4074" s="13">
        <v>1177.5</v>
      </c>
    </row>
    <row r="4075" s="6" customFormat="1" spans="1:2">
      <c r="A4075" s="12">
        <f>DATE(2012,12,31)-695</f>
        <v>40579</v>
      </c>
      <c r="B4075" s="13">
        <v>17131.36</v>
      </c>
    </row>
    <row r="4076" s="6" customFormat="1" spans="1:2">
      <c r="A4076" s="12">
        <f>DATE(2012,12,31)-364</f>
        <v>40910</v>
      </c>
      <c r="B4076" s="13">
        <v>192.58</v>
      </c>
    </row>
    <row r="4077" s="6" customFormat="1" spans="1:2">
      <c r="A4077" s="12">
        <f>DATE(2012,12,31)-1093</f>
        <v>40181</v>
      </c>
      <c r="B4077" s="13">
        <v>287.61</v>
      </c>
    </row>
    <row r="4078" s="6" customFormat="1" spans="1:2">
      <c r="A4078" s="12">
        <f>DATE(2012,12,31)-1093</f>
        <v>40181</v>
      </c>
      <c r="B4078" s="13">
        <v>128.52</v>
      </c>
    </row>
    <row r="4079" s="6" customFormat="1" spans="1:2">
      <c r="A4079" s="12">
        <f>DATE(2012,12,31)-1093</f>
        <v>40181</v>
      </c>
      <c r="B4079" s="13">
        <v>1011.67</v>
      </c>
    </row>
    <row r="4080" s="6" customFormat="1" spans="1:2">
      <c r="A4080" s="12">
        <f>DATE(2012,12,31)-1093</f>
        <v>40181</v>
      </c>
      <c r="B4080" s="13">
        <v>28389.14</v>
      </c>
    </row>
    <row r="4081" s="6" customFormat="1" spans="1:2">
      <c r="A4081" s="12">
        <f>DATE(2012,12,31)-350</f>
        <v>40924</v>
      </c>
      <c r="B4081" s="13">
        <v>99.1</v>
      </c>
    </row>
    <row r="4082" s="6" customFormat="1" spans="1:2">
      <c r="A4082" s="12">
        <f>DATE(2012,12,31)-350</f>
        <v>40924</v>
      </c>
      <c r="B4082" s="13">
        <v>380.34</v>
      </c>
    </row>
    <row r="4083" s="6" customFormat="1" spans="1:2">
      <c r="A4083" s="12">
        <f>DATE(2012,12,31)-664</f>
        <v>40610</v>
      </c>
      <c r="B4083" s="13">
        <v>291.67</v>
      </c>
    </row>
    <row r="4084" spans="1:2">
      <c r="A4084" s="14">
        <f>DATE(2012,12,31)-964</f>
        <v>40310</v>
      </c>
      <c r="B4084" s="15">
        <v>1677.27</v>
      </c>
    </row>
    <row r="4085" s="6" customFormat="1" spans="1:2">
      <c r="A4085" s="12">
        <f>DATE(2012,12,31)-964</f>
        <v>40310</v>
      </c>
      <c r="B4085" s="13">
        <v>1556.08</v>
      </c>
    </row>
    <row r="4086" s="6" customFormat="1" spans="1:2">
      <c r="A4086" s="12">
        <f>DATE(2012,12,31)-995</f>
        <v>40279</v>
      </c>
      <c r="B4086" s="13">
        <v>3206.965</v>
      </c>
    </row>
    <row r="4087" s="6" customFormat="1" spans="1:2">
      <c r="A4087" s="12">
        <f>DATE(2012,12,31)-1371</f>
        <v>39903</v>
      </c>
      <c r="B4087" s="13">
        <v>31.13</v>
      </c>
    </row>
    <row r="4088" s="6" customFormat="1" spans="1:2">
      <c r="A4088" s="12">
        <f>DATE(2012,12,31)-527</f>
        <v>40747</v>
      </c>
      <c r="B4088" s="13">
        <v>58.63</v>
      </c>
    </row>
    <row r="4089" s="6" customFormat="1" spans="1:2">
      <c r="A4089" s="12">
        <f>DATE(2012,12,31)-527</f>
        <v>40747</v>
      </c>
      <c r="B4089" s="13">
        <v>94.99</v>
      </c>
    </row>
    <row r="4090" s="6" customFormat="1" spans="1:2">
      <c r="A4090" s="12">
        <f>DATE(2012,12,31)-1041</f>
        <v>40233</v>
      </c>
      <c r="B4090" s="13">
        <v>208.77</v>
      </c>
    </row>
    <row r="4091" s="6" customFormat="1" spans="1:2">
      <c r="A4091" s="12">
        <f>DATE(2012,12,31)-438</f>
        <v>40836</v>
      </c>
      <c r="B4091" s="13">
        <v>2266.7</v>
      </c>
    </row>
    <row r="4092" s="6" customFormat="1" spans="1:2">
      <c r="A4092" s="12">
        <f>DATE(2012,12,31)-1076</f>
        <v>40198</v>
      </c>
      <c r="B4092" s="13">
        <v>468.49</v>
      </c>
    </row>
    <row r="4093" s="6" customFormat="1" spans="1:2">
      <c r="A4093" s="12">
        <f>DATE(2012,12,31)-1076</f>
        <v>40198</v>
      </c>
      <c r="B4093" s="13">
        <v>446.53</v>
      </c>
    </row>
    <row r="4094" s="6" customFormat="1" spans="1:2">
      <c r="A4094" s="12">
        <f>DATE(2012,12,31)-1076</f>
        <v>40198</v>
      </c>
      <c r="B4094" s="13">
        <v>217.85</v>
      </c>
    </row>
    <row r="4095" s="6" customFormat="1" spans="1:2">
      <c r="A4095" s="12">
        <f>DATE(2012,12,31)-1249</f>
        <v>40025</v>
      </c>
      <c r="B4095" s="13">
        <v>142.3</v>
      </c>
    </row>
    <row r="4096" s="6" customFormat="1" spans="1:2">
      <c r="A4096" s="12">
        <f>DATE(2012,12,31)-1249</f>
        <v>40025</v>
      </c>
      <c r="B4096" s="13">
        <v>21.93</v>
      </c>
    </row>
    <row r="4097" s="6" customFormat="1" spans="1:2">
      <c r="A4097" s="12">
        <f>DATE(2012,12,31)-1249</f>
        <v>40025</v>
      </c>
      <c r="B4097" s="13">
        <v>26095.13</v>
      </c>
    </row>
    <row r="4098" s="6" customFormat="1" spans="1:2">
      <c r="A4098" s="12">
        <f>DATE(2012,12,31)-1249</f>
        <v>40025</v>
      </c>
      <c r="B4098" s="13">
        <v>75.58</v>
      </c>
    </row>
    <row r="4099" s="6" customFormat="1" spans="1:2">
      <c r="A4099" s="12">
        <f>DATE(2012,12,31)-1249</f>
        <v>40025</v>
      </c>
      <c r="B4099" s="13">
        <v>477.53</v>
      </c>
    </row>
    <row r="4100" s="6" customFormat="1" spans="1:2">
      <c r="A4100" s="12">
        <f>DATE(2012,12,31)-186</f>
        <v>41088</v>
      </c>
      <c r="B4100" s="13">
        <v>7201.89</v>
      </c>
    </row>
    <row r="4101" s="6" customFormat="1" spans="1:2">
      <c r="A4101" s="12">
        <f>DATE(2012,12,31)-2</f>
        <v>41272</v>
      </c>
      <c r="B4101" s="13">
        <v>1936.45</v>
      </c>
    </row>
    <row r="4102" s="6" customFormat="1" spans="1:2">
      <c r="A4102" s="12">
        <f>DATE(2012,12,31)-2</f>
        <v>41272</v>
      </c>
      <c r="B4102" s="13">
        <v>3711.04</v>
      </c>
    </row>
    <row r="4103" s="6" customFormat="1" spans="1:2">
      <c r="A4103" s="12">
        <f>DATE(2012,12,31)-216</f>
        <v>41058</v>
      </c>
      <c r="B4103" s="13">
        <v>1823.02</v>
      </c>
    </row>
    <row r="4104" s="6" customFormat="1" spans="1:2">
      <c r="A4104" s="12">
        <f>DATE(2012,12,31)-216</f>
        <v>41058</v>
      </c>
      <c r="B4104" s="13">
        <v>74.02</v>
      </c>
    </row>
    <row r="4105" s="6" customFormat="1" spans="1:2">
      <c r="A4105" s="12">
        <f>DATE(2012,12,31)-216</f>
        <v>41058</v>
      </c>
      <c r="B4105" s="13">
        <v>2252.976</v>
      </c>
    </row>
    <row r="4106" s="6" customFormat="1" spans="1:2">
      <c r="A4106" s="12">
        <f>DATE(2012,12,31)-1361</f>
        <v>39913</v>
      </c>
      <c r="B4106" s="13">
        <v>203.4</v>
      </c>
    </row>
    <row r="4107" s="6" customFormat="1" spans="1:2">
      <c r="A4107" s="12">
        <f>DATE(2012,12,31)-2</f>
        <v>41272</v>
      </c>
      <c r="B4107" s="13">
        <v>12690.33</v>
      </c>
    </row>
    <row r="4108" s="6" customFormat="1" spans="1:2">
      <c r="A4108" s="12">
        <f>DATE(2012,12,31)-216</f>
        <v>41058</v>
      </c>
      <c r="B4108" s="13">
        <v>325.33</v>
      </c>
    </row>
    <row r="4109" s="6" customFormat="1" spans="1:2">
      <c r="A4109" s="12">
        <f>DATE(2012,12,31)-346</f>
        <v>40928</v>
      </c>
      <c r="B4109" s="13">
        <v>24701.12</v>
      </c>
    </row>
    <row r="4110" s="6" customFormat="1" spans="1:2">
      <c r="A4110" s="12">
        <f>DATE(2012,12,31)-567</f>
        <v>40707</v>
      </c>
      <c r="B4110" s="13">
        <v>3156.6</v>
      </c>
    </row>
    <row r="4111" s="6" customFormat="1" spans="1:2">
      <c r="A4111" s="12">
        <f>DATE(2012,12,31)-567</f>
        <v>40707</v>
      </c>
      <c r="B4111" s="13">
        <v>302.69</v>
      </c>
    </row>
    <row r="4112" s="6" customFormat="1" spans="1:2">
      <c r="A4112" s="12">
        <f>DATE(2012,12,31)-1243</f>
        <v>40031</v>
      </c>
      <c r="B4112" s="13">
        <v>65.81</v>
      </c>
    </row>
    <row r="4113" s="6" customFormat="1" spans="1:2">
      <c r="A4113" s="12">
        <f>DATE(2012,12,31)-394</f>
        <v>40880</v>
      </c>
      <c r="B4113" s="13">
        <v>617.219</v>
      </c>
    </row>
    <row r="4114" s="6" customFormat="1" spans="1:2">
      <c r="A4114" s="12">
        <f>DATE(2012,12,31)-278</f>
        <v>40996</v>
      </c>
      <c r="B4114" s="13">
        <v>238.35</v>
      </c>
    </row>
    <row r="4115" s="6" customFormat="1" spans="1:2">
      <c r="A4115" s="12">
        <f>DATE(2012,12,31)-278</f>
        <v>40996</v>
      </c>
      <c r="B4115" s="13">
        <v>856.34</v>
      </c>
    </row>
    <row r="4116" s="6" customFormat="1" spans="1:2">
      <c r="A4116" s="12">
        <f>DATE(2012,12,31)-33</f>
        <v>41241</v>
      </c>
      <c r="B4116" s="13">
        <v>34.27</v>
      </c>
    </row>
    <row r="4117" s="6" customFormat="1" spans="1:2">
      <c r="A4117" s="12">
        <f>DATE(2012,12,31)-1361</f>
        <v>39913</v>
      </c>
      <c r="B4117" s="13">
        <v>6449.056</v>
      </c>
    </row>
    <row r="4118" s="6" customFormat="1" spans="1:2">
      <c r="A4118" s="12">
        <f>DATE(2012,12,31)-1252</f>
        <v>40022</v>
      </c>
      <c r="B4118" s="13">
        <v>13070.2</v>
      </c>
    </row>
    <row r="4119" s="6" customFormat="1" spans="1:2">
      <c r="A4119" s="12">
        <f>DATE(2012,12,31)-1278</f>
        <v>39996</v>
      </c>
      <c r="B4119" s="13">
        <v>281.39</v>
      </c>
    </row>
    <row r="4120" s="6" customFormat="1" spans="1:2">
      <c r="A4120" s="12">
        <f>DATE(2012,12,31)-1278</f>
        <v>39996</v>
      </c>
      <c r="B4120" s="13">
        <v>12593.91</v>
      </c>
    </row>
    <row r="4121" s="6" customFormat="1" spans="1:2">
      <c r="A4121" s="12">
        <f>DATE(2012,12,31)-456</f>
        <v>40818</v>
      </c>
      <c r="B4121" s="13">
        <v>7789.63</v>
      </c>
    </row>
    <row r="4122" s="6" customFormat="1" spans="1:2">
      <c r="A4122" s="12">
        <f>DATE(2012,12,31)-456</f>
        <v>40818</v>
      </c>
      <c r="B4122" s="13">
        <v>15703.82</v>
      </c>
    </row>
    <row r="4123" s="6" customFormat="1" spans="1:2">
      <c r="A4123" s="12">
        <f>DATE(2012,12,31)-456</f>
        <v>40818</v>
      </c>
      <c r="B4123" s="13">
        <v>140.69</v>
      </c>
    </row>
    <row r="4124" spans="1:2">
      <c r="A4124" s="14">
        <f>DATE(2012,12,31)-550</f>
        <v>40724</v>
      </c>
      <c r="B4124" s="15">
        <v>2954.14</v>
      </c>
    </row>
    <row r="4125" s="6" customFormat="1" spans="1:2">
      <c r="A4125" s="12">
        <f>DATE(2012,12,31)-550</f>
        <v>40724</v>
      </c>
      <c r="B4125" s="13">
        <v>3375.3075</v>
      </c>
    </row>
    <row r="4126" s="6" customFormat="1" spans="1:2">
      <c r="A4126" s="12">
        <f>DATE(2012,12,31)-1437</f>
        <v>39837</v>
      </c>
      <c r="B4126" s="13">
        <v>6654.39</v>
      </c>
    </row>
    <row r="4127" s="6" customFormat="1" spans="1:2">
      <c r="A4127" s="12">
        <f>DATE(2012,12,31)-1437</f>
        <v>39837</v>
      </c>
      <c r="B4127" s="13">
        <v>4429.69</v>
      </c>
    </row>
    <row r="4128" s="6" customFormat="1" spans="1:2">
      <c r="A4128" s="12">
        <f>DATE(2012,12,31)-1233</f>
        <v>40041</v>
      </c>
      <c r="B4128" s="13">
        <v>29.06</v>
      </c>
    </row>
    <row r="4129" s="6" customFormat="1" spans="1:2">
      <c r="A4129" s="12">
        <f>DATE(2012,12,31)-141</f>
        <v>41133</v>
      </c>
      <c r="B4129" s="13">
        <v>2040.39</v>
      </c>
    </row>
    <row r="4130" s="6" customFormat="1" spans="1:2">
      <c r="A4130" s="12">
        <f>DATE(2012,12,31)-935</f>
        <v>40339</v>
      </c>
      <c r="B4130" s="13">
        <v>2526.54</v>
      </c>
    </row>
    <row r="4131" spans="1:2">
      <c r="A4131" s="14">
        <f>DATE(2012,12,31)-935</f>
        <v>40339</v>
      </c>
      <c r="B4131" s="15">
        <v>162.39</v>
      </c>
    </row>
    <row r="4132" spans="1:2">
      <c r="A4132" s="14">
        <f>DATE(2012,12,31)-1224</f>
        <v>40050</v>
      </c>
      <c r="B4132" s="15">
        <v>2519.55</v>
      </c>
    </row>
    <row r="4133" s="6" customFormat="1" spans="1:2">
      <c r="A4133" s="12">
        <f>DATE(2012,12,31)-1224</f>
        <v>40050</v>
      </c>
      <c r="B4133" s="13">
        <v>150.33</v>
      </c>
    </row>
    <row r="4134" spans="1:2">
      <c r="A4134" s="14">
        <f>DATE(2012,12,31)-1224</f>
        <v>40050</v>
      </c>
      <c r="B4134" s="15">
        <v>1634.17</v>
      </c>
    </row>
    <row r="4135" s="6" customFormat="1" spans="1:2">
      <c r="A4135" s="12">
        <f>DATE(2012,12,31)-455</f>
        <v>40819</v>
      </c>
      <c r="B4135" s="13">
        <v>5122.61</v>
      </c>
    </row>
    <row r="4136" spans="1:2">
      <c r="A4136" s="14">
        <f>DATE(2012,12,31)-142</f>
        <v>41132</v>
      </c>
      <c r="B4136" s="15">
        <v>2850.31</v>
      </c>
    </row>
    <row r="4137" s="6" customFormat="1" spans="1:2">
      <c r="A4137" s="12">
        <f>DATE(2012,12,31)-1344</f>
        <v>39930</v>
      </c>
      <c r="B4137" s="13">
        <v>150.13</v>
      </c>
    </row>
    <row r="4138" spans="1:2">
      <c r="A4138" s="14">
        <f>DATE(2012,12,31)-775</f>
        <v>40499</v>
      </c>
      <c r="B4138" s="15">
        <v>239.35</v>
      </c>
    </row>
    <row r="4139" s="6" customFormat="1" spans="1:2">
      <c r="A4139" s="12">
        <f>DATE(2012,12,31)-775</f>
        <v>40499</v>
      </c>
      <c r="B4139" s="13">
        <v>684.66</v>
      </c>
    </row>
    <row r="4140" s="6" customFormat="1" spans="1:2">
      <c r="A4140" s="12">
        <f>DATE(2012,12,31)-409</f>
        <v>40865</v>
      </c>
      <c r="B4140" s="13">
        <v>157.13</v>
      </c>
    </row>
    <row r="4141" spans="1:2">
      <c r="A4141" s="14">
        <f>DATE(2012,12,31)-409</f>
        <v>40865</v>
      </c>
      <c r="B4141" s="15">
        <v>195.11</v>
      </c>
    </row>
    <row r="4142" s="6" customFormat="1" spans="1:2">
      <c r="A4142" s="12">
        <f>DATE(2012,12,31)-409</f>
        <v>40865</v>
      </c>
      <c r="B4142" s="13">
        <v>2738.785</v>
      </c>
    </row>
    <row r="4143" s="6" customFormat="1" spans="1:2">
      <c r="A4143" s="12">
        <f>DATE(2012,12,31)-409</f>
        <v>40865</v>
      </c>
      <c r="B4143" s="13">
        <v>217.42</v>
      </c>
    </row>
    <row r="4144" s="6" customFormat="1" spans="1:2">
      <c r="A4144" s="12">
        <f>DATE(2012,12,31)-974</f>
        <v>40300</v>
      </c>
      <c r="B4144" s="13">
        <v>4260.73</v>
      </c>
    </row>
    <row r="4145" s="6" customFormat="1" spans="1:2">
      <c r="A4145" s="12">
        <f>DATE(2012,12,31)-718</f>
        <v>40556</v>
      </c>
      <c r="B4145" s="13">
        <v>38.99</v>
      </c>
    </row>
    <row r="4146" s="6" customFormat="1" spans="1:2">
      <c r="A4146" s="12">
        <f>DATE(2012,12,31)-1201</f>
        <v>40073</v>
      </c>
      <c r="B4146" s="13">
        <v>4186.53</v>
      </c>
    </row>
    <row r="4147" s="6" customFormat="1" spans="1:2">
      <c r="A4147" s="12">
        <f>DATE(2012,12,31)-1201</f>
        <v>40073</v>
      </c>
      <c r="B4147" s="13">
        <v>6057.27</v>
      </c>
    </row>
    <row r="4148" s="6" customFormat="1" spans="1:2">
      <c r="A4148" s="12">
        <f>DATE(2012,12,31)-269</f>
        <v>41005</v>
      </c>
      <c r="B4148" s="13">
        <v>67.87</v>
      </c>
    </row>
    <row r="4149" s="6" customFormat="1" spans="1:2">
      <c r="A4149" s="12">
        <f>DATE(2012,12,31)-269</f>
        <v>41005</v>
      </c>
      <c r="B4149" s="13">
        <v>542.24</v>
      </c>
    </row>
    <row r="4150" s="6" customFormat="1" spans="1:2">
      <c r="A4150" s="12">
        <f>DATE(2012,12,31)-269</f>
        <v>41005</v>
      </c>
      <c r="B4150" s="13">
        <v>15174.95</v>
      </c>
    </row>
    <row r="4151" s="6" customFormat="1" spans="1:2">
      <c r="A4151" s="12">
        <f>DATE(2012,12,31)-269</f>
        <v>41005</v>
      </c>
      <c r="B4151" s="13">
        <v>1084.12</v>
      </c>
    </row>
    <row r="4152" s="6" customFormat="1" spans="1:2">
      <c r="A4152" s="12">
        <f>DATE(2012,12,31)-824</f>
        <v>40450</v>
      </c>
      <c r="B4152" s="13">
        <v>2531.35</v>
      </c>
    </row>
    <row r="4153" s="6" customFormat="1" spans="1:2">
      <c r="A4153" s="12">
        <f>DATE(2012,12,31)-320</f>
        <v>40954</v>
      </c>
      <c r="B4153" s="13">
        <v>13367.82</v>
      </c>
    </row>
    <row r="4154" s="6" customFormat="1" spans="1:2">
      <c r="A4154" s="12">
        <f>DATE(2012,12,31)-320</f>
        <v>40954</v>
      </c>
      <c r="B4154" s="13">
        <v>206.2865</v>
      </c>
    </row>
    <row r="4155" s="6" customFormat="1" spans="1:2">
      <c r="A4155" s="12">
        <f>DATE(2012,12,31)-1043</f>
        <v>40231</v>
      </c>
      <c r="B4155" s="13">
        <v>235.12</v>
      </c>
    </row>
    <row r="4156" s="6" customFormat="1" spans="1:2">
      <c r="A4156" s="12">
        <f>DATE(2012,12,31)-1043</f>
        <v>40231</v>
      </c>
      <c r="B4156" s="13">
        <v>1814.82</v>
      </c>
    </row>
    <row r="4157" s="6" customFormat="1" spans="1:2">
      <c r="A4157" s="12">
        <f>DATE(2012,12,31)-997</f>
        <v>40277</v>
      </c>
      <c r="B4157" s="13">
        <v>272.8925</v>
      </c>
    </row>
    <row r="4158" s="6" customFormat="1" spans="1:2">
      <c r="A4158" s="12">
        <f>DATE(2012,12,31)-830</f>
        <v>40444</v>
      </c>
      <c r="B4158" s="13">
        <v>1485.06</v>
      </c>
    </row>
    <row r="4159" spans="1:2">
      <c r="A4159" s="14">
        <f>DATE(2012,12,31)-830</f>
        <v>40444</v>
      </c>
      <c r="B4159" s="15">
        <v>1211.18</v>
      </c>
    </row>
    <row r="4160" s="6" customFormat="1" spans="1:2">
      <c r="A4160" s="12">
        <f>DATE(2012,12,31)-4</f>
        <v>41270</v>
      </c>
      <c r="B4160" s="13">
        <v>45.21</v>
      </c>
    </row>
    <row r="4161" s="6" customFormat="1" spans="1:2">
      <c r="A4161" s="12">
        <f>DATE(2012,12,31)-566</f>
        <v>40708</v>
      </c>
      <c r="B4161" s="13">
        <v>221.13</v>
      </c>
    </row>
    <row r="4162" s="6" customFormat="1" spans="1:2">
      <c r="A4162" s="12">
        <f>DATE(2012,12,31)-566</f>
        <v>40708</v>
      </c>
      <c r="B4162" s="13">
        <v>16.35</v>
      </c>
    </row>
    <row r="4163" s="6" customFormat="1" spans="1:2">
      <c r="A4163" s="12">
        <f>DATE(2012,12,31)-326</f>
        <v>40948</v>
      </c>
      <c r="B4163" s="13">
        <v>3049.632</v>
      </c>
    </row>
    <row r="4164" s="6" customFormat="1" spans="1:2">
      <c r="A4164" s="12">
        <f>DATE(2012,12,31)-326</f>
        <v>40948</v>
      </c>
      <c r="B4164" s="13">
        <v>1274.949</v>
      </c>
    </row>
    <row r="4165" s="6" customFormat="1" spans="1:2">
      <c r="A4165" s="12">
        <f>DATE(2012,12,31)-626</f>
        <v>40648</v>
      </c>
      <c r="B4165" s="13">
        <v>6123.94</v>
      </c>
    </row>
    <row r="4166" s="6" customFormat="1" spans="1:2">
      <c r="A4166" s="12">
        <f>DATE(2012,12,31)-115</f>
        <v>41159</v>
      </c>
      <c r="B4166" s="13">
        <v>495.32</v>
      </c>
    </row>
    <row r="4167" s="6" customFormat="1" spans="1:2">
      <c r="A4167" s="12">
        <f>DATE(2012,12,31)-115</f>
        <v>41159</v>
      </c>
      <c r="B4167" s="13">
        <v>2483.53</v>
      </c>
    </row>
    <row r="4168" s="6" customFormat="1" spans="1:2">
      <c r="A4168" s="12">
        <f>DATE(2012,12,31)-115</f>
        <v>41159</v>
      </c>
      <c r="B4168" s="13">
        <v>967.41</v>
      </c>
    </row>
    <row r="4169" s="6" customFormat="1" spans="1:2">
      <c r="A4169" s="12">
        <f>DATE(2012,12,31)-103</f>
        <v>41171</v>
      </c>
      <c r="B4169" s="13">
        <v>318.56</v>
      </c>
    </row>
    <row r="4170" spans="1:2">
      <c r="A4170" s="14">
        <f>DATE(2012,12,31)-618</f>
        <v>40656</v>
      </c>
      <c r="B4170" s="15">
        <v>223.2</v>
      </c>
    </row>
    <row r="4171" s="6" customFormat="1" spans="1:2">
      <c r="A4171" s="12">
        <f>DATE(2012,12,31)-547</f>
        <v>40727</v>
      </c>
      <c r="B4171" s="13">
        <v>27720.98</v>
      </c>
    </row>
    <row r="4172" s="6" customFormat="1" spans="1:2">
      <c r="A4172" s="12">
        <f>DATE(2012,12,31)-547</f>
        <v>40727</v>
      </c>
      <c r="B4172" s="13">
        <v>520.13</v>
      </c>
    </row>
    <row r="4173" s="6" customFormat="1" spans="1:2">
      <c r="A4173" s="12">
        <f>DATE(2012,12,31)-942</f>
        <v>40332</v>
      </c>
      <c r="B4173" s="13">
        <v>2657.56</v>
      </c>
    </row>
    <row r="4174" s="6" customFormat="1" spans="1:2">
      <c r="A4174" s="12">
        <f>DATE(2012,12,31)-350</f>
        <v>40924</v>
      </c>
      <c r="B4174" s="13">
        <v>792.21</v>
      </c>
    </row>
    <row r="4175" spans="1:2">
      <c r="A4175" s="14">
        <f>DATE(2012,12,31)-293</f>
        <v>40981</v>
      </c>
      <c r="B4175" s="15">
        <v>240.74</v>
      </c>
    </row>
    <row r="4176" s="6" customFormat="1" spans="1:2">
      <c r="A4176" s="12">
        <f>DATE(2012,12,31)-1288</f>
        <v>39986</v>
      </c>
      <c r="B4176" s="13">
        <v>96.01</v>
      </c>
    </row>
    <row r="4177" s="6" customFormat="1" spans="1:2">
      <c r="A4177" s="12">
        <f>DATE(2012,12,31)-1316</f>
        <v>39958</v>
      </c>
      <c r="B4177" s="13">
        <v>598.19</v>
      </c>
    </row>
    <row r="4178" s="6" customFormat="1" spans="1:2">
      <c r="A4178" s="12">
        <f>DATE(2012,12,31)-624</f>
        <v>40650</v>
      </c>
      <c r="B4178" s="13">
        <v>22.37</v>
      </c>
    </row>
    <row r="4179" s="6" customFormat="1" spans="1:2">
      <c r="A4179" s="12">
        <f>DATE(2012,12,31)-367</f>
        <v>40907</v>
      </c>
      <c r="B4179" s="13">
        <v>362.75</v>
      </c>
    </row>
    <row r="4180" s="6" customFormat="1" spans="1:2">
      <c r="A4180" s="12">
        <f>DATE(2012,12,31)-367</f>
        <v>40907</v>
      </c>
      <c r="B4180" s="13">
        <v>155.86</v>
      </c>
    </row>
    <row r="4181" spans="1:2">
      <c r="A4181" s="14">
        <f>DATE(2012,12,31)-1256</f>
        <v>40018</v>
      </c>
      <c r="B4181" s="15">
        <v>215.31</v>
      </c>
    </row>
    <row r="4182" s="6" customFormat="1" spans="1:2">
      <c r="A4182" s="12">
        <f>DATE(2012,12,31)-1015</f>
        <v>40259</v>
      </c>
      <c r="B4182" s="13">
        <v>1511.7</v>
      </c>
    </row>
    <row r="4183" s="6" customFormat="1" spans="1:2">
      <c r="A4183" s="12">
        <f>DATE(2012,12,31)-1000</f>
        <v>40274</v>
      </c>
      <c r="B4183" s="13">
        <v>30.35</v>
      </c>
    </row>
    <row r="4184" s="6" customFormat="1" spans="1:2">
      <c r="A4184" s="12">
        <f>DATE(2012,12,31)-929</f>
        <v>40345</v>
      </c>
      <c r="B4184" s="13">
        <v>3072.86</v>
      </c>
    </row>
    <row r="4185" s="6" customFormat="1" spans="1:2">
      <c r="A4185" s="12">
        <f>DATE(2012,12,31)-181</f>
        <v>41093</v>
      </c>
      <c r="B4185" s="13">
        <v>1463.105</v>
      </c>
    </row>
    <row r="4186" s="6" customFormat="1" spans="1:2">
      <c r="A4186" s="12">
        <f>DATE(2012,12,31)-181</f>
        <v>41093</v>
      </c>
      <c r="B4186" s="13">
        <v>1085.4</v>
      </c>
    </row>
    <row r="4187" s="6" customFormat="1" spans="1:2">
      <c r="A4187" s="12">
        <f>DATE(2012,12,31)-181</f>
        <v>41093</v>
      </c>
      <c r="B4187" s="13">
        <v>123.67</v>
      </c>
    </row>
    <row r="4188" spans="1:2">
      <c r="A4188" s="14">
        <f>DATE(2012,12,31)-881</f>
        <v>40393</v>
      </c>
      <c r="B4188" s="15">
        <v>22.45</v>
      </c>
    </row>
    <row r="4189" s="6" customFormat="1" spans="1:2">
      <c r="A4189" s="12">
        <f>DATE(2012,12,31)-881</f>
        <v>40393</v>
      </c>
      <c r="B4189" s="13">
        <v>3268.56</v>
      </c>
    </row>
    <row r="4190" s="6" customFormat="1" spans="1:2">
      <c r="A4190" s="12">
        <f>DATE(2012,12,31)-162</f>
        <v>41112</v>
      </c>
      <c r="B4190" s="13">
        <v>165.09</v>
      </c>
    </row>
    <row r="4191" s="6" customFormat="1" spans="1:2">
      <c r="A4191" s="12">
        <f>DATE(2012,12,31)-1381</f>
        <v>39893</v>
      </c>
      <c r="B4191" s="13">
        <v>89061.05</v>
      </c>
    </row>
    <row r="4192" s="6" customFormat="1" spans="1:2">
      <c r="A4192" s="12">
        <f>DATE(2012,12,31)-1381</f>
        <v>39893</v>
      </c>
      <c r="B4192" s="13">
        <v>6636.664</v>
      </c>
    </row>
    <row r="4193" s="6" customFormat="1" spans="1:2">
      <c r="A4193" s="12">
        <f>DATE(2012,12,31)-695</f>
        <v>40579</v>
      </c>
      <c r="B4193" s="13">
        <v>4153.06</v>
      </c>
    </row>
    <row r="4194" s="6" customFormat="1" spans="1:2">
      <c r="A4194" s="12">
        <f>DATE(2012,12,31)-402</f>
        <v>40872</v>
      </c>
      <c r="B4194" s="13">
        <v>19325.2</v>
      </c>
    </row>
    <row r="4195" s="6" customFormat="1" spans="1:2">
      <c r="A4195" s="12">
        <f>DATE(2012,12,31)-402</f>
        <v>40872</v>
      </c>
      <c r="B4195" s="13">
        <v>8380.22</v>
      </c>
    </row>
    <row r="4196" s="6" customFormat="1" spans="1:2">
      <c r="A4196" s="12">
        <f>DATE(2012,12,31)-919</f>
        <v>40355</v>
      </c>
      <c r="B4196" s="13">
        <v>742.05</v>
      </c>
    </row>
    <row r="4197" s="6" customFormat="1" spans="1:2">
      <c r="A4197" s="12">
        <f>DATE(2012,12,31)-1194</f>
        <v>40080</v>
      </c>
      <c r="B4197" s="13">
        <v>157.63</v>
      </c>
    </row>
    <row r="4198" s="6" customFormat="1" spans="1:2">
      <c r="A4198" s="12">
        <f>DATE(2012,12,31)-536</f>
        <v>40738</v>
      </c>
      <c r="B4198" s="13">
        <v>926.65</v>
      </c>
    </row>
    <row r="4199" s="6" customFormat="1" spans="1:2">
      <c r="A4199" s="12">
        <f>DATE(2012,12,31)-277</f>
        <v>40997</v>
      </c>
      <c r="B4199" s="13">
        <v>2175.22</v>
      </c>
    </row>
    <row r="4200" s="6" customFormat="1" spans="1:2">
      <c r="A4200" s="12">
        <f>DATE(2012,12,31)-206</f>
        <v>41068</v>
      </c>
      <c r="B4200" s="13">
        <v>115.54</v>
      </c>
    </row>
    <row r="4201" s="6" customFormat="1" spans="1:2">
      <c r="A4201" s="12">
        <f>DATE(2012,12,31)-1115</f>
        <v>40159</v>
      </c>
      <c r="B4201" s="13">
        <v>5572.92</v>
      </c>
    </row>
    <row r="4202" s="6" customFormat="1" spans="1:2">
      <c r="A4202" s="12">
        <f>DATE(2012,12,31)-1205</f>
        <v>40069</v>
      </c>
      <c r="B4202" s="13">
        <v>8295.29</v>
      </c>
    </row>
    <row r="4203" s="6" customFormat="1" spans="1:2">
      <c r="A4203" s="12">
        <f>DATE(2012,12,31)-250</f>
        <v>41024</v>
      </c>
      <c r="B4203" s="13">
        <v>35.17</v>
      </c>
    </row>
    <row r="4204" s="6" customFormat="1" spans="1:2">
      <c r="A4204" s="12">
        <f>DATE(2012,12,31)-561</f>
        <v>40713</v>
      </c>
      <c r="B4204" s="13">
        <v>214.64</v>
      </c>
    </row>
    <row r="4205" spans="1:2">
      <c r="A4205" s="14">
        <f>DATE(2012,12,31)-1123</f>
        <v>40151</v>
      </c>
      <c r="B4205" s="15">
        <v>243.5</v>
      </c>
    </row>
    <row r="4206" s="6" customFormat="1" spans="1:2">
      <c r="A4206" s="12">
        <f>DATE(2012,12,31)-198</f>
        <v>41076</v>
      </c>
      <c r="B4206" s="13">
        <v>5452.9</v>
      </c>
    </row>
    <row r="4207" s="6" customFormat="1" spans="1:2">
      <c r="A4207" s="12">
        <f>DATE(2012,12,31)-846</f>
        <v>40428</v>
      </c>
      <c r="B4207" s="13">
        <v>606.98</v>
      </c>
    </row>
    <row r="4208" spans="1:2">
      <c r="A4208" s="14">
        <f>DATE(2012,12,31)-846</f>
        <v>40428</v>
      </c>
      <c r="B4208" s="15">
        <v>301.62</v>
      </c>
    </row>
    <row r="4209" s="6" customFormat="1" spans="1:2">
      <c r="A4209" s="12">
        <f>DATE(2012,12,31)-803</f>
        <v>40471</v>
      </c>
      <c r="B4209" s="13">
        <v>7286.65</v>
      </c>
    </row>
    <row r="4210" s="6" customFormat="1" spans="1:2">
      <c r="A4210" s="12">
        <f>DATE(2012,12,31)-283</f>
        <v>40991</v>
      </c>
      <c r="B4210" s="13">
        <v>3977.97</v>
      </c>
    </row>
    <row r="4211" s="6" customFormat="1" spans="1:2">
      <c r="A4211" s="12">
        <f>DATE(2012,12,31)-284</f>
        <v>40990</v>
      </c>
      <c r="B4211" s="13">
        <v>20.21</v>
      </c>
    </row>
    <row r="4212" s="6" customFormat="1" spans="1:2">
      <c r="A4212" s="12">
        <f>DATE(2012,12,31)-54</f>
        <v>41220</v>
      </c>
      <c r="B4212" s="13">
        <v>257.97</v>
      </c>
    </row>
    <row r="4213" s="6" customFormat="1" spans="1:2">
      <c r="A4213" s="12">
        <f>DATE(2012,12,31)-693</f>
        <v>40581</v>
      </c>
      <c r="B4213" s="13">
        <v>619.77</v>
      </c>
    </row>
    <row r="4214" s="6" customFormat="1" spans="1:2">
      <c r="A4214" s="12">
        <f>DATE(2012,12,31)-1235</f>
        <v>40039</v>
      </c>
      <c r="B4214" s="13">
        <v>80.33</v>
      </c>
    </row>
    <row r="4215" s="6" customFormat="1" spans="1:2">
      <c r="A4215" s="12">
        <f>DATE(2012,12,31)-1024</f>
        <v>40250</v>
      </c>
      <c r="B4215" s="13">
        <v>2555.37</v>
      </c>
    </row>
    <row r="4216" spans="1:2">
      <c r="A4216" s="14">
        <f>DATE(2012,12,31)-1024</f>
        <v>40250</v>
      </c>
      <c r="B4216" s="15">
        <v>1447.62</v>
      </c>
    </row>
    <row r="4217" s="6" customFormat="1" spans="1:2">
      <c r="A4217" s="12">
        <f>DATE(2012,12,31)-725</f>
        <v>40549</v>
      </c>
      <c r="B4217" s="13">
        <v>307.57</v>
      </c>
    </row>
    <row r="4218" s="6" customFormat="1" spans="1:2">
      <c r="A4218" s="12">
        <f>DATE(2012,12,31)-725</f>
        <v>40549</v>
      </c>
      <c r="B4218" s="13">
        <v>14861.07</v>
      </c>
    </row>
    <row r="4219" spans="1:2">
      <c r="A4219" s="14">
        <f>DATE(2012,12,31)-173</f>
        <v>41101</v>
      </c>
      <c r="B4219" s="15">
        <v>24.51</v>
      </c>
    </row>
    <row r="4220" s="6" customFormat="1" spans="1:2">
      <c r="A4220" s="12">
        <f>DATE(2012,12,31)-173</f>
        <v>41101</v>
      </c>
      <c r="B4220" s="13">
        <v>196.75</v>
      </c>
    </row>
    <row r="4221" s="6" customFormat="1" spans="1:2">
      <c r="A4221" s="12">
        <f>DATE(2012,12,31)-547</f>
        <v>40727</v>
      </c>
      <c r="B4221" s="13">
        <v>1477.39</v>
      </c>
    </row>
    <row r="4222" s="6" customFormat="1" spans="1:2">
      <c r="A4222" s="12">
        <f>DATE(2012,12,31)-1298</f>
        <v>39976</v>
      </c>
      <c r="B4222" s="13">
        <v>5177.4</v>
      </c>
    </row>
    <row r="4223" s="6" customFormat="1" spans="1:2">
      <c r="A4223" s="12">
        <f>DATE(2012,12,31)-87</f>
        <v>41187</v>
      </c>
      <c r="B4223" s="13">
        <v>123.11</v>
      </c>
    </row>
    <row r="4224" spans="1:2">
      <c r="A4224" s="14">
        <f>DATE(2012,12,31)-1458</f>
        <v>39816</v>
      </c>
      <c r="B4224" s="15">
        <v>85.56</v>
      </c>
    </row>
    <row r="4225" s="6" customFormat="1" spans="1:2">
      <c r="A4225" s="12">
        <f>DATE(2012,12,31)-1458</f>
        <v>39816</v>
      </c>
      <c r="B4225" s="13">
        <v>754.6555</v>
      </c>
    </row>
    <row r="4226" s="6" customFormat="1" spans="1:2">
      <c r="A4226" s="12">
        <f>DATE(2012,12,31)-808</f>
        <v>40466</v>
      </c>
      <c r="B4226" s="13">
        <v>16193.16</v>
      </c>
    </row>
    <row r="4227" spans="1:2">
      <c r="A4227" s="14">
        <f>DATE(2012,12,31)-808</f>
        <v>40466</v>
      </c>
      <c r="B4227" s="15">
        <v>157.33</v>
      </c>
    </row>
    <row r="4228" s="6" customFormat="1" spans="1:2">
      <c r="A4228" s="12">
        <f>DATE(2012,12,31)-808</f>
        <v>40466</v>
      </c>
      <c r="B4228" s="13">
        <v>10253.75</v>
      </c>
    </row>
    <row r="4229" s="6" customFormat="1" spans="1:2">
      <c r="A4229" s="12">
        <f>DATE(2012,12,31)-808</f>
        <v>40466</v>
      </c>
      <c r="B4229" s="13">
        <v>840.24</v>
      </c>
    </row>
    <row r="4230" spans="1:2">
      <c r="A4230" s="14">
        <f>DATE(2012,12,31)-567</f>
        <v>40707</v>
      </c>
      <c r="B4230" s="15">
        <v>7765.13</v>
      </c>
    </row>
    <row r="4231" s="6" customFormat="1" spans="1:2">
      <c r="A4231" s="12">
        <f>DATE(2012,12,31)-286</f>
        <v>40988</v>
      </c>
      <c r="B4231" s="13">
        <v>243.06</v>
      </c>
    </row>
    <row r="4232" s="6" customFormat="1" spans="1:2">
      <c r="A4232" s="12">
        <f>DATE(2012,12,31)-1429</f>
        <v>39845</v>
      </c>
      <c r="B4232" s="13">
        <v>3279.01</v>
      </c>
    </row>
    <row r="4233" s="6" customFormat="1" spans="1:2">
      <c r="A4233" s="12">
        <f>DATE(2012,12,31)-121</f>
        <v>41153</v>
      </c>
      <c r="B4233" s="13">
        <v>311.19</v>
      </c>
    </row>
    <row r="4234" s="6" customFormat="1" spans="1:2">
      <c r="A4234" s="12">
        <f>DATE(2012,12,31)-380</f>
        <v>40894</v>
      </c>
      <c r="B4234" s="13">
        <v>213.49</v>
      </c>
    </row>
    <row r="4235" s="6" customFormat="1" spans="1:2">
      <c r="A4235" s="12">
        <f>DATE(2012,12,31)-1453</f>
        <v>39821</v>
      </c>
      <c r="B4235" s="13">
        <v>324.28</v>
      </c>
    </row>
    <row r="4236" s="6" customFormat="1" spans="1:2">
      <c r="A4236" s="12">
        <f>DATE(2012,12,31)-868</f>
        <v>40406</v>
      </c>
      <c r="B4236" s="13">
        <v>4667.28</v>
      </c>
    </row>
    <row r="4237" s="6" customFormat="1" spans="1:2">
      <c r="A4237" s="12">
        <f>DATE(2012,12,31)-513</f>
        <v>40761</v>
      </c>
      <c r="B4237" s="13">
        <v>5503.39</v>
      </c>
    </row>
    <row r="4238" s="6" customFormat="1" spans="1:2">
      <c r="A4238" s="12">
        <f>DATE(2012,12,31)-197</f>
        <v>41077</v>
      </c>
      <c r="B4238" s="13">
        <v>740.14</v>
      </c>
    </row>
    <row r="4239" s="6" customFormat="1" spans="1:2">
      <c r="A4239" s="12">
        <f>DATE(2012,12,31)-750</f>
        <v>40524</v>
      </c>
      <c r="B4239" s="13">
        <v>16.47</v>
      </c>
    </row>
    <row r="4240" s="6" customFormat="1" spans="1:2">
      <c r="A4240" s="12">
        <f>DATE(2012,12,31)-750</f>
        <v>40524</v>
      </c>
      <c r="B4240" s="13">
        <v>173.62</v>
      </c>
    </row>
    <row r="4241" s="6" customFormat="1" spans="1:2">
      <c r="A4241" s="12">
        <f>DATE(2012,12,31)-750</f>
        <v>40524</v>
      </c>
      <c r="B4241" s="13">
        <v>690.97</v>
      </c>
    </row>
    <row r="4242" spans="1:2">
      <c r="A4242" s="14">
        <f>DATE(2012,12,31)-819</f>
        <v>40455</v>
      </c>
      <c r="B4242" s="15">
        <v>443.46</v>
      </c>
    </row>
    <row r="4243" spans="1:2">
      <c r="A4243" s="14">
        <f>DATE(2012,12,31)-702</f>
        <v>40572</v>
      </c>
      <c r="B4243" s="15">
        <v>792.76</v>
      </c>
    </row>
    <row r="4244" s="6" customFormat="1" spans="1:2">
      <c r="A4244" s="12">
        <f>DATE(2012,12,31)-1352</f>
        <v>39922</v>
      </c>
      <c r="B4244" s="13">
        <v>2504.41</v>
      </c>
    </row>
    <row r="4245" s="6" customFormat="1" spans="1:2">
      <c r="A4245" s="12">
        <f>DATE(2012,12,31)-168</f>
        <v>41106</v>
      </c>
      <c r="B4245" s="13">
        <v>1752.0965</v>
      </c>
    </row>
    <row r="4246" s="6" customFormat="1" spans="1:2">
      <c r="A4246" s="12">
        <f>DATE(2012,12,31)-938</f>
        <v>40336</v>
      </c>
      <c r="B4246" s="13">
        <v>141.96</v>
      </c>
    </row>
    <row r="4247" s="6" customFormat="1" spans="1:2">
      <c r="A4247" s="12">
        <f>DATE(2012,12,31)-1184</f>
        <v>40090</v>
      </c>
      <c r="B4247" s="13">
        <v>375.61</v>
      </c>
    </row>
    <row r="4248" s="6" customFormat="1" spans="1:2">
      <c r="A4248" s="12">
        <f>DATE(2012,12,31)-1404</f>
        <v>39870</v>
      </c>
      <c r="B4248" s="13">
        <v>3637.728</v>
      </c>
    </row>
    <row r="4249" spans="1:2">
      <c r="A4249" s="14">
        <f>DATE(2012,12,31)-1404</f>
        <v>39870</v>
      </c>
      <c r="B4249" s="15">
        <v>125.84</v>
      </c>
    </row>
    <row r="4250" spans="1:2">
      <c r="A4250" s="14">
        <f>DATE(2012,12,31)-971</f>
        <v>40303</v>
      </c>
      <c r="B4250" s="15">
        <v>2435.32</v>
      </c>
    </row>
    <row r="4251" s="6" customFormat="1" spans="1:2">
      <c r="A4251" s="12">
        <f>DATE(2012,12,31)-971</f>
        <v>40303</v>
      </c>
      <c r="B4251" s="13">
        <v>4242.76</v>
      </c>
    </row>
    <row r="4252" s="6" customFormat="1" spans="1:2">
      <c r="A4252" s="12">
        <f>DATE(2012,12,31)-493</f>
        <v>40781</v>
      </c>
      <c r="B4252" s="13">
        <v>1453.704</v>
      </c>
    </row>
    <row r="4253" s="6" customFormat="1" spans="1:2">
      <c r="A4253" s="12">
        <f>DATE(2012,12,31)-493</f>
        <v>40781</v>
      </c>
      <c r="B4253" s="13">
        <v>7656.304</v>
      </c>
    </row>
    <row r="4254" s="6" customFormat="1" spans="1:2">
      <c r="A4254" s="12">
        <f>DATE(2012,12,31)-1188</f>
        <v>40086</v>
      </c>
      <c r="B4254" s="13">
        <v>2860.93</v>
      </c>
    </row>
    <row r="4255" spans="1:2">
      <c r="A4255" s="14">
        <f>DATE(2012,12,31)-390</f>
        <v>40884</v>
      </c>
      <c r="B4255" s="15">
        <v>1412.98</v>
      </c>
    </row>
    <row r="4256" s="6" customFormat="1" spans="1:2">
      <c r="A4256" s="12">
        <f>DATE(2012,12,31)-390</f>
        <v>40884</v>
      </c>
      <c r="B4256" s="13">
        <v>19539.94</v>
      </c>
    </row>
    <row r="4257" s="6" customFormat="1" spans="1:2">
      <c r="A4257" s="12">
        <f>DATE(2012,12,31)-1016</f>
        <v>40258</v>
      </c>
      <c r="B4257" s="13">
        <v>30.38</v>
      </c>
    </row>
    <row r="4258" s="6" customFormat="1" spans="1:2">
      <c r="A4258" s="12">
        <f>DATE(2012,12,31)-249</f>
        <v>41025</v>
      </c>
      <c r="B4258" s="13">
        <v>2024.0285</v>
      </c>
    </row>
    <row r="4259" s="6" customFormat="1" spans="1:2">
      <c r="A4259" s="12">
        <f>DATE(2012,12,31)-1067</f>
        <v>40207</v>
      </c>
      <c r="B4259" s="13">
        <v>5155.07</v>
      </c>
    </row>
    <row r="4260" s="6" customFormat="1" spans="1:2">
      <c r="A4260" s="12">
        <f>DATE(2012,12,31)-1430</f>
        <v>39844</v>
      </c>
      <c r="B4260" s="13">
        <v>6244.18</v>
      </c>
    </row>
    <row r="4261" s="6" customFormat="1" spans="1:2">
      <c r="A4261" s="12">
        <f>DATE(2012,12,31)-1430</f>
        <v>39844</v>
      </c>
      <c r="B4261" s="13">
        <v>239.75</v>
      </c>
    </row>
    <row r="4262" s="6" customFormat="1" spans="1:2">
      <c r="A4262" s="12">
        <f>DATE(2012,12,31)-1430</f>
        <v>39844</v>
      </c>
      <c r="B4262" s="13">
        <v>150.2</v>
      </c>
    </row>
    <row r="4263" s="6" customFormat="1" spans="1:2">
      <c r="A4263" s="12">
        <f>DATE(2012,12,31)-224</f>
        <v>41050</v>
      </c>
      <c r="B4263" s="13">
        <v>1556.42</v>
      </c>
    </row>
    <row r="4264" s="6" customFormat="1" spans="1:2">
      <c r="A4264" s="12">
        <f>DATE(2012,12,31)-224</f>
        <v>41050</v>
      </c>
      <c r="B4264" s="13">
        <v>130.28</v>
      </c>
    </row>
    <row r="4265" s="6" customFormat="1" spans="1:2">
      <c r="A4265" s="12">
        <f>DATE(2012,12,31)-224</f>
        <v>41050</v>
      </c>
      <c r="B4265" s="13">
        <v>41343.21</v>
      </c>
    </row>
    <row r="4266" spans="1:2">
      <c r="A4266" s="14">
        <f>DATE(2012,12,31)-648</f>
        <v>40626</v>
      </c>
      <c r="B4266" s="15">
        <v>76.81</v>
      </c>
    </row>
    <row r="4267" spans="1:2">
      <c r="A4267" s="14">
        <f>DATE(2012,12,31)-648</f>
        <v>40626</v>
      </c>
      <c r="B4267" s="15">
        <v>174.22</v>
      </c>
    </row>
    <row r="4268" s="6" customFormat="1" spans="1:2">
      <c r="A4268" s="12">
        <f>DATE(2012,12,31)-854</f>
        <v>40420</v>
      </c>
      <c r="B4268" s="13">
        <v>14.4</v>
      </c>
    </row>
    <row r="4269" s="6" customFormat="1" spans="1:2">
      <c r="A4269" s="12">
        <f>DATE(2012,12,31)-1016</f>
        <v>40258</v>
      </c>
      <c r="B4269" s="13">
        <v>709.54</v>
      </c>
    </row>
    <row r="4270" s="6" customFormat="1" spans="1:2">
      <c r="A4270" s="12">
        <f>DATE(2012,12,31)-1016</f>
        <v>40258</v>
      </c>
      <c r="B4270" s="13">
        <v>1220.08</v>
      </c>
    </row>
    <row r="4271" s="6" customFormat="1" spans="1:2">
      <c r="A4271" s="12">
        <f>DATE(2012,12,31)-242</f>
        <v>41032</v>
      </c>
      <c r="B4271" s="13">
        <v>71.45</v>
      </c>
    </row>
    <row r="4272" s="6" customFormat="1" spans="1:2">
      <c r="A4272" s="12">
        <f>DATE(2012,12,31)-74</f>
        <v>41200</v>
      </c>
      <c r="B4272" s="13">
        <v>239.4</v>
      </c>
    </row>
    <row r="4273" s="6" customFormat="1" spans="1:2">
      <c r="A4273" s="12">
        <f>DATE(2012,12,31)-174</f>
        <v>41100</v>
      </c>
      <c r="B4273" s="13">
        <v>305.01</v>
      </c>
    </row>
    <row r="4274" s="6" customFormat="1" spans="1:2">
      <c r="A4274" s="12">
        <f>DATE(2012,12,31)-174</f>
        <v>41100</v>
      </c>
      <c r="B4274" s="13">
        <v>3583.52</v>
      </c>
    </row>
    <row r="4275" s="6" customFormat="1" spans="1:2">
      <c r="A4275" s="12">
        <f>DATE(2012,12,31)-247</f>
        <v>41027</v>
      </c>
      <c r="B4275" s="13">
        <v>2789.03</v>
      </c>
    </row>
    <row r="4276" s="6" customFormat="1" spans="1:2">
      <c r="A4276" s="12">
        <f>DATE(2012,12,31)-1354</f>
        <v>39920</v>
      </c>
      <c r="B4276" s="13">
        <v>17853.64</v>
      </c>
    </row>
    <row r="4277" s="6" customFormat="1" spans="1:2">
      <c r="A4277" s="12">
        <f>DATE(2012,12,31)-936</f>
        <v>40338</v>
      </c>
      <c r="B4277" s="13">
        <v>253.38</v>
      </c>
    </row>
    <row r="4278" s="6" customFormat="1" spans="1:2">
      <c r="A4278" s="12">
        <f>DATE(2012,12,31)-177</f>
        <v>41097</v>
      </c>
      <c r="B4278" s="13">
        <v>121.19</v>
      </c>
    </row>
    <row r="4279" s="6" customFormat="1" spans="1:2">
      <c r="A4279" s="12">
        <f>DATE(2012,12,31)-1234</f>
        <v>40040</v>
      </c>
      <c r="B4279" s="13">
        <v>2019.65</v>
      </c>
    </row>
    <row r="4280" s="6" customFormat="1" spans="1:2">
      <c r="A4280" s="12">
        <f>DATE(2012,12,31)-6</f>
        <v>41268</v>
      </c>
      <c r="B4280" s="13">
        <v>304.26</v>
      </c>
    </row>
    <row r="4281" s="6" customFormat="1" spans="1:2">
      <c r="A4281" s="12">
        <f>DATE(2012,12,31)-694</f>
        <v>40580</v>
      </c>
      <c r="B4281" s="13">
        <v>706.91</v>
      </c>
    </row>
    <row r="4282" s="6" customFormat="1" spans="1:2">
      <c r="A4282" s="12">
        <f>DATE(2012,12,31)-694</f>
        <v>40580</v>
      </c>
      <c r="B4282" s="13">
        <v>190.06</v>
      </c>
    </row>
    <row r="4283" spans="1:2">
      <c r="A4283" s="14">
        <f>DATE(2012,12,31)-62</f>
        <v>41212</v>
      </c>
      <c r="B4283" s="15">
        <v>92.06</v>
      </c>
    </row>
    <row r="4284" spans="1:2">
      <c r="A4284" s="14">
        <f>DATE(2012,12,31)-62</f>
        <v>41212</v>
      </c>
      <c r="B4284" s="15">
        <v>199.62</v>
      </c>
    </row>
    <row r="4285" s="6" customFormat="1" spans="1:2">
      <c r="A4285" s="12">
        <f>DATE(2012,12,31)-401</f>
        <v>40873</v>
      </c>
      <c r="B4285" s="13">
        <v>431.37</v>
      </c>
    </row>
    <row r="4286" s="6" customFormat="1" spans="1:2">
      <c r="A4286" s="12">
        <f>DATE(2012,12,31)-401</f>
        <v>40873</v>
      </c>
      <c r="B4286" s="13">
        <v>262.31</v>
      </c>
    </row>
    <row r="4287" s="6" customFormat="1" spans="1:2">
      <c r="A4287" s="12">
        <f>DATE(2012,12,31)-401</f>
        <v>40873</v>
      </c>
      <c r="B4287" s="13">
        <v>514.03</v>
      </c>
    </row>
    <row r="4288" s="6" customFormat="1" spans="1:2">
      <c r="A4288" s="12">
        <f>DATE(2012,12,31)-401</f>
        <v>40873</v>
      </c>
      <c r="B4288" s="13">
        <v>1696.7</v>
      </c>
    </row>
    <row r="4289" s="6" customFormat="1" spans="1:2">
      <c r="A4289" s="12">
        <f>DATE(2012,12,31)-1404</f>
        <v>39870</v>
      </c>
      <c r="B4289" s="13">
        <v>606.3985</v>
      </c>
    </row>
    <row r="4290" s="6" customFormat="1" spans="1:2">
      <c r="A4290" s="12">
        <f>DATE(2012,12,31)-524</f>
        <v>40750</v>
      </c>
      <c r="B4290" s="13">
        <v>1785.02</v>
      </c>
    </row>
    <row r="4291" s="6" customFormat="1" spans="1:2">
      <c r="A4291" s="12">
        <f>DATE(2012,12,31)-549</f>
        <v>40725</v>
      </c>
      <c r="B4291" s="13">
        <v>225.45</v>
      </c>
    </row>
    <row r="4292" s="6" customFormat="1" spans="1:2">
      <c r="A4292" s="12">
        <f>DATE(2012,12,31)-1447</f>
        <v>39827</v>
      </c>
      <c r="B4292" s="13">
        <v>2690.84</v>
      </c>
    </row>
    <row r="4293" s="6" customFormat="1" spans="1:2">
      <c r="A4293" s="12">
        <f>DATE(2012,12,31)-1447</f>
        <v>39827</v>
      </c>
      <c r="B4293" s="13">
        <v>733.55</v>
      </c>
    </row>
    <row r="4294" s="6" customFormat="1" spans="1:2">
      <c r="A4294" s="12">
        <f>DATE(2012,12,31)-1447</f>
        <v>39827</v>
      </c>
      <c r="B4294" s="13">
        <v>38.71</v>
      </c>
    </row>
    <row r="4295" s="6" customFormat="1" spans="1:2">
      <c r="A4295" s="12">
        <f>DATE(2012,12,31)-1447</f>
        <v>39827</v>
      </c>
      <c r="B4295" s="13">
        <v>62.6</v>
      </c>
    </row>
    <row r="4296" s="6" customFormat="1" spans="1:2">
      <c r="A4296" s="12">
        <f>DATE(2012,12,31)-525</f>
        <v>40749</v>
      </c>
      <c r="B4296" s="13">
        <v>97.65</v>
      </c>
    </row>
    <row r="4297" spans="1:2">
      <c r="A4297" s="14">
        <f>DATE(2012,12,31)-525</f>
        <v>40749</v>
      </c>
      <c r="B4297" s="15">
        <v>1408.34</v>
      </c>
    </row>
    <row r="4298" s="6" customFormat="1" spans="1:2">
      <c r="A4298" s="12">
        <f>DATE(2012,12,31)-148</f>
        <v>41126</v>
      </c>
      <c r="B4298" s="13">
        <v>93.02</v>
      </c>
    </row>
    <row r="4299" s="6" customFormat="1" spans="1:2">
      <c r="A4299" s="12">
        <f>DATE(2012,12,31)-148</f>
        <v>41126</v>
      </c>
      <c r="B4299" s="13">
        <v>639.84</v>
      </c>
    </row>
    <row r="4300" s="6" customFormat="1" spans="1:2">
      <c r="A4300" s="12">
        <f>DATE(2012,12,31)-325</f>
        <v>40949</v>
      </c>
      <c r="B4300" s="13">
        <v>105.93</v>
      </c>
    </row>
    <row r="4301" spans="1:2">
      <c r="A4301" s="14">
        <f>DATE(2012,12,31)-1057</f>
        <v>40217</v>
      </c>
      <c r="B4301" s="15">
        <v>478.94</v>
      </c>
    </row>
    <row r="4302" s="6" customFormat="1" spans="1:2">
      <c r="A4302" s="12">
        <f>DATE(2012,12,31)-1057</f>
        <v>40217</v>
      </c>
      <c r="B4302" s="13">
        <v>2429.09</v>
      </c>
    </row>
    <row r="4303" spans="1:2">
      <c r="A4303" s="14">
        <f>DATE(2012,12,31)-616</f>
        <v>40658</v>
      </c>
      <c r="B4303" s="15">
        <v>220.82</v>
      </c>
    </row>
    <row r="4304" s="6" customFormat="1" spans="1:2">
      <c r="A4304" s="12">
        <f>DATE(2012,12,31)-601</f>
        <v>40673</v>
      </c>
      <c r="B4304" s="13">
        <v>273.38</v>
      </c>
    </row>
    <row r="4305" s="6" customFormat="1" spans="1:2">
      <c r="A4305" s="12">
        <f>DATE(2012,12,31)-601</f>
        <v>40673</v>
      </c>
      <c r="B4305" s="13">
        <v>179.66</v>
      </c>
    </row>
    <row r="4306" s="6" customFormat="1" spans="1:2">
      <c r="A4306" s="12">
        <f>DATE(2012,12,31)-646</f>
        <v>40628</v>
      </c>
      <c r="B4306" s="13">
        <v>17387.65</v>
      </c>
    </row>
    <row r="4307" s="6" customFormat="1" spans="1:2">
      <c r="A4307" s="12">
        <f>DATE(2012,12,31)-646</f>
        <v>40628</v>
      </c>
      <c r="B4307" s="13">
        <v>6040.22</v>
      </c>
    </row>
    <row r="4308" s="6" customFormat="1" spans="1:2">
      <c r="A4308" s="12">
        <f>DATE(2012,12,31)-475</f>
        <v>40799</v>
      </c>
      <c r="B4308" s="13">
        <v>3116.7715</v>
      </c>
    </row>
    <row r="4309" s="6" customFormat="1" spans="1:2">
      <c r="A4309" s="12">
        <f>DATE(2012,12,31)-117</f>
        <v>41157</v>
      </c>
      <c r="B4309" s="13">
        <v>986.272</v>
      </c>
    </row>
    <row r="4310" s="6" customFormat="1" spans="1:2">
      <c r="A4310" s="12">
        <f>DATE(2012,12,31)-95</f>
        <v>41179</v>
      </c>
      <c r="B4310" s="13">
        <v>32.77</v>
      </c>
    </row>
    <row r="4311" s="6" customFormat="1" spans="1:2">
      <c r="A4311" s="12">
        <f>DATE(2012,12,31)-95</f>
        <v>41179</v>
      </c>
      <c r="B4311" s="13">
        <v>1701.53</v>
      </c>
    </row>
    <row r="4312" s="6" customFormat="1" spans="1:2">
      <c r="A4312" s="12">
        <f>DATE(2012,12,31)-95</f>
        <v>41179</v>
      </c>
      <c r="B4312" s="13">
        <v>2398.9</v>
      </c>
    </row>
    <row r="4313" s="6" customFormat="1" spans="1:2">
      <c r="A4313" s="12">
        <f>DATE(2012,12,31)-1099</f>
        <v>40175</v>
      </c>
      <c r="B4313" s="13">
        <v>16468.55</v>
      </c>
    </row>
    <row r="4314" spans="1:2">
      <c r="A4314" s="14">
        <f>DATE(2012,12,31)-1132</f>
        <v>40142</v>
      </c>
      <c r="B4314" s="15">
        <v>725.15</v>
      </c>
    </row>
    <row r="4315" spans="1:2">
      <c r="A4315" s="14">
        <f>DATE(2012,12,31)-159</f>
        <v>41115</v>
      </c>
      <c r="B4315" s="15">
        <v>1166.29</v>
      </c>
    </row>
    <row r="4316" s="6" customFormat="1" spans="1:2">
      <c r="A4316" s="12">
        <f>DATE(2012,12,31)-767</f>
        <v>40507</v>
      </c>
      <c r="B4316" s="13">
        <v>4108.17</v>
      </c>
    </row>
    <row r="4317" s="6" customFormat="1" spans="1:2">
      <c r="A4317" s="12">
        <f>DATE(2012,12,31)-736</f>
        <v>40538</v>
      </c>
      <c r="B4317" s="13">
        <v>21.32</v>
      </c>
    </row>
    <row r="4318" s="6" customFormat="1" spans="1:2">
      <c r="A4318" s="12">
        <f>DATE(2012,12,31)-736</f>
        <v>40538</v>
      </c>
      <c r="B4318" s="13">
        <v>457.51</v>
      </c>
    </row>
    <row r="4319" s="6" customFormat="1" spans="1:2">
      <c r="A4319" s="12">
        <f>DATE(2012,12,31)-1333</f>
        <v>39941</v>
      </c>
      <c r="B4319" s="13">
        <v>64.79</v>
      </c>
    </row>
    <row r="4320" s="6" customFormat="1" spans="1:2">
      <c r="A4320" s="12">
        <f>DATE(2012,12,31)-238</f>
        <v>41036</v>
      </c>
      <c r="B4320" s="13">
        <v>707.3</v>
      </c>
    </row>
    <row r="4321" s="6" customFormat="1" spans="1:2">
      <c r="A4321" s="12">
        <f>DATE(2012,12,31)-238</f>
        <v>41036</v>
      </c>
      <c r="B4321" s="13">
        <v>335.64</v>
      </c>
    </row>
    <row r="4322" s="6" customFormat="1" spans="1:2">
      <c r="A4322" s="12">
        <f>DATE(2012,12,31)-1277</f>
        <v>39997</v>
      </c>
      <c r="B4322" s="13">
        <v>55.81</v>
      </c>
    </row>
    <row r="4323" s="6" customFormat="1" spans="1:2">
      <c r="A4323" s="12">
        <f>DATE(2012,12,31)-1277</f>
        <v>39997</v>
      </c>
      <c r="B4323" s="13">
        <v>373.07</v>
      </c>
    </row>
    <row r="4324" s="6" customFormat="1" spans="1:2">
      <c r="A4324" s="12">
        <f>DATE(2012,12,31)-168</f>
        <v>41106</v>
      </c>
      <c r="B4324" s="13">
        <v>65.91</v>
      </c>
    </row>
    <row r="4325" s="6" customFormat="1" spans="1:2">
      <c r="A4325" s="12">
        <f>DATE(2012,12,31)-168</f>
        <v>41106</v>
      </c>
      <c r="B4325" s="13">
        <v>72.72</v>
      </c>
    </row>
    <row r="4326" s="6" customFormat="1" spans="1:2">
      <c r="A4326" s="12">
        <f>DATE(2012,12,31)-461</f>
        <v>40813</v>
      </c>
      <c r="B4326" s="13">
        <v>6477.459</v>
      </c>
    </row>
    <row r="4327" s="6" customFormat="1" spans="1:2">
      <c r="A4327" s="12">
        <f>DATE(2012,12,31)-632</f>
        <v>40642</v>
      </c>
      <c r="B4327" s="13">
        <v>48.01</v>
      </c>
    </row>
    <row r="4328" s="6" customFormat="1" spans="1:2">
      <c r="A4328" s="12">
        <f>DATE(2012,12,31)-610</f>
        <v>40664</v>
      </c>
      <c r="B4328" s="13">
        <v>4324.29</v>
      </c>
    </row>
    <row r="4329" spans="1:2">
      <c r="A4329" s="14">
        <f>DATE(2012,12,31)-832</f>
        <v>40442</v>
      </c>
      <c r="B4329" s="15">
        <v>336.29</v>
      </c>
    </row>
    <row r="4330" s="6" customFormat="1" spans="1:2">
      <c r="A4330" s="12">
        <f>DATE(2012,12,31)-1327</f>
        <v>39947</v>
      </c>
      <c r="B4330" s="13">
        <v>2827.1425</v>
      </c>
    </row>
    <row r="4331" s="6" customFormat="1" spans="1:2">
      <c r="A4331" s="12">
        <f>DATE(2012,12,31)-523</f>
        <v>40751</v>
      </c>
      <c r="B4331" s="13">
        <v>41.52</v>
      </c>
    </row>
    <row r="4332" s="6" customFormat="1" spans="1:2">
      <c r="A4332" s="12">
        <f>DATE(2012,12,31)-523</f>
        <v>40751</v>
      </c>
      <c r="B4332" s="13">
        <v>254.02</v>
      </c>
    </row>
    <row r="4333" s="6" customFormat="1" spans="1:2">
      <c r="A4333" s="12">
        <f>DATE(2012,12,31)-863</f>
        <v>40411</v>
      </c>
      <c r="B4333" s="13">
        <v>201.37</v>
      </c>
    </row>
    <row r="4334" s="6" customFormat="1" spans="1:2">
      <c r="A4334" s="12">
        <f>DATE(2012,12,31)-827</f>
        <v>40447</v>
      </c>
      <c r="B4334" s="13">
        <v>763.448</v>
      </c>
    </row>
    <row r="4335" s="6" customFormat="1" spans="1:2">
      <c r="A4335" s="12">
        <f>DATE(2012,12,31)-924</f>
        <v>40350</v>
      </c>
      <c r="B4335" s="13">
        <v>234.24</v>
      </c>
    </row>
    <row r="4336" s="6" customFormat="1" spans="1:2">
      <c r="A4336" s="12">
        <f>DATE(2012,12,31)-233</f>
        <v>41041</v>
      </c>
      <c r="B4336" s="13">
        <v>5320.57</v>
      </c>
    </row>
    <row r="4337" s="6" customFormat="1" spans="1:2">
      <c r="A4337" s="12">
        <f>DATE(2012,12,31)-908</f>
        <v>40366</v>
      </c>
      <c r="B4337" s="13">
        <v>4357.117</v>
      </c>
    </row>
    <row r="4338" s="6" customFormat="1" spans="1:2">
      <c r="A4338" s="12">
        <f>DATE(2012,12,31)-100</f>
        <v>41174</v>
      </c>
      <c r="B4338" s="13">
        <v>143.1</v>
      </c>
    </row>
    <row r="4339" s="6" customFormat="1" spans="1:2">
      <c r="A4339" s="12">
        <f>DATE(2012,12,31)-100</f>
        <v>41174</v>
      </c>
      <c r="B4339" s="13">
        <v>795.52</v>
      </c>
    </row>
    <row r="4340" s="6" customFormat="1" spans="1:2">
      <c r="A4340" s="12">
        <f>DATE(2012,12,31)-100</f>
        <v>41174</v>
      </c>
      <c r="B4340" s="13">
        <v>126.36</v>
      </c>
    </row>
    <row r="4341" s="6" customFormat="1" spans="1:2">
      <c r="A4341" s="12">
        <f>DATE(2012,12,31)-100</f>
        <v>41174</v>
      </c>
      <c r="B4341" s="13">
        <v>496.62</v>
      </c>
    </row>
    <row r="4342" spans="1:2">
      <c r="A4342" s="14">
        <f>DATE(2012,12,31)-1445</f>
        <v>39829</v>
      </c>
      <c r="B4342" s="15">
        <v>62.78</v>
      </c>
    </row>
    <row r="4343" s="6" customFormat="1" spans="1:2">
      <c r="A4343" s="12">
        <f>DATE(2012,12,31)-1445</f>
        <v>39829</v>
      </c>
      <c r="B4343" s="13">
        <v>2836.0505</v>
      </c>
    </row>
    <row r="4344" s="6" customFormat="1" spans="1:2">
      <c r="A4344" s="12">
        <f>DATE(2012,12,31)-791</f>
        <v>40483</v>
      </c>
      <c r="B4344" s="13">
        <v>86.79</v>
      </c>
    </row>
    <row r="4345" s="6" customFormat="1" spans="1:2">
      <c r="A4345" s="12">
        <f>DATE(2012,12,31)-791</f>
        <v>40483</v>
      </c>
      <c r="B4345" s="13">
        <v>753.8</v>
      </c>
    </row>
    <row r="4346" s="6" customFormat="1" spans="1:2">
      <c r="A4346" s="12">
        <f>DATE(2012,12,31)-558</f>
        <v>40716</v>
      </c>
      <c r="B4346" s="13">
        <v>546.01</v>
      </c>
    </row>
    <row r="4347" s="6" customFormat="1" spans="1:2">
      <c r="A4347" s="12">
        <f>DATE(2012,12,31)-901</f>
        <v>40373</v>
      </c>
      <c r="B4347" s="13">
        <v>691.59</v>
      </c>
    </row>
    <row r="4348" s="6" customFormat="1" spans="1:2">
      <c r="A4348" s="12">
        <f>DATE(2012,12,31)-901</f>
        <v>40373</v>
      </c>
      <c r="B4348" s="13">
        <v>345.2</v>
      </c>
    </row>
    <row r="4349" s="6" customFormat="1" spans="1:2">
      <c r="A4349" s="12">
        <f>DATE(2012,12,31)-68</f>
        <v>41206</v>
      </c>
      <c r="B4349" s="13">
        <v>403.88</v>
      </c>
    </row>
    <row r="4350" s="6" customFormat="1" spans="1:2">
      <c r="A4350" s="12">
        <f>DATE(2012,12,31)-685</f>
        <v>40589</v>
      </c>
      <c r="B4350" s="13">
        <v>7837.44</v>
      </c>
    </row>
    <row r="4351" s="6" customFormat="1" spans="1:2">
      <c r="A4351" s="12">
        <f>DATE(2012,12,31)-685</f>
        <v>40589</v>
      </c>
      <c r="B4351" s="13">
        <v>3653.22</v>
      </c>
    </row>
    <row r="4352" s="6" customFormat="1" spans="1:2">
      <c r="A4352" s="12">
        <f>DATE(2012,12,31)-839</f>
        <v>40435</v>
      </c>
      <c r="B4352" s="13">
        <v>872.97</v>
      </c>
    </row>
    <row r="4353" s="6" customFormat="1" spans="1:2">
      <c r="A4353" s="12">
        <f>DATE(2012,12,31)-839</f>
        <v>40435</v>
      </c>
      <c r="B4353" s="13">
        <v>545.71</v>
      </c>
    </row>
    <row r="4354" s="6" customFormat="1" spans="1:2">
      <c r="A4354" s="12">
        <f>DATE(2012,12,31)-42</f>
        <v>41232</v>
      </c>
      <c r="B4354" s="13">
        <v>3227.38</v>
      </c>
    </row>
    <row r="4355" s="6" customFormat="1" spans="1:2">
      <c r="A4355" s="12">
        <f>DATE(2012,12,31)-42</f>
        <v>41232</v>
      </c>
      <c r="B4355" s="13">
        <v>134.52</v>
      </c>
    </row>
    <row r="4356" s="6" customFormat="1" spans="1:2">
      <c r="A4356" s="12">
        <f>DATE(2012,12,31)-1265</f>
        <v>40009</v>
      </c>
      <c r="B4356" s="13">
        <v>772.42</v>
      </c>
    </row>
    <row r="4357" s="6" customFormat="1" spans="1:2">
      <c r="A4357" s="12">
        <f>DATE(2012,12,31)-1265</f>
        <v>40009</v>
      </c>
      <c r="B4357" s="13">
        <v>221.4675</v>
      </c>
    </row>
    <row r="4358" s="6" customFormat="1" spans="1:2">
      <c r="A4358" s="12">
        <f>DATE(2012,12,31)-693</f>
        <v>40581</v>
      </c>
      <c r="B4358" s="13">
        <v>3900.531</v>
      </c>
    </row>
    <row r="4359" s="6" customFormat="1" spans="1:2">
      <c r="A4359" s="12">
        <f>DATE(2012,12,31)-693</f>
        <v>40581</v>
      </c>
      <c r="B4359" s="13">
        <v>248.42</v>
      </c>
    </row>
    <row r="4360" spans="1:2">
      <c r="A4360" s="14">
        <f>DATE(2012,12,31)-763</f>
        <v>40511</v>
      </c>
      <c r="B4360" s="15">
        <v>701.16</v>
      </c>
    </row>
    <row r="4361" s="6" customFormat="1" spans="1:2">
      <c r="A4361" s="12">
        <f>DATE(2012,12,31)-890</f>
        <v>40384</v>
      </c>
      <c r="B4361" s="13">
        <v>1818.76</v>
      </c>
    </row>
    <row r="4362" spans="1:2">
      <c r="A4362" s="14">
        <f>DATE(2012,12,31)-890</f>
        <v>40384</v>
      </c>
      <c r="B4362" s="15">
        <v>4322.26</v>
      </c>
    </row>
    <row r="4363" s="6" customFormat="1" spans="1:2">
      <c r="A4363" s="12">
        <f>DATE(2012,12,31)-800</f>
        <v>40474</v>
      </c>
      <c r="B4363" s="13">
        <v>1955.0765</v>
      </c>
    </row>
    <row r="4364" s="6" customFormat="1" spans="1:2">
      <c r="A4364" s="12">
        <f>DATE(2012,12,31)-1420</f>
        <v>39854</v>
      </c>
      <c r="B4364" s="13">
        <v>104.46</v>
      </c>
    </row>
    <row r="4365" spans="1:2">
      <c r="A4365" s="14">
        <f>DATE(2012,12,31)-319</f>
        <v>40955</v>
      </c>
      <c r="B4365" s="15">
        <v>101.9</v>
      </c>
    </row>
    <row r="4366" s="6" customFormat="1" spans="1:2">
      <c r="A4366" s="12">
        <f>DATE(2012,12,31)-319</f>
        <v>40955</v>
      </c>
      <c r="B4366" s="13">
        <v>187.33</v>
      </c>
    </row>
    <row r="4367" spans="1:2">
      <c r="A4367" s="14">
        <f>DATE(2012,12,31)-319</f>
        <v>40955</v>
      </c>
      <c r="B4367" s="15">
        <v>259.17</v>
      </c>
    </row>
    <row r="4368" s="6" customFormat="1" spans="1:2">
      <c r="A4368" s="12">
        <f>DATE(2012,12,31)-319</f>
        <v>40955</v>
      </c>
      <c r="B4368" s="13">
        <v>4697.032</v>
      </c>
    </row>
    <row r="4369" s="6" customFormat="1" spans="1:2">
      <c r="A4369" s="12">
        <f>DATE(2012,12,31)-430</f>
        <v>40844</v>
      </c>
      <c r="B4369" s="13">
        <v>1515</v>
      </c>
    </row>
    <row r="4370" s="6" customFormat="1" spans="1:2">
      <c r="A4370" s="12">
        <f>DATE(2012,12,31)-1225</f>
        <v>40049</v>
      </c>
      <c r="B4370" s="13">
        <v>217.93</v>
      </c>
    </row>
    <row r="4371" s="6" customFormat="1" spans="1:2">
      <c r="A4371" s="12">
        <f>DATE(2012,12,31)-1440</f>
        <v>39834</v>
      </c>
      <c r="B4371" s="13">
        <v>1251.18</v>
      </c>
    </row>
    <row r="4372" spans="1:2">
      <c r="A4372" s="14">
        <f>DATE(2012,12,31)-699</f>
        <v>40575</v>
      </c>
      <c r="B4372" s="15">
        <v>13.42</v>
      </c>
    </row>
    <row r="4373" s="6" customFormat="1" spans="1:2">
      <c r="A4373" s="12">
        <f>DATE(2012,12,31)-571</f>
        <v>40703</v>
      </c>
      <c r="B4373" s="13">
        <v>254.76</v>
      </c>
    </row>
    <row r="4374" s="6" customFormat="1" spans="1:2">
      <c r="A4374" s="12">
        <f>DATE(2012,12,31)-339</f>
        <v>40935</v>
      </c>
      <c r="B4374" s="13">
        <v>320.57</v>
      </c>
    </row>
    <row r="4375" s="6" customFormat="1" spans="1:2">
      <c r="A4375" s="12">
        <f>DATE(2012,12,31)-1363</f>
        <v>39911</v>
      </c>
      <c r="B4375" s="13">
        <v>161.02</v>
      </c>
    </row>
    <row r="4376" s="6" customFormat="1" spans="1:2">
      <c r="A4376" s="12">
        <f>DATE(2012,12,31)-135</f>
        <v>41139</v>
      </c>
      <c r="B4376" s="13">
        <v>169.354</v>
      </c>
    </row>
    <row r="4377" spans="1:2">
      <c r="A4377" s="14">
        <f>DATE(2012,12,31)-1376</f>
        <v>39898</v>
      </c>
      <c r="B4377" s="15">
        <v>4520.6</v>
      </c>
    </row>
    <row r="4378" spans="1:2">
      <c r="A4378" s="14">
        <f>DATE(2012,12,31)-1376</f>
        <v>39898</v>
      </c>
      <c r="B4378" s="15">
        <v>225.25</v>
      </c>
    </row>
    <row r="4379" s="6" customFormat="1" spans="1:2">
      <c r="A4379" s="12">
        <f>DATE(2012,12,31)-1192</f>
        <v>40082</v>
      </c>
      <c r="B4379" s="13">
        <v>539.66</v>
      </c>
    </row>
    <row r="4380" s="6" customFormat="1" spans="1:2">
      <c r="A4380" s="12">
        <f>DATE(2012,12,31)-863</f>
        <v>40411</v>
      </c>
      <c r="B4380" s="13">
        <v>215.52</v>
      </c>
    </row>
    <row r="4381" s="6" customFormat="1" spans="1:2">
      <c r="A4381" s="12">
        <f>DATE(2012,12,31)-863</f>
        <v>40411</v>
      </c>
      <c r="B4381" s="13">
        <v>10.46</v>
      </c>
    </row>
    <row r="4382" s="6" customFormat="1" spans="1:2">
      <c r="A4382" s="12">
        <f>DATE(2012,12,31)-124</f>
        <v>41150</v>
      </c>
      <c r="B4382" s="13">
        <v>2643.15</v>
      </c>
    </row>
    <row r="4383" s="6" customFormat="1" spans="1:2">
      <c r="A4383" s="12">
        <f>DATE(2012,12,31)-464</f>
        <v>40810</v>
      </c>
      <c r="B4383" s="13">
        <v>1298.29</v>
      </c>
    </row>
    <row r="4384" s="6" customFormat="1" spans="1:2">
      <c r="A4384" s="12">
        <f>DATE(2012,12,31)-464</f>
        <v>40810</v>
      </c>
      <c r="B4384" s="13">
        <v>19.34</v>
      </c>
    </row>
    <row r="4385" s="6" customFormat="1" spans="1:2">
      <c r="A4385" s="12">
        <f>DATE(2012,12,31)-464</f>
        <v>40810</v>
      </c>
      <c r="B4385" s="13">
        <v>590.32</v>
      </c>
    </row>
    <row r="4386" s="6" customFormat="1" spans="1:2">
      <c r="A4386" s="12">
        <f>DATE(2012,12,31)-464</f>
        <v>40810</v>
      </c>
      <c r="B4386" s="13">
        <v>4245.93</v>
      </c>
    </row>
    <row r="4387" s="6" customFormat="1" spans="1:2">
      <c r="A4387" s="12">
        <f>DATE(2012,12,31)-521</f>
        <v>40753</v>
      </c>
      <c r="B4387" s="13">
        <v>589.78</v>
      </c>
    </row>
    <row r="4388" s="6" customFormat="1" spans="1:2">
      <c r="A4388" s="12">
        <f>DATE(2012,12,31)-862</f>
        <v>40412</v>
      </c>
      <c r="B4388" s="13">
        <v>7512.03</v>
      </c>
    </row>
    <row r="4389" s="6" customFormat="1" spans="1:2">
      <c r="A4389" s="12">
        <f>DATE(2012,12,31)-856</f>
        <v>40418</v>
      </c>
      <c r="B4389" s="13">
        <v>677.9</v>
      </c>
    </row>
    <row r="4390" s="6" customFormat="1" spans="1:2">
      <c r="A4390" s="12">
        <f>DATE(2012,12,31)-89</f>
        <v>41185</v>
      </c>
      <c r="B4390" s="13">
        <v>6573.75</v>
      </c>
    </row>
    <row r="4391" s="6" customFormat="1" spans="1:2">
      <c r="A4391" s="12">
        <f>DATE(2012,12,31)-38</f>
        <v>41236</v>
      </c>
      <c r="B4391" s="13">
        <v>6806.66</v>
      </c>
    </row>
    <row r="4392" s="6" customFormat="1" spans="1:2">
      <c r="A4392" s="12">
        <f>DATE(2012,12,31)-38</f>
        <v>41236</v>
      </c>
      <c r="B4392" s="13">
        <v>891.61</v>
      </c>
    </row>
    <row r="4393" s="6" customFormat="1" spans="1:2">
      <c r="A4393" s="12">
        <f>DATE(2012,12,31)-38</f>
        <v>41236</v>
      </c>
      <c r="B4393" s="13">
        <v>165.04</v>
      </c>
    </row>
    <row r="4394" s="6" customFormat="1" spans="1:2">
      <c r="A4394" s="12">
        <f>DATE(2012,12,31)-621</f>
        <v>40653</v>
      </c>
      <c r="B4394" s="13">
        <v>43.29</v>
      </c>
    </row>
    <row r="4395" s="6" customFormat="1" spans="1:2">
      <c r="A4395" s="12">
        <f>DATE(2012,12,31)-135</f>
        <v>41139</v>
      </c>
      <c r="B4395" s="13">
        <v>679.95</v>
      </c>
    </row>
    <row r="4396" s="6" customFormat="1" spans="1:2">
      <c r="A4396" s="12">
        <f>DATE(2012,12,31)-135</f>
        <v>41139</v>
      </c>
      <c r="B4396" s="13">
        <v>1579.56</v>
      </c>
    </row>
    <row r="4397" s="6" customFormat="1" spans="1:2">
      <c r="A4397" s="12">
        <f>DATE(2012,12,31)-805</f>
        <v>40469</v>
      </c>
      <c r="B4397" s="13">
        <v>109.78</v>
      </c>
    </row>
    <row r="4398" s="6" customFormat="1" spans="1:2">
      <c r="A4398" s="12">
        <f>DATE(2012,12,31)-152</f>
        <v>41122</v>
      </c>
      <c r="B4398" s="13">
        <v>4648.64</v>
      </c>
    </row>
    <row r="4399" s="6" customFormat="1" spans="1:2">
      <c r="A4399" s="12">
        <f>DATE(2012,12,31)-652</f>
        <v>40622</v>
      </c>
      <c r="B4399" s="13">
        <v>306.13</v>
      </c>
    </row>
    <row r="4400" s="6" customFormat="1" spans="1:2">
      <c r="A4400" s="12">
        <f>DATE(2012,12,31)-944</f>
        <v>40330</v>
      </c>
      <c r="B4400" s="13">
        <v>13.5</v>
      </c>
    </row>
    <row r="4401" s="6" customFormat="1" spans="1:2">
      <c r="A4401" s="12">
        <f>DATE(2012,12,31)-944</f>
        <v>40330</v>
      </c>
      <c r="B4401" s="13">
        <v>540.64</v>
      </c>
    </row>
    <row r="4402" s="6" customFormat="1" spans="1:2">
      <c r="A4402" s="12">
        <f>DATE(2012,12,31)-1340</f>
        <v>39934</v>
      </c>
      <c r="B4402" s="13">
        <v>789.01</v>
      </c>
    </row>
    <row r="4403" s="6" customFormat="1" spans="1:2">
      <c r="A4403" s="12">
        <f>DATE(2012,12,31)-970</f>
        <v>40304</v>
      </c>
      <c r="B4403" s="13">
        <v>128.86</v>
      </c>
    </row>
    <row r="4404" s="6" customFormat="1" spans="1:2">
      <c r="A4404" s="12">
        <f>DATE(2012,12,31)-970</f>
        <v>40304</v>
      </c>
      <c r="B4404" s="13">
        <v>3249.09</v>
      </c>
    </row>
    <row r="4405" s="6" customFormat="1" spans="1:2">
      <c r="A4405" s="12">
        <f>DATE(2012,12,31)-234</f>
        <v>41040</v>
      </c>
      <c r="B4405" s="13">
        <v>97.57</v>
      </c>
    </row>
    <row r="4406" s="6" customFormat="1" spans="1:2">
      <c r="A4406" s="12">
        <f>DATE(2012,12,31)-234</f>
        <v>41040</v>
      </c>
      <c r="B4406" s="13">
        <v>110.32</v>
      </c>
    </row>
    <row r="4407" s="6" customFormat="1" spans="1:2">
      <c r="A4407" s="12">
        <f>DATE(2012,12,31)-422</f>
        <v>40852</v>
      </c>
      <c r="B4407" s="13">
        <v>337.2035</v>
      </c>
    </row>
    <row r="4408" s="6" customFormat="1" spans="1:2">
      <c r="A4408" s="12">
        <f>DATE(2012,12,31)-1244</f>
        <v>40030</v>
      </c>
      <c r="B4408" s="13">
        <v>4054.058</v>
      </c>
    </row>
    <row r="4409" spans="1:2">
      <c r="A4409" s="14">
        <f>DATE(2012,12,31)-46</f>
        <v>41228</v>
      </c>
      <c r="B4409" s="15">
        <v>225.09</v>
      </c>
    </row>
    <row r="4410" s="6" customFormat="1" spans="1:2">
      <c r="A4410" s="12">
        <f>DATE(2012,12,31)-127</f>
        <v>41147</v>
      </c>
      <c r="B4410" s="13">
        <v>990.67</v>
      </c>
    </row>
    <row r="4411" s="6" customFormat="1" spans="1:2">
      <c r="A4411" s="12">
        <f>DATE(2012,12,31)-553</f>
        <v>40721</v>
      </c>
      <c r="B4411" s="13">
        <v>1463.42</v>
      </c>
    </row>
    <row r="4412" s="6" customFormat="1" spans="1:2">
      <c r="A4412" s="12">
        <f>DATE(2012,12,31)-808</f>
        <v>40466</v>
      </c>
      <c r="B4412" s="13">
        <v>321.68</v>
      </c>
    </row>
    <row r="4413" s="6" customFormat="1" spans="1:2">
      <c r="A4413" s="12">
        <f>DATE(2012,12,31)-808</f>
        <v>40466</v>
      </c>
      <c r="B4413" s="13">
        <v>971.95</v>
      </c>
    </row>
    <row r="4414" s="6" customFormat="1" spans="1:2">
      <c r="A4414" s="12">
        <f>DATE(2012,12,31)-808</f>
        <v>40466</v>
      </c>
      <c r="B4414" s="13">
        <v>2149.03</v>
      </c>
    </row>
    <row r="4415" s="6" customFormat="1" spans="1:2">
      <c r="A4415" s="12">
        <f>DATE(2012,12,31)-1171</f>
        <v>40103</v>
      </c>
      <c r="B4415" s="13">
        <v>112.47</v>
      </c>
    </row>
    <row r="4416" s="6" customFormat="1" spans="1:2">
      <c r="A4416" s="12">
        <f>DATE(2012,12,31)-880</f>
        <v>40394</v>
      </c>
      <c r="B4416" s="13">
        <v>191.43</v>
      </c>
    </row>
    <row r="4417" s="6" customFormat="1" spans="1:2">
      <c r="A4417" s="12">
        <f>DATE(2012,12,31)-880</f>
        <v>40394</v>
      </c>
      <c r="B4417" s="13">
        <v>1234.85</v>
      </c>
    </row>
    <row r="4418" s="6" customFormat="1" spans="1:2">
      <c r="A4418" s="12">
        <f>DATE(2012,12,31)-399</f>
        <v>40875</v>
      </c>
      <c r="B4418" s="13">
        <v>138.71</v>
      </c>
    </row>
    <row r="4419" s="6" customFormat="1" spans="1:2">
      <c r="A4419" s="12">
        <f>DATE(2012,12,31)-951</f>
        <v>40323</v>
      </c>
      <c r="B4419" s="13">
        <v>302.4</v>
      </c>
    </row>
    <row r="4420" s="6" customFormat="1" spans="1:2">
      <c r="A4420" s="12">
        <f>DATE(2012,12,31)-951</f>
        <v>40323</v>
      </c>
      <c r="B4420" s="13">
        <v>1083.37</v>
      </c>
    </row>
    <row r="4421" s="6" customFormat="1" spans="1:2">
      <c r="A4421" s="12">
        <f>DATE(2012,12,31)-298</f>
        <v>40976</v>
      </c>
      <c r="B4421" s="13">
        <v>105.85</v>
      </c>
    </row>
    <row r="4422" s="6" customFormat="1" spans="1:2">
      <c r="A4422" s="12">
        <f>DATE(2012,12,31)-298</f>
        <v>40976</v>
      </c>
      <c r="B4422" s="13">
        <v>179.33</v>
      </c>
    </row>
    <row r="4423" s="6" customFormat="1" spans="1:2">
      <c r="A4423" s="12">
        <f>DATE(2012,12,31)-554</f>
        <v>40720</v>
      </c>
      <c r="B4423" s="13">
        <v>1025.88</v>
      </c>
    </row>
    <row r="4424" s="6" customFormat="1" spans="1:2">
      <c r="A4424" s="12">
        <f>DATE(2012,12,31)-50</f>
        <v>41224</v>
      </c>
      <c r="B4424" s="13">
        <v>378.08</v>
      </c>
    </row>
    <row r="4425" s="6" customFormat="1" spans="1:2">
      <c r="A4425" s="12">
        <f>DATE(2012,12,31)-50</f>
        <v>41224</v>
      </c>
      <c r="B4425" s="13">
        <v>731.71</v>
      </c>
    </row>
    <row r="4426" s="6" customFormat="1" spans="1:2">
      <c r="A4426" s="12">
        <f>DATE(2012,12,31)-1451</f>
        <v>39823</v>
      </c>
      <c r="B4426" s="13">
        <v>4906.85</v>
      </c>
    </row>
    <row r="4427" s="6" customFormat="1" spans="1:2">
      <c r="A4427" s="12">
        <f>DATE(2012,12,31)-362</f>
        <v>40912</v>
      </c>
      <c r="B4427" s="13">
        <v>3531.75</v>
      </c>
    </row>
    <row r="4428" s="6" customFormat="1" spans="1:2">
      <c r="A4428" s="12">
        <f>DATE(2012,12,31)-362</f>
        <v>40912</v>
      </c>
      <c r="B4428" s="13">
        <v>500.5</v>
      </c>
    </row>
    <row r="4429" s="6" customFormat="1" spans="1:2">
      <c r="A4429" s="12">
        <f>DATE(2012,12,31)-523</f>
        <v>40751</v>
      </c>
      <c r="B4429" s="13">
        <v>269.35</v>
      </c>
    </row>
    <row r="4430" s="6" customFormat="1" spans="1:2">
      <c r="A4430" s="12">
        <f>DATE(2012,12,31)-527</f>
        <v>40747</v>
      </c>
      <c r="B4430" s="13">
        <v>3671.3</v>
      </c>
    </row>
    <row r="4431" s="6" customFormat="1" spans="1:2">
      <c r="A4431" s="12">
        <f>DATE(2012,12,31)-527</f>
        <v>40747</v>
      </c>
      <c r="B4431" s="13">
        <v>1763.6</v>
      </c>
    </row>
    <row r="4432" s="6" customFormat="1" spans="1:2">
      <c r="A4432" s="12">
        <f>DATE(2012,12,31)-285</f>
        <v>40989</v>
      </c>
      <c r="B4432" s="13">
        <v>963.45</v>
      </c>
    </row>
    <row r="4433" s="6" customFormat="1" spans="1:2">
      <c r="A4433" s="12">
        <f>DATE(2012,12,31)-285</f>
        <v>40989</v>
      </c>
      <c r="B4433" s="13">
        <v>4390.029</v>
      </c>
    </row>
    <row r="4434" s="6" customFormat="1" spans="1:2">
      <c r="A4434" s="12">
        <f>DATE(2012,12,31)-940</f>
        <v>40334</v>
      </c>
      <c r="B4434" s="13">
        <v>43.49</v>
      </c>
    </row>
    <row r="4435" s="6" customFormat="1" spans="1:2">
      <c r="A4435" s="12">
        <f>DATE(2012,12,31)-940</f>
        <v>40334</v>
      </c>
      <c r="B4435" s="13">
        <v>2854.76</v>
      </c>
    </row>
    <row r="4436" s="6" customFormat="1" spans="1:2">
      <c r="A4436" s="12">
        <f>DATE(2012,12,31)-856</f>
        <v>40418</v>
      </c>
      <c r="B4436" s="13">
        <v>182.7</v>
      </c>
    </row>
    <row r="4437" s="6" customFormat="1" spans="1:2">
      <c r="A4437" s="12">
        <f>DATE(2012,12,31)-856</f>
        <v>40418</v>
      </c>
      <c r="B4437" s="13">
        <v>141.08</v>
      </c>
    </row>
    <row r="4438" s="6" customFormat="1" spans="1:2">
      <c r="A4438" s="12">
        <f>DATE(2012,12,31)-539</f>
        <v>40735</v>
      </c>
      <c r="B4438" s="13">
        <v>403.17</v>
      </c>
    </row>
    <row r="4439" s="6" customFormat="1" spans="1:2">
      <c r="A4439" s="12">
        <f>DATE(2012,12,31)-1201</f>
        <v>40073</v>
      </c>
      <c r="B4439" s="13">
        <v>114.87</v>
      </c>
    </row>
    <row r="4440" s="6" customFormat="1" spans="1:2">
      <c r="A4440" s="12">
        <f>DATE(2012,12,31)-1201</f>
        <v>40073</v>
      </c>
      <c r="B4440" s="13">
        <v>383.23</v>
      </c>
    </row>
    <row r="4441" s="6" customFormat="1" spans="1:2">
      <c r="A4441" s="12">
        <f>DATE(2012,12,31)-508</f>
        <v>40766</v>
      </c>
      <c r="B4441" s="13">
        <v>1108.366</v>
      </c>
    </row>
    <row r="4442" s="6" customFormat="1" spans="1:2">
      <c r="A4442" s="12">
        <f>DATE(2012,12,31)-499</f>
        <v>40775</v>
      </c>
      <c r="B4442" s="13">
        <v>68.94</v>
      </c>
    </row>
    <row r="4443" s="6" customFormat="1" spans="1:2">
      <c r="A4443" s="12">
        <f>DATE(2012,12,31)-499</f>
        <v>40775</v>
      </c>
      <c r="B4443" s="13">
        <v>74.04</v>
      </c>
    </row>
    <row r="4444" s="6" customFormat="1" spans="1:2">
      <c r="A4444" s="12">
        <f>DATE(2012,12,31)-873</f>
        <v>40401</v>
      </c>
      <c r="B4444" s="13">
        <v>1504.97</v>
      </c>
    </row>
    <row r="4445" s="6" customFormat="1" spans="1:2">
      <c r="A4445" s="12">
        <f>DATE(2012,12,31)-54</f>
        <v>41220</v>
      </c>
      <c r="B4445" s="13">
        <v>212.12</v>
      </c>
    </row>
    <row r="4446" s="6" customFormat="1" spans="1:2">
      <c r="A4446" s="12">
        <f>DATE(2012,12,31)-1028</f>
        <v>40246</v>
      </c>
      <c r="B4446" s="13">
        <v>3186.77</v>
      </c>
    </row>
    <row r="4447" s="6" customFormat="1" spans="1:2">
      <c r="A4447" s="12">
        <f>DATE(2012,12,31)-106</f>
        <v>41168</v>
      </c>
      <c r="B4447" s="13">
        <v>89.97</v>
      </c>
    </row>
    <row r="4448" s="6" customFormat="1" spans="1:2">
      <c r="A4448" s="12">
        <f>DATE(2012,12,31)-106</f>
        <v>41168</v>
      </c>
      <c r="B4448" s="13">
        <v>456.91</v>
      </c>
    </row>
    <row r="4449" s="6" customFormat="1" spans="1:2">
      <c r="A4449" s="12">
        <f>DATE(2012,12,31)-592</f>
        <v>40682</v>
      </c>
      <c r="B4449" s="13">
        <v>123.06</v>
      </c>
    </row>
    <row r="4450" s="6" customFormat="1" spans="1:2">
      <c r="A4450" s="12">
        <f>DATE(2012,12,31)-1452</f>
        <v>39822</v>
      </c>
      <c r="B4450" s="13">
        <v>64.11</v>
      </c>
    </row>
    <row r="4451" s="6" customFormat="1" spans="1:2">
      <c r="A4451" s="12">
        <f>DATE(2012,12,31)-1452</f>
        <v>39822</v>
      </c>
      <c r="B4451" s="13">
        <v>68.5</v>
      </c>
    </row>
    <row r="4452" s="6" customFormat="1" spans="1:2">
      <c r="A4452" s="12">
        <f>DATE(2012,12,31)-1452</f>
        <v>39822</v>
      </c>
      <c r="B4452" s="13">
        <v>145.19</v>
      </c>
    </row>
    <row r="4453" s="6" customFormat="1" spans="1:2">
      <c r="A4453" s="12">
        <f>DATE(2012,12,31)-765</f>
        <v>40509</v>
      </c>
      <c r="B4453" s="13">
        <v>1390.6935</v>
      </c>
    </row>
    <row r="4454" s="6" customFormat="1" spans="1:2">
      <c r="A4454" s="12">
        <f>DATE(2012,12,31)-765</f>
        <v>40509</v>
      </c>
      <c r="B4454" s="13">
        <v>1017.2885</v>
      </c>
    </row>
    <row r="4455" s="6" customFormat="1" spans="1:2">
      <c r="A4455" s="12">
        <f>DATE(2012,12,31)-113</f>
        <v>41161</v>
      </c>
      <c r="B4455" s="13">
        <v>86.69</v>
      </c>
    </row>
    <row r="4456" s="6" customFormat="1" spans="1:2">
      <c r="A4456" s="12">
        <f>DATE(2012,12,31)-585</f>
        <v>40689</v>
      </c>
      <c r="B4456" s="13">
        <v>413.12</v>
      </c>
    </row>
    <row r="4457" s="6" customFormat="1" spans="1:2">
      <c r="A4457" s="12">
        <f>DATE(2012,12,31)-439</f>
        <v>40835</v>
      </c>
      <c r="B4457" s="13">
        <v>6483.42</v>
      </c>
    </row>
    <row r="4458" s="6" customFormat="1" spans="1:2">
      <c r="A4458" s="12">
        <f>DATE(2012,12,31)-439</f>
        <v>40835</v>
      </c>
      <c r="B4458" s="13">
        <v>137.77</v>
      </c>
    </row>
    <row r="4459" s="6" customFormat="1" spans="1:2">
      <c r="A4459" s="12">
        <f>DATE(2012,12,31)-1067</f>
        <v>40207</v>
      </c>
      <c r="B4459" s="13">
        <v>734.25</v>
      </c>
    </row>
    <row r="4460" s="6" customFormat="1" spans="1:2">
      <c r="A4460" s="12">
        <f>DATE(2012,12,31)-1445</f>
        <v>39829</v>
      </c>
      <c r="B4460" s="13">
        <v>249.02</v>
      </c>
    </row>
    <row r="4461" s="6" customFormat="1" spans="1:2">
      <c r="A4461" s="12">
        <f>DATE(2012,12,31)-1445</f>
        <v>39829</v>
      </c>
      <c r="B4461" s="13">
        <v>78.49</v>
      </c>
    </row>
    <row r="4462" s="6" customFormat="1" spans="1:2">
      <c r="A4462" s="12">
        <f>DATE(2012,12,31)-887</f>
        <v>40387</v>
      </c>
      <c r="B4462" s="13">
        <v>15</v>
      </c>
    </row>
    <row r="4463" s="6" customFormat="1" spans="1:2">
      <c r="A4463" s="12">
        <f>DATE(2012,12,31)-1320</f>
        <v>39954</v>
      </c>
      <c r="B4463" s="13">
        <v>355.55</v>
      </c>
    </row>
    <row r="4464" spans="1:2">
      <c r="A4464" s="14">
        <f>DATE(2012,12,31)-519</f>
        <v>40755</v>
      </c>
      <c r="B4464" s="15">
        <v>593.62</v>
      </c>
    </row>
    <row r="4465" spans="1:2">
      <c r="A4465" s="14">
        <f>DATE(2012,12,31)-519</f>
        <v>40755</v>
      </c>
      <c r="B4465" s="15">
        <v>38.52</v>
      </c>
    </row>
    <row r="4466" s="6" customFormat="1" spans="1:2">
      <c r="A4466" s="12">
        <f>DATE(2012,12,31)-899</f>
        <v>40375</v>
      </c>
      <c r="B4466" s="13">
        <v>157.26</v>
      </c>
    </row>
    <row r="4467" s="6" customFormat="1" spans="1:2">
      <c r="A4467" s="12">
        <f>DATE(2012,12,31)-548</f>
        <v>40726</v>
      </c>
      <c r="B4467" s="13">
        <v>2085.93</v>
      </c>
    </row>
    <row r="4468" s="6" customFormat="1" spans="1:2">
      <c r="A4468" s="12">
        <f>DATE(2012,12,31)-70</f>
        <v>41204</v>
      </c>
      <c r="B4468" s="13">
        <v>3645.12</v>
      </c>
    </row>
    <row r="4469" spans="1:2">
      <c r="A4469" s="14">
        <f>DATE(2012,12,31)-70</f>
        <v>41204</v>
      </c>
      <c r="B4469" s="15">
        <v>114.55</v>
      </c>
    </row>
    <row r="4470" s="6" customFormat="1" spans="1:2">
      <c r="A4470" s="12">
        <f>DATE(2012,12,31)-506</f>
        <v>40768</v>
      </c>
      <c r="B4470" s="13">
        <v>261.17</v>
      </c>
    </row>
    <row r="4471" s="6" customFormat="1" spans="1:2">
      <c r="A4471" s="12">
        <f>DATE(2012,12,31)-1109</f>
        <v>40165</v>
      </c>
      <c r="B4471" s="13">
        <v>1692.28</v>
      </c>
    </row>
    <row r="4472" s="6" customFormat="1" spans="1:2">
      <c r="A4472" s="12">
        <f>DATE(2012,12,31)-847</f>
        <v>40427</v>
      </c>
      <c r="B4472" s="13">
        <v>2833.19</v>
      </c>
    </row>
    <row r="4473" s="6" customFormat="1" spans="1:2">
      <c r="A4473" s="12">
        <f>DATE(2012,12,31)-847</f>
        <v>40427</v>
      </c>
      <c r="B4473" s="13">
        <v>4452.65</v>
      </c>
    </row>
    <row r="4474" s="6" customFormat="1" spans="1:2">
      <c r="A4474" s="12">
        <f>DATE(2012,12,31)-1149</f>
        <v>40125</v>
      </c>
      <c r="B4474" s="13">
        <v>141.59</v>
      </c>
    </row>
    <row r="4475" s="6" customFormat="1" spans="1:2">
      <c r="A4475" s="12">
        <f>DATE(2012,12,31)-1149</f>
        <v>40125</v>
      </c>
      <c r="B4475" s="13">
        <v>2465.5015</v>
      </c>
    </row>
    <row r="4476" s="6" customFormat="1" spans="1:2">
      <c r="A4476" s="12">
        <f>DATE(2012,12,31)-1149</f>
        <v>40125</v>
      </c>
      <c r="B4476" s="13">
        <v>8558.4715</v>
      </c>
    </row>
    <row r="4477" s="6" customFormat="1" spans="1:2">
      <c r="A4477" s="12">
        <f>DATE(2012,12,31)-1149</f>
        <v>40125</v>
      </c>
      <c r="B4477" s="13">
        <v>236.89</v>
      </c>
    </row>
    <row r="4478" s="6" customFormat="1" spans="1:2">
      <c r="A4478" s="12">
        <f>DATE(2012,12,31)-107</f>
        <v>41167</v>
      </c>
      <c r="B4478" s="13">
        <v>321.95</v>
      </c>
    </row>
    <row r="4479" s="6" customFormat="1" spans="1:2">
      <c r="A4479" s="12">
        <f>DATE(2012,12,31)-107</f>
        <v>41167</v>
      </c>
      <c r="B4479" s="13">
        <v>13244.04</v>
      </c>
    </row>
    <row r="4480" s="6" customFormat="1" spans="1:2">
      <c r="A4480" s="12">
        <f>DATE(2012,12,31)-604</f>
        <v>40670</v>
      </c>
      <c r="B4480" s="13">
        <v>741.49</v>
      </c>
    </row>
    <row r="4481" s="6" customFormat="1" spans="1:2">
      <c r="A4481" s="12">
        <f>DATE(2012,12,31)-1281</f>
        <v>39993</v>
      </c>
      <c r="B4481" s="13">
        <v>285.06</v>
      </c>
    </row>
    <row r="4482" s="6" customFormat="1" spans="1:2">
      <c r="A4482" s="12">
        <f>DATE(2012,12,31)-379</f>
        <v>40895</v>
      </c>
      <c r="B4482" s="13">
        <v>138.95</v>
      </c>
    </row>
    <row r="4483" s="6" customFormat="1" spans="1:2">
      <c r="A4483" s="12">
        <f>DATE(2012,12,31)-379</f>
        <v>40895</v>
      </c>
      <c r="B4483" s="13">
        <v>5678.5525</v>
      </c>
    </row>
    <row r="4484" s="6" customFormat="1" spans="1:2">
      <c r="A4484" s="12">
        <f>DATE(2012,12,31)-958</f>
        <v>40316</v>
      </c>
      <c r="B4484" s="13">
        <v>331.53</v>
      </c>
    </row>
    <row r="4485" s="6" customFormat="1" spans="1:2">
      <c r="A4485" s="12">
        <f>DATE(2012,12,31)-1159</f>
        <v>40115</v>
      </c>
      <c r="B4485" s="13">
        <v>187.6375</v>
      </c>
    </row>
    <row r="4486" s="6" customFormat="1" spans="1:2">
      <c r="A4486" s="12">
        <f>DATE(2012,12,31)-523</f>
        <v>40751</v>
      </c>
      <c r="B4486" s="13">
        <v>1193.62</v>
      </c>
    </row>
    <row r="4487" s="6" customFormat="1" spans="1:2">
      <c r="A4487" s="12">
        <f>DATE(2012,12,31)-523</f>
        <v>40751</v>
      </c>
      <c r="B4487" s="13">
        <v>363.23</v>
      </c>
    </row>
    <row r="4488" s="6" customFormat="1" spans="1:2">
      <c r="A4488" s="12">
        <f>DATE(2012,12,31)-555</f>
        <v>40719</v>
      </c>
      <c r="B4488" s="13">
        <v>1506.8375</v>
      </c>
    </row>
    <row r="4489" s="6" customFormat="1" spans="1:2">
      <c r="A4489" s="12">
        <f>DATE(2012,12,31)-1384</f>
        <v>39890</v>
      </c>
      <c r="B4489" s="13">
        <v>2564.45</v>
      </c>
    </row>
    <row r="4490" s="6" customFormat="1" spans="1:2">
      <c r="A4490" s="12">
        <f>DATE(2012,12,31)-1384</f>
        <v>39890</v>
      </c>
      <c r="B4490" s="13">
        <v>53.55</v>
      </c>
    </row>
    <row r="4491" s="6" customFormat="1" spans="1:2">
      <c r="A4491" s="12">
        <f>DATE(2012,12,31)-599</f>
        <v>40675</v>
      </c>
      <c r="B4491" s="13">
        <v>404.54</v>
      </c>
    </row>
    <row r="4492" spans="1:2">
      <c r="A4492" s="14">
        <f>DATE(2012,12,31)-599</f>
        <v>40675</v>
      </c>
      <c r="B4492" s="15">
        <v>124.89</v>
      </c>
    </row>
    <row r="4493" s="6" customFormat="1" spans="1:2">
      <c r="A4493" s="12">
        <f>DATE(2012,12,31)-109</f>
        <v>41165</v>
      </c>
      <c r="B4493" s="13">
        <v>162.16</v>
      </c>
    </row>
    <row r="4494" s="6" customFormat="1" spans="1:2">
      <c r="A4494" s="12">
        <f>DATE(2012,12,31)-109</f>
        <v>41165</v>
      </c>
      <c r="B4494" s="13">
        <v>15168.82</v>
      </c>
    </row>
    <row r="4495" s="6" customFormat="1" spans="1:2">
      <c r="A4495" s="12">
        <f>DATE(2012,12,31)-430</f>
        <v>40844</v>
      </c>
      <c r="B4495" s="13">
        <v>494.84</v>
      </c>
    </row>
    <row r="4496" s="6" customFormat="1" spans="1:2">
      <c r="A4496" s="12">
        <f>DATE(2012,12,31)-430</f>
        <v>40844</v>
      </c>
      <c r="B4496" s="13">
        <v>3443.21</v>
      </c>
    </row>
    <row r="4497" s="6" customFormat="1" spans="1:2">
      <c r="A4497" s="12">
        <f>DATE(2012,12,31)-895</f>
        <v>40379</v>
      </c>
      <c r="B4497" s="13">
        <v>1196.2</v>
      </c>
    </row>
    <row r="4498" s="6" customFormat="1" spans="1:2">
      <c r="A4498" s="12">
        <f>DATE(2012,12,31)-895</f>
        <v>40379</v>
      </c>
      <c r="B4498" s="13">
        <v>98.55</v>
      </c>
    </row>
    <row r="4499" s="6" customFormat="1" spans="1:2">
      <c r="A4499" s="12">
        <f>DATE(2012,12,31)-695</f>
        <v>40579</v>
      </c>
      <c r="B4499" s="13">
        <v>17448.75</v>
      </c>
    </row>
    <row r="4500" s="6" customFormat="1" spans="1:2">
      <c r="A4500" s="12">
        <f>DATE(2012,12,31)-453</f>
        <v>40821</v>
      </c>
      <c r="B4500" s="13">
        <v>338.89</v>
      </c>
    </row>
    <row r="4501" s="6" customFormat="1" spans="1:2">
      <c r="A4501" s="12">
        <f>DATE(2012,12,31)-453</f>
        <v>40821</v>
      </c>
      <c r="B4501" s="13">
        <v>362.52</v>
      </c>
    </row>
    <row r="4502" s="6" customFormat="1" spans="1:2">
      <c r="A4502" s="12">
        <f>DATE(2012,12,31)-1414</f>
        <v>39860</v>
      </c>
      <c r="B4502" s="13">
        <v>311.66</v>
      </c>
    </row>
    <row r="4503" s="6" customFormat="1" spans="1:2">
      <c r="A4503" s="12">
        <f>DATE(2012,12,31)-1414</f>
        <v>39860</v>
      </c>
      <c r="B4503" s="13">
        <v>9862.51</v>
      </c>
    </row>
    <row r="4504" s="6" customFormat="1" spans="1:2">
      <c r="A4504" s="12">
        <f>DATE(2012,12,31)-1293</f>
        <v>39981</v>
      </c>
      <c r="B4504" s="13">
        <v>342.4</v>
      </c>
    </row>
    <row r="4505" s="6" customFormat="1" spans="1:2">
      <c r="A4505" s="12">
        <f>DATE(2012,12,31)-395</f>
        <v>40879</v>
      </c>
      <c r="B4505" s="13">
        <v>450.28</v>
      </c>
    </row>
    <row r="4506" s="6" customFormat="1" spans="1:2">
      <c r="A4506" s="12">
        <f>DATE(2012,12,31)-294</f>
        <v>40980</v>
      </c>
      <c r="B4506" s="13">
        <v>2853.8835</v>
      </c>
    </row>
    <row r="4507" s="6" customFormat="1" spans="1:2">
      <c r="A4507" s="12">
        <f>DATE(2012,12,31)-408</f>
        <v>40866</v>
      </c>
      <c r="B4507" s="13">
        <v>1100</v>
      </c>
    </row>
    <row r="4508" s="6" customFormat="1" spans="1:2">
      <c r="A4508" s="12">
        <f>DATE(2012,12,31)-408</f>
        <v>40866</v>
      </c>
      <c r="B4508" s="13">
        <v>114.94</v>
      </c>
    </row>
    <row r="4509" s="6" customFormat="1" spans="1:2">
      <c r="A4509" s="12">
        <f>DATE(2012,12,31)-1263</f>
        <v>40011</v>
      </c>
      <c r="B4509" s="13">
        <v>86.7</v>
      </c>
    </row>
    <row r="4510" s="6" customFormat="1" spans="1:2">
      <c r="A4510" s="12">
        <f>DATE(2012,12,31)-971</f>
        <v>40303</v>
      </c>
      <c r="B4510" s="13">
        <v>506.73</v>
      </c>
    </row>
    <row r="4511" s="6" customFormat="1" spans="1:2">
      <c r="A4511" s="12">
        <f>DATE(2012,12,31)-222</f>
        <v>41052</v>
      </c>
      <c r="B4511" s="13">
        <v>1104.28</v>
      </c>
    </row>
    <row r="4512" s="6" customFormat="1" spans="1:2">
      <c r="A4512" s="12">
        <f>DATE(2012,12,31)-1101</f>
        <v>40173</v>
      </c>
      <c r="B4512" s="13">
        <v>14567.15</v>
      </c>
    </row>
    <row r="4513" s="6" customFormat="1" spans="1:2">
      <c r="A4513" s="12">
        <f>DATE(2012,12,31)-17</f>
        <v>41257</v>
      </c>
      <c r="B4513" s="13">
        <v>19.81</v>
      </c>
    </row>
    <row r="4514" s="6" customFormat="1" spans="1:2">
      <c r="A4514" s="12">
        <f>DATE(2012,12,31)-548</f>
        <v>40726</v>
      </c>
      <c r="B4514" s="13">
        <v>129.27</v>
      </c>
    </row>
    <row r="4515" s="6" customFormat="1" spans="1:2">
      <c r="A4515" s="12">
        <f>DATE(2012,12,31)-548</f>
        <v>40726</v>
      </c>
      <c r="B4515" s="13">
        <v>8467.68</v>
      </c>
    </row>
    <row r="4516" s="6" customFormat="1" spans="1:2">
      <c r="A4516" s="12">
        <f>DATE(2012,12,31)-735</f>
        <v>40539</v>
      </c>
      <c r="B4516" s="13">
        <v>126.62</v>
      </c>
    </row>
    <row r="4517" s="6" customFormat="1" spans="1:2">
      <c r="A4517" s="12">
        <f>DATE(2012,12,31)-767</f>
        <v>40507</v>
      </c>
      <c r="B4517" s="13">
        <v>1575.14</v>
      </c>
    </row>
    <row r="4518" s="6" customFormat="1" spans="1:2">
      <c r="A4518" s="12">
        <f>DATE(2012,12,31)-767</f>
        <v>40507</v>
      </c>
      <c r="B4518" s="13">
        <v>187.78</v>
      </c>
    </row>
    <row r="4519" s="6" customFormat="1" spans="1:2">
      <c r="A4519" s="12">
        <f>DATE(2012,12,31)-1063</f>
        <v>40211</v>
      </c>
      <c r="B4519" s="13">
        <v>77.01</v>
      </c>
    </row>
    <row r="4520" s="6" customFormat="1" spans="1:2">
      <c r="A4520" s="12">
        <f>DATE(2012,12,31)-1063</f>
        <v>40211</v>
      </c>
      <c r="B4520" s="13">
        <v>111.83</v>
      </c>
    </row>
    <row r="4521" s="6" customFormat="1" spans="1:2">
      <c r="A4521" s="12">
        <f>DATE(2012,12,31)-1063</f>
        <v>40211</v>
      </c>
      <c r="B4521" s="13">
        <v>6552.9</v>
      </c>
    </row>
    <row r="4522" s="6" customFormat="1" spans="1:2">
      <c r="A4522" s="12">
        <f>DATE(2012,12,31)-78</f>
        <v>41196</v>
      </c>
      <c r="B4522" s="13">
        <v>3413.69</v>
      </c>
    </row>
    <row r="4523" s="6" customFormat="1" spans="1:2">
      <c r="A4523" s="12">
        <f>DATE(2012,12,31)-78</f>
        <v>41196</v>
      </c>
      <c r="B4523" s="13">
        <v>2939.6825</v>
      </c>
    </row>
    <row r="4524" s="6" customFormat="1" spans="1:2">
      <c r="A4524" s="12">
        <f>DATE(2012,12,31)-317</f>
        <v>40957</v>
      </c>
      <c r="B4524" s="13">
        <v>159.256</v>
      </c>
    </row>
    <row r="4525" s="6" customFormat="1" spans="1:2">
      <c r="A4525" s="12">
        <f>DATE(2012,12,31)-803</f>
        <v>40471</v>
      </c>
      <c r="B4525" s="13">
        <v>40.72</v>
      </c>
    </row>
    <row r="4526" s="6" customFormat="1" spans="1:2">
      <c r="A4526" s="12">
        <f>DATE(2012,12,31)-803</f>
        <v>40471</v>
      </c>
      <c r="B4526" s="13">
        <v>113.3</v>
      </c>
    </row>
    <row r="4527" s="6" customFormat="1" spans="1:2">
      <c r="A4527" s="12">
        <f>DATE(2012,12,31)-1132</f>
        <v>40142</v>
      </c>
      <c r="B4527" s="13">
        <v>86.29</v>
      </c>
    </row>
    <row r="4528" s="6" customFormat="1" spans="1:2">
      <c r="A4528" s="12">
        <f>DATE(2012,12,31)-418</f>
        <v>40856</v>
      </c>
      <c r="B4528" s="13">
        <v>240.63</v>
      </c>
    </row>
    <row r="4529" spans="1:2">
      <c r="A4529" s="14">
        <f>DATE(2012,12,31)-1265</f>
        <v>40009</v>
      </c>
      <c r="B4529" s="15">
        <v>196.5</v>
      </c>
    </row>
    <row r="4530" s="6" customFormat="1" spans="1:2">
      <c r="A4530" s="12">
        <f>DATE(2012,12,31)-1265</f>
        <v>40009</v>
      </c>
      <c r="B4530" s="13">
        <v>3672.89</v>
      </c>
    </row>
    <row r="4531" spans="1:2">
      <c r="A4531" s="14">
        <f>DATE(2012,12,31)-1265</f>
        <v>40009</v>
      </c>
      <c r="B4531" s="15">
        <v>46.97</v>
      </c>
    </row>
    <row r="4532" s="6" customFormat="1" spans="1:2">
      <c r="A4532" s="12">
        <f>DATE(2012,12,31)-788</f>
        <v>40486</v>
      </c>
      <c r="B4532" s="13">
        <v>209.63</v>
      </c>
    </row>
    <row r="4533" s="6" customFormat="1" spans="1:2">
      <c r="A4533" s="12">
        <f>DATE(2012,12,31)-854</f>
        <v>40420</v>
      </c>
      <c r="B4533" s="13">
        <v>1219.19</v>
      </c>
    </row>
    <row r="4534" s="6" customFormat="1" spans="1:2">
      <c r="A4534" s="12">
        <f>DATE(2012,12,31)-854</f>
        <v>40420</v>
      </c>
      <c r="B4534" s="13">
        <v>28.68</v>
      </c>
    </row>
    <row r="4535" s="6" customFormat="1" spans="1:2">
      <c r="A4535" s="12">
        <f>DATE(2012,12,31)-134</f>
        <v>41140</v>
      </c>
      <c r="B4535" s="13">
        <v>1753.75</v>
      </c>
    </row>
    <row r="4536" s="6" customFormat="1" spans="1:2">
      <c r="A4536" s="12">
        <f>DATE(2012,12,31)-60</f>
        <v>41214</v>
      </c>
      <c r="B4536" s="13">
        <v>192.33</v>
      </c>
    </row>
    <row r="4537" s="6" customFormat="1" spans="1:2">
      <c r="A4537" s="12">
        <f>DATE(2012,12,31)-1152</f>
        <v>40122</v>
      </c>
      <c r="B4537" s="13">
        <v>183.22</v>
      </c>
    </row>
    <row r="4538" s="6" customFormat="1" spans="1:2">
      <c r="A4538" s="12">
        <f>DATE(2012,12,31)-1152</f>
        <v>40122</v>
      </c>
      <c r="B4538" s="13">
        <v>68.03</v>
      </c>
    </row>
    <row r="4539" s="6" customFormat="1" spans="1:2">
      <c r="A4539" s="12">
        <f>DATE(2012,12,31)-320</f>
        <v>40954</v>
      </c>
      <c r="B4539" s="13">
        <v>5008.761</v>
      </c>
    </row>
    <row r="4540" s="6" customFormat="1" spans="1:2">
      <c r="A4540" s="12">
        <f>DATE(2012,12,31)-320</f>
        <v>40954</v>
      </c>
      <c r="B4540" s="13">
        <v>13.53</v>
      </c>
    </row>
    <row r="4541" s="6" customFormat="1" spans="1:2">
      <c r="A4541" s="12">
        <f>DATE(2012,12,31)-1454</f>
        <v>39820</v>
      </c>
      <c r="B4541" s="13">
        <v>607.597</v>
      </c>
    </row>
    <row r="4542" s="6" customFormat="1" spans="1:2">
      <c r="A4542" s="12">
        <f>DATE(2012,12,31)-892</f>
        <v>40382</v>
      </c>
      <c r="B4542" s="13">
        <v>28.75</v>
      </c>
    </row>
    <row r="4543" spans="1:2">
      <c r="A4543" s="14">
        <f>DATE(2012,12,31)-892</f>
        <v>40382</v>
      </c>
      <c r="B4543" s="15">
        <v>75.81</v>
      </c>
    </row>
    <row r="4544" s="6" customFormat="1" spans="1:2">
      <c r="A4544" s="12">
        <f>DATE(2012,12,31)-892</f>
        <v>40382</v>
      </c>
      <c r="B4544" s="13">
        <v>259.7175</v>
      </c>
    </row>
    <row r="4545" s="6" customFormat="1" spans="1:2">
      <c r="A4545" s="12">
        <f>DATE(2012,12,31)-60</f>
        <v>41214</v>
      </c>
      <c r="B4545" s="13">
        <v>1103.73</v>
      </c>
    </row>
    <row r="4546" s="6" customFormat="1" spans="1:2">
      <c r="A4546" s="12">
        <f>DATE(2012,12,31)-792</f>
        <v>40482</v>
      </c>
      <c r="B4546" s="13">
        <v>929.81</v>
      </c>
    </row>
    <row r="4547" s="6" customFormat="1" spans="1:2">
      <c r="A4547" s="12">
        <f>DATE(2012,12,31)-146</f>
        <v>41128</v>
      </c>
      <c r="B4547" s="13">
        <v>20333.816</v>
      </c>
    </row>
    <row r="4548" s="6" customFormat="1" spans="1:2">
      <c r="A4548" s="12">
        <f>DATE(2012,12,31)-1321</f>
        <v>39953</v>
      </c>
      <c r="B4548" s="13">
        <v>211.86</v>
      </c>
    </row>
    <row r="4549" s="6" customFormat="1" spans="1:2">
      <c r="A4549" s="12">
        <f>DATE(2012,12,31)-1321</f>
        <v>39953</v>
      </c>
      <c r="B4549" s="13">
        <v>355.03</v>
      </c>
    </row>
    <row r="4550" s="6" customFormat="1" spans="1:2">
      <c r="A4550" s="12">
        <f>DATE(2012,12,31)-82</f>
        <v>41192</v>
      </c>
      <c r="B4550" s="13">
        <v>768.41</v>
      </c>
    </row>
    <row r="4551" s="6" customFormat="1" spans="1:2">
      <c r="A4551" s="12">
        <f>DATE(2012,12,31)-82</f>
        <v>41192</v>
      </c>
      <c r="B4551" s="13">
        <v>5238.192</v>
      </c>
    </row>
    <row r="4552" s="6" customFormat="1" spans="1:2">
      <c r="A4552" s="12">
        <f>DATE(2012,12,31)-257</f>
        <v>41017</v>
      </c>
      <c r="B4552" s="13">
        <v>1996.16</v>
      </c>
    </row>
    <row r="4553" s="6" customFormat="1" spans="1:2">
      <c r="A4553" s="12">
        <f>DATE(2012,12,31)-792</f>
        <v>40482</v>
      </c>
      <c r="B4553" s="13">
        <v>121.624</v>
      </c>
    </row>
    <row r="4554" s="6" customFormat="1" spans="1:2">
      <c r="A4554" s="12">
        <f>DATE(2012,12,31)-792</f>
        <v>40482</v>
      </c>
      <c r="B4554" s="13">
        <v>934.07</v>
      </c>
    </row>
    <row r="4555" s="6" customFormat="1" spans="1:2">
      <c r="A4555" s="12">
        <f>DATE(2012,12,31)-792</f>
        <v>40482</v>
      </c>
      <c r="B4555" s="13">
        <v>65.467</v>
      </c>
    </row>
    <row r="4556" s="6" customFormat="1" spans="1:2">
      <c r="A4556" s="12">
        <f>DATE(2012,12,31)-1456</f>
        <v>39818</v>
      </c>
      <c r="B4556" s="13">
        <v>1244.19</v>
      </c>
    </row>
    <row r="4557" s="6" customFormat="1" spans="1:2">
      <c r="A4557" s="12">
        <f>DATE(2012,12,31)-1251</f>
        <v>40023</v>
      </c>
      <c r="B4557" s="13">
        <v>175.08</v>
      </c>
    </row>
    <row r="4558" s="6" customFormat="1" spans="1:2">
      <c r="A4558" s="12">
        <f>DATE(2012,12,31)-1251</f>
        <v>40023</v>
      </c>
      <c r="B4558" s="13">
        <v>5369.46</v>
      </c>
    </row>
    <row r="4559" s="6" customFormat="1" spans="1:2">
      <c r="A4559" s="12">
        <f>DATE(2012,12,31)-22</f>
        <v>41252</v>
      </c>
      <c r="B4559" s="13">
        <v>277.58</v>
      </c>
    </row>
    <row r="4560" s="6" customFormat="1" spans="1:2">
      <c r="A4560" s="12">
        <f>DATE(2012,12,31)-22</f>
        <v>41252</v>
      </c>
      <c r="B4560" s="13">
        <v>4887.14</v>
      </c>
    </row>
    <row r="4561" s="6" customFormat="1" spans="1:2">
      <c r="A4561" s="12">
        <f>DATE(2012,12,31)-22</f>
        <v>41252</v>
      </c>
      <c r="B4561" s="13">
        <v>7195.2585</v>
      </c>
    </row>
    <row r="4562" s="6" customFormat="1" spans="1:2">
      <c r="A4562" s="12">
        <f>DATE(2012,12,31)-378</f>
        <v>40896</v>
      </c>
      <c r="B4562" s="13">
        <v>2638.79</v>
      </c>
    </row>
    <row r="4563" s="6" customFormat="1" spans="1:2">
      <c r="A4563" s="12">
        <f>DATE(2012,12,31)-1378</f>
        <v>39896</v>
      </c>
      <c r="B4563" s="13">
        <v>580.56</v>
      </c>
    </row>
    <row r="4564" s="6" customFormat="1" spans="1:2">
      <c r="A4564" s="12">
        <f>DATE(2012,12,31)-532</f>
        <v>40742</v>
      </c>
      <c r="B4564" s="13">
        <v>8.6</v>
      </c>
    </row>
    <row r="4565" spans="1:2">
      <c r="A4565" s="14">
        <f>DATE(2012,12,31)-641</f>
        <v>40633</v>
      </c>
      <c r="B4565" s="15">
        <v>83.89</v>
      </c>
    </row>
    <row r="4566" s="6" customFormat="1" spans="1:2">
      <c r="A4566" s="12">
        <f>DATE(2012,12,31)-830</f>
        <v>40444</v>
      </c>
      <c r="B4566" s="13">
        <v>4620.53</v>
      </c>
    </row>
    <row r="4567" s="6" customFormat="1" spans="1:2">
      <c r="A4567" s="12">
        <f>DATE(2012,12,31)-696</f>
        <v>40578</v>
      </c>
      <c r="B4567" s="13">
        <v>2502.67</v>
      </c>
    </row>
    <row r="4568" s="6" customFormat="1" spans="1:2">
      <c r="A4568" s="12">
        <f>DATE(2012,12,31)-333</f>
        <v>40941</v>
      </c>
      <c r="B4568" s="13">
        <v>3982.21</v>
      </c>
    </row>
    <row r="4569" s="6" customFormat="1" spans="1:2">
      <c r="A4569" s="12">
        <f>DATE(2012,12,31)-333</f>
        <v>40941</v>
      </c>
      <c r="B4569" s="13">
        <v>66.55</v>
      </c>
    </row>
    <row r="4570" spans="1:2">
      <c r="A4570" s="14">
        <f>DATE(2012,12,31)-799</f>
        <v>40475</v>
      </c>
      <c r="B4570" s="15">
        <v>43.96</v>
      </c>
    </row>
    <row r="4571" spans="1:2">
      <c r="A4571" s="14">
        <f>DATE(2012,12,31)-799</f>
        <v>40475</v>
      </c>
      <c r="B4571" s="15">
        <v>60.19</v>
      </c>
    </row>
    <row r="4572" s="6" customFormat="1" spans="1:2">
      <c r="A4572" s="12">
        <f>DATE(2012,12,31)-815</f>
        <v>40459</v>
      </c>
      <c r="B4572" s="13">
        <v>85.36</v>
      </c>
    </row>
    <row r="4573" s="6" customFormat="1" spans="1:2">
      <c r="A4573" s="12">
        <f>DATE(2012,12,31)-654</f>
        <v>40620</v>
      </c>
      <c r="B4573" s="13">
        <v>156.09</v>
      </c>
    </row>
    <row r="4574" s="6" customFormat="1" spans="1:2">
      <c r="A4574" s="12">
        <f>DATE(2012,12,31)-654</f>
        <v>40620</v>
      </c>
      <c r="B4574" s="13">
        <v>1294.023</v>
      </c>
    </row>
    <row r="4575" s="6" customFormat="1" spans="1:2">
      <c r="A4575" s="12">
        <f>DATE(2012,12,31)-473</f>
        <v>40801</v>
      </c>
      <c r="B4575" s="13">
        <v>166.8</v>
      </c>
    </row>
    <row r="4576" s="6" customFormat="1" spans="1:2">
      <c r="A4576" s="12">
        <f>DATE(2012,12,31)-473</f>
        <v>40801</v>
      </c>
      <c r="B4576" s="13">
        <v>261.38</v>
      </c>
    </row>
    <row r="4577" s="6" customFormat="1" spans="1:2">
      <c r="A4577" s="12">
        <f>DATE(2012,12,31)-1285</f>
        <v>39989</v>
      </c>
      <c r="B4577" s="13">
        <v>2780.88</v>
      </c>
    </row>
    <row r="4578" spans="1:2">
      <c r="A4578" s="14">
        <f>DATE(2012,12,31)-223</f>
        <v>41051</v>
      </c>
      <c r="B4578" s="15">
        <v>1361.91</v>
      </c>
    </row>
    <row r="4579" s="6" customFormat="1" spans="1:2">
      <c r="A4579" s="12">
        <f>DATE(2012,12,31)-134</f>
        <v>41140</v>
      </c>
      <c r="B4579" s="13">
        <v>316.99</v>
      </c>
    </row>
    <row r="4580" s="6" customFormat="1" spans="1:2">
      <c r="A4580" s="12">
        <f>DATE(2012,12,31)-134</f>
        <v>41140</v>
      </c>
      <c r="B4580" s="13">
        <v>1991.8985</v>
      </c>
    </row>
    <row r="4581" s="6" customFormat="1" spans="1:2">
      <c r="A4581" s="12">
        <f>DATE(2012,12,31)-1222</f>
        <v>40052</v>
      </c>
      <c r="B4581" s="13">
        <v>33.76</v>
      </c>
    </row>
    <row r="4582" s="6" customFormat="1" spans="1:2">
      <c r="A4582" s="12">
        <f>DATE(2012,12,31)-1222</f>
        <v>40052</v>
      </c>
      <c r="B4582" s="13">
        <v>3537.39</v>
      </c>
    </row>
    <row r="4583" s="6" customFormat="1" spans="1:2">
      <c r="A4583" s="12">
        <f>DATE(2012,12,31)-1222</f>
        <v>40052</v>
      </c>
      <c r="B4583" s="13">
        <v>986.24</v>
      </c>
    </row>
    <row r="4584" s="6" customFormat="1" spans="1:2">
      <c r="A4584" s="12">
        <f>DATE(2012,12,31)-1222</f>
        <v>40052</v>
      </c>
      <c r="B4584" s="13">
        <v>81.66</v>
      </c>
    </row>
    <row r="4585" s="6" customFormat="1" spans="1:2">
      <c r="A4585" s="12">
        <f>DATE(2012,12,31)-381</f>
        <v>40893</v>
      </c>
      <c r="B4585" s="13">
        <v>1359.74</v>
      </c>
    </row>
    <row r="4586" s="6" customFormat="1" spans="1:2">
      <c r="A4586" s="12">
        <f>DATE(2012,12,31)-381</f>
        <v>40893</v>
      </c>
      <c r="B4586" s="13">
        <v>5228.2</v>
      </c>
    </row>
    <row r="4587" s="6" customFormat="1" spans="1:2">
      <c r="A4587" s="12">
        <f>DATE(2012,12,31)-381</f>
        <v>40893</v>
      </c>
      <c r="B4587" s="13">
        <v>7174.9435</v>
      </c>
    </row>
    <row r="4588" spans="1:2">
      <c r="A4588" s="14">
        <f>DATE(2012,12,31)-107</f>
        <v>41167</v>
      </c>
      <c r="B4588" s="15">
        <v>126.69</v>
      </c>
    </row>
    <row r="4589" spans="1:2">
      <c r="A4589" s="14">
        <f>DATE(2012,12,31)-107</f>
        <v>41167</v>
      </c>
      <c r="B4589" s="15">
        <v>162.11</v>
      </c>
    </row>
    <row r="4590" s="6" customFormat="1" spans="1:2">
      <c r="A4590" s="12">
        <f>DATE(2012,12,31)-1016</f>
        <v>40258</v>
      </c>
      <c r="B4590" s="13">
        <v>167.53</v>
      </c>
    </row>
    <row r="4591" s="6" customFormat="1" spans="1:2">
      <c r="A4591" s="12">
        <f>DATE(2012,12,31)-277</f>
        <v>40997</v>
      </c>
      <c r="B4591" s="13">
        <v>1507.16</v>
      </c>
    </row>
    <row r="4592" s="6" customFormat="1" spans="1:2">
      <c r="A4592" s="12">
        <f>DATE(2012,12,31)-409</f>
        <v>40865</v>
      </c>
      <c r="B4592" s="13">
        <v>671.75</v>
      </c>
    </row>
    <row r="4593" s="6" customFormat="1" spans="1:2">
      <c r="A4593" s="12">
        <f>DATE(2012,12,31)-409</f>
        <v>40865</v>
      </c>
      <c r="B4593" s="13">
        <v>9541.04</v>
      </c>
    </row>
    <row r="4594" s="6" customFormat="1" spans="1:2">
      <c r="A4594" s="12">
        <f>DATE(2012,12,31)-1154</f>
        <v>40120</v>
      </c>
      <c r="B4594" s="13">
        <v>6865.19</v>
      </c>
    </row>
    <row r="4595" s="6" customFormat="1" spans="1:2">
      <c r="A4595" s="12">
        <f>DATE(2012,12,31)-1429</f>
        <v>39845</v>
      </c>
      <c r="B4595" s="13">
        <v>1697.44</v>
      </c>
    </row>
    <row r="4596" s="6" customFormat="1" spans="1:2">
      <c r="A4596" s="12">
        <f>DATE(2012,12,31)-1276</f>
        <v>39998</v>
      </c>
      <c r="B4596" s="13">
        <v>2017.5</v>
      </c>
    </row>
    <row r="4597" s="6" customFormat="1" spans="1:2">
      <c r="A4597" s="12">
        <f>DATE(2012,12,31)-1141</f>
        <v>40133</v>
      </c>
      <c r="B4597" s="13">
        <v>540.33</v>
      </c>
    </row>
    <row r="4598" s="6" customFormat="1" spans="1:2">
      <c r="A4598" s="12">
        <f>DATE(2012,12,31)-1160</f>
        <v>40114</v>
      </c>
      <c r="B4598" s="13">
        <v>367.11</v>
      </c>
    </row>
    <row r="4599" s="6" customFormat="1" spans="1:2">
      <c r="A4599" s="12">
        <f>DATE(2012,12,31)-1415</f>
        <v>39859</v>
      </c>
      <c r="B4599" s="13">
        <v>136.24</v>
      </c>
    </row>
    <row r="4600" s="6" customFormat="1" spans="1:2">
      <c r="A4600" s="12">
        <f>DATE(2012,12,31)-969</f>
        <v>40305</v>
      </c>
      <c r="B4600" s="13">
        <v>3548.67</v>
      </c>
    </row>
    <row r="4601" s="6" customFormat="1" spans="1:2">
      <c r="A4601" s="12">
        <f>DATE(2012,12,31)-1440</f>
        <v>39834</v>
      </c>
      <c r="B4601" s="13">
        <v>11336.37</v>
      </c>
    </row>
    <row r="4602" s="6" customFormat="1" spans="1:2">
      <c r="A4602" s="12">
        <f>DATE(2012,12,31)-1440</f>
        <v>39834</v>
      </c>
      <c r="B4602" s="13">
        <v>354.13</v>
      </c>
    </row>
    <row r="4603" s="6" customFormat="1" spans="1:2">
      <c r="A4603" s="12">
        <f>DATE(2012,12,31)-1440</f>
        <v>39834</v>
      </c>
      <c r="B4603" s="13">
        <v>751.94</v>
      </c>
    </row>
    <row r="4604" s="6" customFormat="1" spans="1:2">
      <c r="A4604" s="12">
        <f>DATE(2012,12,31)-381</f>
        <v>40893</v>
      </c>
      <c r="B4604" s="13">
        <v>371.95</v>
      </c>
    </row>
    <row r="4605" s="6" customFormat="1" spans="1:2">
      <c r="A4605" s="12">
        <f>DATE(2012,12,31)-381</f>
        <v>40893</v>
      </c>
      <c r="B4605" s="13">
        <v>96.07</v>
      </c>
    </row>
    <row r="4606" s="6" customFormat="1" spans="1:2">
      <c r="A4606" s="12">
        <f>DATE(2012,12,31)-113</f>
        <v>41161</v>
      </c>
      <c r="B4606" s="13">
        <v>174.81</v>
      </c>
    </row>
    <row r="4607" s="6" customFormat="1" spans="1:2">
      <c r="A4607" s="12">
        <f>DATE(2012,12,31)-113</f>
        <v>41161</v>
      </c>
      <c r="B4607" s="13">
        <v>89.51</v>
      </c>
    </row>
    <row r="4608" s="6" customFormat="1" spans="1:2">
      <c r="A4608" s="12">
        <f>DATE(2012,12,31)-559</f>
        <v>40715</v>
      </c>
      <c r="B4608" s="13">
        <v>178.78</v>
      </c>
    </row>
    <row r="4609" s="6" customFormat="1" spans="1:2">
      <c r="A4609" s="12">
        <f>DATE(2012,12,31)-559</f>
        <v>40715</v>
      </c>
      <c r="B4609" s="13">
        <v>175.99</v>
      </c>
    </row>
    <row r="4610" s="6" customFormat="1" spans="1:2">
      <c r="A4610" s="12">
        <f>DATE(2012,12,31)-559</f>
        <v>40715</v>
      </c>
      <c r="B4610" s="13">
        <v>221.23</v>
      </c>
    </row>
    <row r="4611" s="6" customFormat="1" spans="1:2">
      <c r="A4611" s="12">
        <f>DATE(2012,12,31)-857</f>
        <v>40417</v>
      </c>
      <c r="B4611" s="13">
        <v>3460.5625</v>
      </c>
    </row>
    <row r="4612" s="6" customFormat="1" spans="1:2">
      <c r="A4612" s="12">
        <f>DATE(2012,12,31)-177</f>
        <v>41097</v>
      </c>
      <c r="B4612" s="13">
        <v>572.4325</v>
      </c>
    </row>
    <row r="4613" s="6" customFormat="1" spans="1:2">
      <c r="A4613" s="12">
        <f>DATE(2012,12,31)-1444</f>
        <v>39830</v>
      </c>
      <c r="B4613" s="13">
        <v>1101.28</v>
      </c>
    </row>
    <row r="4614" s="6" customFormat="1" spans="1:2">
      <c r="A4614" s="12">
        <f>DATE(2012,12,31)-1375</f>
        <v>39899</v>
      </c>
      <c r="B4614" s="13">
        <v>322.03</v>
      </c>
    </row>
    <row r="4615" s="6" customFormat="1" spans="1:2">
      <c r="A4615" s="12">
        <f>DATE(2012,12,31)-1375</f>
        <v>39899</v>
      </c>
      <c r="B4615" s="13">
        <v>2470.84</v>
      </c>
    </row>
    <row r="4616" spans="1:2">
      <c r="A4616" s="14">
        <f>DATE(2012,12,31)-1375</f>
        <v>39899</v>
      </c>
      <c r="B4616" s="15">
        <v>15.26</v>
      </c>
    </row>
    <row r="4617" s="6" customFormat="1" spans="1:2">
      <c r="A4617" s="12">
        <f>DATE(2012,12,31)-1375</f>
        <v>39899</v>
      </c>
      <c r="B4617" s="13">
        <v>5250.6625</v>
      </c>
    </row>
    <row r="4618" s="6" customFormat="1" spans="1:2">
      <c r="A4618" s="12">
        <f>DATE(2012,12,31)-66</f>
        <v>41208</v>
      </c>
      <c r="B4618" s="13">
        <v>107.92</v>
      </c>
    </row>
    <row r="4619" s="6" customFormat="1" spans="1:2">
      <c r="A4619" s="12">
        <f>DATE(2012,12,31)-66</f>
        <v>41208</v>
      </c>
      <c r="B4619" s="13">
        <v>2151.08</v>
      </c>
    </row>
    <row r="4620" s="6" customFormat="1" spans="1:2">
      <c r="A4620" s="12">
        <f>DATE(2012,12,31)-66</f>
        <v>41208</v>
      </c>
      <c r="B4620" s="13">
        <v>939.77</v>
      </c>
    </row>
    <row r="4621" s="6" customFormat="1" spans="1:2">
      <c r="A4621" s="12">
        <f>DATE(2012,12,31)-721</f>
        <v>40553</v>
      </c>
      <c r="B4621" s="13">
        <v>49.74</v>
      </c>
    </row>
    <row r="4622" spans="1:2">
      <c r="A4622" s="14">
        <f>DATE(2012,12,31)-303</f>
        <v>40971</v>
      </c>
      <c r="B4622" s="15">
        <v>145.48</v>
      </c>
    </row>
    <row r="4623" s="6" customFormat="1" spans="1:2">
      <c r="A4623" s="12">
        <f>DATE(2012,12,31)-303</f>
        <v>40971</v>
      </c>
      <c r="B4623" s="13">
        <v>1638.67</v>
      </c>
    </row>
    <row r="4624" s="6" customFormat="1" spans="1:2">
      <c r="A4624" s="12">
        <f>DATE(2012,12,31)-303</f>
        <v>40971</v>
      </c>
      <c r="B4624" s="13">
        <v>64.1</v>
      </c>
    </row>
    <row r="4625" s="6" customFormat="1" spans="1:2">
      <c r="A4625" s="12">
        <f>DATE(2012,12,31)-158</f>
        <v>41116</v>
      </c>
      <c r="B4625" s="13">
        <v>454.58</v>
      </c>
    </row>
    <row r="4626" spans="1:2">
      <c r="A4626" s="14">
        <f>DATE(2012,12,31)-609</f>
        <v>40665</v>
      </c>
      <c r="B4626" s="15">
        <v>44.56</v>
      </c>
    </row>
    <row r="4627" spans="1:2">
      <c r="A4627" s="14">
        <f>DATE(2012,12,31)-609</f>
        <v>40665</v>
      </c>
      <c r="B4627" s="15">
        <v>152.14</v>
      </c>
    </row>
    <row r="4628" s="6" customFormat="1" spans="1:2">
      <c r="A4628" s="12">
        <f>DATE(2012,12,31)-1050</f>
        <v>40224</v>
      </c>
      <c r="B4628" s="13">
        <v>86.1</v>
      </c>
    </row>
    <row r="4629" s="6" customFormat="1" spans="1:2">
      <c r="A4629" s="12">
        <f>DATE(2012,12,31)-1050</f>
        <v>40224</v>
      </c>
      <c r="B4629" s="13">
        <v>298.11</v>
      </c>
    </row>
    <row r="4630" s="6" customFormat="1" spans="1:2">
      <c r="A4630" s="12">
        <f>DATE(2012,12,31)-1087</f>
        <v>40187</v>
      </c>
      <c r="B4630" s="13">
        <v>29884.6</v>
      </c>
    </row>
    <row r="4631" s="6" customFormat="1" spans="1:2">
      <c r="A4631" s="12">
        <f>DATE(2012,12,31)-676</f>
        <v>40598</v>
      </c>
      <c r="B4631" s="13">
        <v>11.15</v>
      </c>
    </row>
    <row r="4632" s="6" customFormat="1" spans="1:2">
      <c r="A4632" s="12">
        <f>DATE(2012,12,31)-676</f>
        <v>40598</v>
      </c>
      <c r="B4632" s="13">
        <v>2427.25</v>
      </c>
    </row>
    <row r="4633" s="6" customFormat="1" spans="1:2">
      <c r="A4633" s="12">
        <f>DATE(2012,12,31)-340</f>
        <v>40934</v>
      </c>
      <c r="B4633" s="13">
        <v>1035.2</v>
      </c>
    </row>
    <row r="4634" s="6" customFormat="1" spans="1:2">
      <c r="A4634" s="12">
        <f>DATE(2012,12,31)-340</f>
        <v>40934</v>
      </c>
      <c r="B4634" s="13">
        <v>74.17</v>
      </c>
    </row>
    <row r="4635" s="6" customFormat="1" spans="1:2">
      <c r="A4635" s="12">
        <f>DATE(2012,12,31)-106</f>
        <v>41168</v>
      </c>
      <c r="B4635" s="13">
        <v>226.41</v>
      </c>
    </row>
    <row r="4636" s="6" customFormat="1" spans="1:2">
      <c r="A4636" s="12">
        <f>DATE(2012,12,31)-745</f>
        <v>40529</v>
      </c>
      <c r="B4636" s="13">
        <v>262.29</v>
      </c>
    </row>
    <row r="4637" s="6" customFormat="1" spans="1:2">
      <c r="A4637" s="12">
        <f>DATE(2012,12,31)-745</f>
        <v>40529</v>
      </c>
      <c r="B4637" s="13">
        <v>116.314</v>
      </c>
    </row>
    <row r="4638" s="6" customFormat="1" spans="1:2">
      <c r="A4638" s="12">
        <f>DATE(2012,12,31)-824</f>
        <v>40450</v>
      </c>
      <c r="B4638" s="13">
        <v>1663.83</v>
      </c>
    </row>
    <row r="4639" s="6" customFormat="1" spans="1:2">
      <c r="A4639" s="12">
        <f>DATE(2012,12,31)-1357</f>
        <v>39917</v>
      </c>
      <c r="B4639" s="13">
        <v>1386.65</v>
      </c>
    </row>
    <row r="4640" spans="1:2">
      <c r="A4640" s="14">
        <f>DATE(2012,12,31)-1437</f>
        <v>39837</v>
      </c>
      <c r="B4640" s="15">
        <v>318.31</v>
      </c>
    </row>
    <row r="4641" s="6" customFormat="1" spans="1:2">
      <c r="A4641" s="12">
        <f>DATE(2012,12,31)-214</f>
        <v>41060</v>
      </c>
      <c r="B4641" s="13">
        <v>16028.26</v>
      </c>
    </row>
    <row r="4642" s="6" customFormat="1" spans="1:2">
      <c r="A4642" s="12">
        <f>DATE(2012,12,31)-214</f>
        <v>41060</v>
      </c>
      <c r="B4642" s="13">
        <v>738.2505</v>
      </c>
    </row>
    <row r="4643" s="6" customFormat="1" spans="1:2">
      <c r="A4643" s="12">
        <f>DATE(2012,12,31)-129</f>
        <v>41145</v>
      </c>
      <c r="B4643" s="13">
        <v>550.68</v>
      </c>
    </row>
    <row r="4644" s="6" customFormat="1" spans="1:2">
      <c r="A4644" s="12">
        <f>DATE(2012,12,31)-129</f>
        <v>41145</v>
      </c>
      <c r="B4644" s="13">
        <v>120.96</v>
      </c>
    </row>
    <row r="4645" s="6" customFormat="1" spans="1:2">
      <c r="A4645" s="12">
        <f>DATE(2012,12,31)-1046</f>
        <v>40228</v>
      </c>
      <c r="B4645" s="13">
        <v>15.88</v>
      </c>
    </row>
    <row r="4646" s="6" customFormat="1" spans="1:2">
      <c r="A4646" s="12">
        <f>DATE(2012,12,31)-535</f>
        <v>40739</v>
      </c>
      <c r="B4646" s="13">
        <v>5318.89</v>
      </c>
    </row>
    <row r="4647" s="6" customFormat="1" spans="1:2">
      <c r="A4647" s="12">
        <f>DATE(2012,12,31)-1244</f>
        <v>40030</v>
      </c>
      <c r="B4647" s="13">
        <v>1033.93</v>
      </c>
    </row>
    <row r="4648" s="6" customFormat="1" spans="1:2">
      <c r="A4648" s="12">
        <f>DATE(2012,12,31)-706</f>
        <v>40568</v>
      </c>
      <c r="B4648" s="13">
        <v>265.35</v>
      </c>
    </row>
    <row r="4649" s="6" customFormat="1" spans="1:2">
      <c r="A4649" s="12">
        <f>DATE(2012,12,31)-1415</f>
        <v>39859</v>
      </c>
      <c r="B4649" s="13">
        <v>4846.74</v>
      </c>
    </row>
    <row r="4650" s="6" customFormat="1" spans="1:2">
      <c r="A4650" s="12">
        <f>DATE(2012,12,31)-1415</f>
        <v>39859</v>
      </c>
      <c r="B4650" s="13">
        <v>2548.3</v>
      </c>
    </row>
    <row r="4651" s="6" customFormat="1" spans="1:2">
      <c r="A4651" s="12">
        <f>DATE(2012,12,31)-926</f>
        <v>40348</v>
      </c>
      <c r="B4651" s="13">
        <v>8468.63</v>
      </c>
    </row>
    <row r="4652" s="6" customFormat="1" spans="1:2">
      <c r="A4652" s="12">
        <f>DATE(2012,12,31)-768</f>
        <v>40506</v>
      </c>
      <c r="B4652" s="13">
        <v>6045.98</v>
      </c>
    </row>
    <row r="4653" s="6" customFormat="1" spans="1:2">
      <c r="A4653" s="12">
        <f>DATE(2012,12,31)-415</f>
        <v>40859</v>
      </c>
      <c r="B4653" s="13">
        <v>5979.84</v>
      </c>
    </row>
    <row r="4654" s="6" customFormat="1" spans="1:2">
      <c r="A4654" s="12">
        <f>DATE(2012,12,31)-415</f>
        <v>40859</v>
      </c>
      <c r="B4654" s="13">
        <v>175.76</v>
      </c>
    </row>
    <row r="4655" s="6" customFormat="1" spans="1:2">
      <c r="A4655" s="12">
        <f>DATE(2012,12,31)-771</f>
        <v>40503</v>
      </c>
      <c r="B4655" s="13">
        <v>2569.6265</v>
      </c>
    </row>
    <row r="4656" s="6" customFormat="1" spans="1:2">
      <c r="A4656" s="12">
        <f>DATE(2012,12,31)-881</f>
        <v>40393</v>
      </c>
      <c r="B4656" s="13">
        <v>368.0245</v>
      </c>
    </row>
    <row r="4657" s="6" customFormat="1" spans="1:2">
      <c r="A4657" s="12">
        <f>DATE(2012,12,31)-248</f>
        <v>41026</v>
      </c>
      <c r="B4657" s="13">
        <v>56.695</v>
      </c>
    </row>
    <row r="4658" s="6" customFormat="1" spans="1:2">
      <c r="A4658" s="12">
        <f>DATE(2012,12,31)-322</f>
        <v>40952</v>
      </c>
      <c r="B4658" s="13">
        <v>402.49</v>
      </c>
    </row>
    <row r="4659" s="6" customFormat="1" spans="1:2">
      <c r="A4659" s="12">
        <f>DATE(2012,12,31)-322</f>
        <v>40952</v>
      </c>
      <c r="B4659" s="13">
        <v>1754.29</v>
      </c>
    </row>
    <row r="4660" s="6" customFormat="1" spans="1:2">
      <c r="A4660" s="12">
        <f>DATE(2012,12,31)-125</f>
        <v>41149</v>
      </c>
      <c r="B4660" s="13">
        <v>1350.531</v>
      </c>
    </row>
    <row r="4661" s="6" customFormat="1" spans="1:2">
      <c r="A4661" s="12">
        <f>DATE(2012,12,31)-1137</f>
        <v>40137</v>
      </c>
      <c r="B4661" s="13">
        <v>87.21</v>
      </c>
    </row>
    <row r="4662" s="6" customFormat="1" spans="1:2">
      <c r="A4662" s="12">
        <f>DATE(2012,12,31)-1137</f>
        <v>40137</v>
      </c>
      <c r="B4662" s="13">
        <v>50.19</v>
      </c>
    </row>
    <row r="4663" s="6" customFormat="1" spans="1:2">
      <c r="A4663" s="12">
        <f>DATE(2012,12,31)-1390</f>
        <v>39884</v>
      </c>
      <c r="B4663" s="13">
        <v>1388.91</v>
      </c>
    </row>
    <row r="4664" s="6" customFormat="1" spans="1:2">
      <c r="A4664" s="12">
        <f>DATE(2012,12,31)-1390</f>
        <v>39884</v>
      </c>
      <c r="B4664" s="13">
        <v>1806.65</v>
      </c>
    </row>
    <row r="4665" s="6" customFormat="1" spans="1:2">
      <c r="A4665" s="12">
        <f>DATE(2012,12,31)-1090</f>
        <v>40184</v>
      </c>
      <c r="B4665" s="13">
        <v>113.8</v>
      </c>
    </row>
    <row r="4666" s="6" customFormat="1" spans="1:2">
      <c r="A4666" s="12">
        <f>DATE(2012,12,31)-1090</f>
        <v>40184</v>
      </c>
      <c r="B4666" s="13">
        <v>480.13</v>
      </c>
    </row>
    <row r="4667" s="6" customFormat="1" spans="1:2">
      <c r="A4667" s="12">
        <f>DATE(2012,12,31)-387</f>
        <v>40887</v>
      </c>
      <c r="B4667" s="13">
        <v>7341.96</v>
      </c>
    </row>
    <row r="4668" s="6" customFormat="1" spans="1:2">
      <c r="A4668" s="12">
        <f>DATE(2012,12,31)-1356</f>
        <v>39918</v>
      </c>
      <c r="B4668" s="13">
        <v>3291.13</v>
      </c>
    </row>
    <row r="4669" s="6" customFormat="1" spans="1:2">
      <c r="A4669" s="12">
        <f>DATE(2012,12,31)-1356</f>
        <v>39918</v>
      </c>
      <c r="B4669" s="13">
        <v>736.96</v>
      </c>
    </row>
    <row r="4670" s="6" customFormat="1" spans="1:2">
      <c r="A4670" s="12">
        <f>DATE(2012,12,31)-195</f>
        <v>41079</v>
      </c>
      <c r="B4670" s="13">
        <v>420.76</v>
      </c>
    </row>
    <row r="4671" s="6" customFormat="1" spans="1:2">
      <c r="A4671" s="12">
        <f>DATE(2012,12,31)-195</f>
        <v>41079</v>
      </c>
      <c r="B4671" s="13">
        <v>1676.46</v>
      </c>
    </row>
    <row r="4672" s="6" customFormat="1" spans="1:2">
      <c r="A4672" s="12">
        <f>DATE(2012,12,31)-195</f>
        <v>41079</v>
      </c>
      <c r="B4672" s="13">
        <v>145.66</v>
      </c>
    </row>
    <row r="4673" s="6" customFormat="1" spans="1:2">
      <c r="A4673" s="12">
        <f>DATE(2012,12,31)-1285</f>
        <v>39989</v>
      </c>
      <c r="B4673" s="13">
        <v>7381.19</v>
      </c>
    </row>
    <row r="4674" spans="1:2">
      <c r="A4674" s="14">
        <f>DATE(2012,12,31)-397</f>
        <v>40877</v>
      </c>
      <c r="B4674" s="15">
        <v>24.2</v>
      </c>
    </row>
    <row r="4675" s="6" customFormat="1" spans="1:2">
      <c r="A4675" s="12">
        <f>DATE(2012,12,31)-397</f>
        <v>40877</v>
      </c>
      <c r="B4675" s="13">
        <v>524.212</v>
      </c>
    </row>
    <row r="4676" s="6" customFormat="1" spans="1:2">
      <c r="A4676" s="12">
        <f>DATE(2012,12,31)-424</f>
        <v>40850</v>
      </c>
      <c r="B4676" s="13">
        <v>466.35</v>
      </c>
    </row>
    <row r="4677" spans="1:2">
      <c r="A4677" s="14">
        <f>DATE(2012,12,31)-921</f>
        <v>40353</v>
      </c>
      <c r="B4677" s="15">
        <v>108.21</v>
      </c>
    </row>
    <row r="4678" s="6" customFormat="1" spans="1:2">
      <c r="A4678" s="12">
        <f>DATE(2012,12,31)-1017</f>
        <v>40257</v>
      </c>
      <c r="B4678" s="13">
        <v>10462.54</v>
      </c>
    </row>
    <row r="4679" s="6" customFormat="1" spans="1:2">
      <c r="A4679" s="12">
        <f>DATE(2012,12,31)-275</f>
        <v>40999</v>
      </c>
      <c r="B4679" s="13">
        <v>480.39</v>
      </c>
    </row>
    <row r="4680" s="6" customFormat="1" spans="1:2">
      <c r="A4680" s="12">
        <f>DATE(2012,12,31)-347</f>
        <v>40927</v>
      </c>
      <c r="B4680" s="13">
        <v>66.92</v>
      </c>
    </row>
    <row r="4681" s="6" customFormat="1" spans="1:2">
      <c r="A4681" s="12">
        <f>DATE(2012,12,31)-619</f>
        <v>40655</v>
      </c>
      <c r="B4681" s="13">
        <v>11904.55</v>
      </c>
    </row>
    <row r="4682" s="6" customFormat="1" spans="1:2">
      <c r="A4682" s="12">
        <f>DATE(2012,12,31)-1330</f>
        <v>39944</v>
      </c>
      <c r="B4682" s="13">
        <v>203.35</v>
      </c>
    </row>
    <row r="4683" s="6" customFormat="1" spans="1:2">
      <c r="A4683" s="12">
        <f>DATE(2012,12,31)-1330</f>
        <v>39944</v>
      </c>
      <c r="B4683" s="13">
        <v>44.52</v>
      </c>
    </row>
    <row r="4684" s="6" customFormat="1" spans="1:2">
      <c r="A4684" s="12">
        <f>DATE(2012,12,31)-1330</f>
        <v>39944</v>
      </c>
      <c r="B4684" s="13">
        <v>58.9</v>
      </c>
    </row>
    <row r="4685" s="6" customFormat="1" spans="1:2">
      <c r="A4685" s="12">
        <f>DATE(2012,12,31)-1330</f>
        <v>39944</v>
      </c>
      <c r="B4685" s="13">
        <v>602.4205</v>
      </c>
    </row>
    <row r="4686" s="6" customFormat="1" spans="1:2">
      <c r="A4686" s="12">
        <f>DATE(2012,12,31)-1375</f>
        <v>39899</v>
      </c>
      <c r="B4686" s="13">
        <v>1736.26</v>
      </c>
    </row>
    <row r="4687" s="6" customFormat="1" spans="1:2">
      <c r="A4687" s="12">
        <f>DATE(2012,12,31)-1259</f>
        <v>40015</v>
      </c>
      <c r="B4687" s="13">
        <v>1786.04</v>
      </c>
    </row>
    <row r="4688" s="6" customFormat="1" spans="1:2">
      <c r="A4688" s="12">
        <f>DATE(2012,12,31)-519</f>
        <v>40755</v>
      </c>
      <c r="B4688" s="13">
        <v>100.4</v>
      </c>
    </row>
    <row r="4689" s="6" customFormat="1" spans="1:2">
      <c r="A4689" s="12">
        <f>DATE(2012,12,31)-519</f>
        <v>40755</v>
      </c>
      <c r="B4689" s="13">
        <v>327.15</v>
      </c>
    </row>
    <row r="4690" s="6" customFormat="1" spans="1:2">
      <c r="A4690" s="12">
        <f>DATE(2012,12,31)-248</f>
        <v>41026</v>
      </c>
      <c r="B4690" s="13">
        <v>945.36</v>
      </c>
    </row>
    <row r="4691" spans="1:2">
      <c r="A4691" s="14">
        <f>DATE(2012,12,31)-325</f>
        <v>40949</v>
      </c>
      <c r="B4691" s="15">
        <v>37.22</v>
      </c>
    </row>
    <row r="4692" s="6" customFormat="1" spans="1:2">
      <c r="A4692" s="12">
        <f>DATE(2012,12,31)-86</f>
        <v>41188</v>
      </c>
      <c r="B4692" s="13">
        <v>30.51</v>
      </c>
    </row>
    <row r="4693" s="6" customFormat="1" spans="1:2">
      <c r="A4693" s="12">
        <f>DATE(2012,12,31)-86</f>
        <v>41188</v>
      </c>
      <c r="B4693" s="13">
        <v>127.8</v>
      </c>
    </row>
    <row r="4694" s="6" customFormat="1" spans="1:2">
      <c r="A4694" s="12">
        <f>DATE(2012,12,31)-151</f>
        <v>41123</v>
      </c>
      <c r="B4694" s="13">
        <v>1776.96</v>
      </c>
    </row>
    <row r="4695" s="6" customFormat="1" spans="1:2">
      <c r="A4695" s="12">
        <f>DATE(2012,12,31)-151</f>
        <v>41123</v>
      </c>
      <c r="B4695" s="13">
        <v>3642.14</v>
      </c>
    </row>
    <row r="4696" s="6" customFormat="1" spans="1:2">
      <c r="A4696" s="12">
        <f>DATE(2012,12,31)-151</f>
        <v>41123</v>
      </c>
      <c r="B4696" s="13">
        <v>2982.5</v>
      </c>
    </row>
    <row r="4697" s="6" customFormat="1" spans="1:2">
      <c r="A4697" s="12">
        <f>DATE(2012,12,31)-727</f>
        <v>40547</v>
      </c>
      <c r="B4697" s="13">
        <v>600.22</v>
      </c>
    </row>
    <row r="4698" s="6" customFormat="1" spans="1:2">
      <c r="A4698" s="12">
        <f>DATE(2012,12,31)-73</f>
        <v>41201</v>
      </c>
      <c r="B4698" s="13">
        <v>269.28</v>
      </c>
    </row>
    <row r="4699" s="6" customFormat="1" spans="1:2">
      <c r="A4699" s="12">
        <f>DATE(2012,12,31)-931</f>
        <v>40343</v>
      </c>
      <c r="B4699" s="13">
        <v>125.9</v>
      </c>
    </row>
    <row r="4700" s="6" customFormat="1" spans="1:2">
      <c r="A4700" s="12">
        <f>DATE(2012,12,31)-104</f>
        <v>41170</v>
      </c>
      <c r="B4700" s="13">
        <v>762.2</v>
      </c>
    </row>
    <row r="4701" s="6" customFormat="1" spans="1:2">
      <c r="A4701" s="12">
        <f>DATE(2012,12,31)-104</f>
        <v>41170</v>
      </c>
      <c r="B4701" s="13">
        <v>235.45</v>
      </c>
    </row>
    <row r="4702" s="6" customFormat="1" spans="1:2">
      <c r="A4702" s="12">
        <f>DATE(2012,12,31)-104</f>
        <v>41170</v>
      </c>
      <c r="B4702" s="13">
        <v>161.87</v>
      </c>
    </row>
    <row r="4703" s="6" customFormat="1" spans="1:2">
      <c r="A4703" s="12">
        <f>DATE(2012,12,31)-828</f>
        <v>40446</v>
      </c>
      <c r="B4703" s="13">
        <v>117.78</v>
      </c>
    </row>
    <row r="4704" s="6" customFormat="1" spans="1:2">
      <c r="A4704" s="12">
        <f>DATE(2012,12,31)-828</f>
        <v>40446</v>
      </c>
      <c r="B4704" s="13">
        <v>2463.2405</v>
      </c>
    </row>
    <row r="4705" s="6" customFormat="1" spans="1:2">
      <c r="A4705" s="12">
        <f>DATE(2012,12,31)-395</f>
        <v>40879</v>
      </c>
      <c r="B4705" s="13">
        <v>267.06</v>
      </c>
    </row>
    <row r="4706" spans="1:2">
      <c r="A4706" s="14">
        <f>DATE(2012,12,31)-395</f>
        <v>40879</v>
      </c>
      <c r="B4706" s="15">
        <v>449.79</v>
      </c>
    </row>
    <row r="4707" s="6" customFormat="1" spans="1:2">
      <c r="A4707" s="12">
        <f>DATE(2012,12,31)-871</f>
        <v>40403</v>
      </c>
      <c r="B4707" s="13">
        <v>45.38</v>
      </c>
    </row>
    <row r="4708" s="6" customFormat="1" spans="1:2">
      <c r="A4708" s="12">
        <f>DATE(2012,12,31)-871</f>
        <v>40403</v>
      </c>
      <c r="B4708" s="13">
        <v>163.3105</v>
      </c>
    </row>
    <row r="4709" s="6" customFormat="1" spans="1:2">
      <c r="A4709" s="12">
        <f>DATE(2012,12,31)-574</f>
        <v>40700</v>
      </c>
      <c r="B4709" s="13">
        <v>190.99</v>
      </c>
    </row>
    <row r="4710" s="6" customFormat="1" spans="1:2">
      <c r="A4710" s="12">
        <f>DATE(2012,12,31)-195</f>
        <v>41079</v>
      </c>
      <c r="B4710" s="13">
        <v>512.78</v>
      </c>
    </row>
    <row r="4711" s="6" customFormat="1" spans="1:2">
      <c r="A4711" s="12">
        <f>DATE(2012,12,31)-163</f>
        <v>41111</v>
      </c>
      <c r="B4711" s="13">
        <v>628.73</v>
      </c>
    </row>
    <row r="4712" s="6" customFormat="1" spans="1:2">
      <c r="A4712" s="12">
        <f>DATE(2012,12,31)-163</f>
        <v>41111</v>
      </c>
      <c r="B4712" s="13">
        <v>385.81</v>
      </c>
    </row>
    <row r="4713" s="6" customFormat="1" spans="1:2">
      <c r="A4713" s="12">
        <f>DATE(2012,12,31)-1221</f>
        <v>40053</v>
      </c>
      <c r="B4713" s="13">
        <v>123.92</v>
      </c>
    </row>
    <row r="4714" s="6" customFormat="1" spans="1:2">
      <c r="A4714" s="12">
        <f>DATE(2012,12,31)-15</f>
        <v>41259</v>
      </c>
      <c r="B4714" s="13">
        <v>265.88</v>
      </c>
    </row>
    <row r="4715" s="6" customFormat="1" spans="1:2">
      <c r="A4715" s="12">
        <f>DATE(2012,12,31)-15</f>
        <v>41259</v>
      </c>
      <c r="B4715" s="13">
        <v>1500.82</v>
      </c>
    </row>
    <row r="4716" s="6" customFormat="1" spans="1:2">
      <c r="A4716" s="12">
        <f>DATE(2012,12,31)-15</f>
        <v>41259</v>
      </c>
      <c r="B4716" s="13">
        <v>3093.864</v>
      </c>
    </row>
    <row r="4717" s="6" customFormat="1" spans="1:2">
      <c r="A4717" s="12">
        <f>DATE(2012,12,31)-447</f>
        <v>40827</v>
      </c>
      <c r="B4717" s="13">
        <v>7.15</v>
      </c>
    </row>
    <row r="4718" s="6" customFormat="1" spans="1:2">
      <c r="A4718" s="12">
        <f>DATE(2012,12,31)-819</f>
        <v>40455</v>
      </c>
      <c r="B4718" s="13">
        <v>2272.56</v>
      </c>
    </row>
    <row r="4719" s="6" customFormat="1" spans="1:2">
      <c r="A4719" s="12">
        <f>DATE(2012,12,31)-817</f>
        <v>40457</v>
      </c>
      <c r="B4719" s="13">
        <v>187.28</v>
      </c>
    </row>
    <row r="4720" s="6" customFormat="1" spans="1:2">
      <c r="A4720" s="12">
        <f>DATE(2012,12,31)-501</f>
        <v>40773</v>
      </c>
      <c r="B4720" s="13">
        <v>59.62</v>
      </c>
    </row>
    <row r="4721" s="6" customFormat="1" spans="1:2">
      <c r="A4721" s="12">
        <f>DATE(2012,12,31)-272</f>
        <v>41002</v>
      </c>
      <c r="B4721" s="13">
        <v>153.01</v>
      </c>
    </row>
    <row r="4722" s="6" customFormat="1" spans="1:2">
      <c r="A4722" s="12">
        <f>DATE(2012,12,31)-305</f>
        <v>40969</v>
      </c>
      <c r="B4722" s="13">
        <v>410.03</v>
      </c>
    </row>
    <row r="4723" s="6" customFormat="1" spans="1:2">
      <c r="A4723" s="12">
        <f>DATE(2012,12,31)-1024</f>
        <v>40250</v>
      </c>
      <c r="B4723" s="13">
        <v>763.6485</v>
      </c>
    </row>
    <row r="4724" s="6" customFormat="1" spans="1:2">
      <c r="A4724" s="12">
        <f>DATE(2012,12,31)-853</f>
        <v>40421</v>
      </c>
      <c r="B4724" s="13">
        <v>271.34</v>
      </c>
    </row>
    <row r="4725" s="6" customFormat="1" spans="1:2">
      <c r="A4725" s="12">
        <f>DATE(2012,12,31)-1268</f>
        <v>40006</v>
      </c>
      <c r="B4725" s="13">
        <v>477.76</v>
      </c>
    </row>
    <row r="4726" spans="1:2">
      <c r="A4726" s="14">
        <f>DATE(2012,12,31)-1268</f>
        <v>40006</v>
      </c>
      <c r="B4726" s="15">
        <v>112.18</v>
      </c>
    </row>
    <row r="4727" s="6" customFormat="1" spans="1:2">
      <c r="A4727" s="12">
        <f>DATE(2012,12,31)-37</f>
        <v>41237</v>
      </c>
      <c r="B4727" s="13">
        <v>192.21</v>
      </c>
    </row>
    <row r="4728" s="6" customFormat="1" spans="1:2">
      <c r="A4728" s="12">
        <f>DATE(2012,12,31)-586</f>
        <v>40688</v>
      </c>
      <c r="B4728" s="13">
        <v>12457.63</v>
      </c>
    </row>
    <row r="4729" s="6" customFormat="1" spans="1:2">
      <c r="A4729" s="12">
        <f>DATE(2012,12,31)-168</f>
        <v>41106</v>
      </c>
      <c r="B4729" s="13">
        <v>3801.27</v>
      </c>
    </row>
    <row r="4730" s="6" customFormat="1" spans="1:2">
      <c r="A4730" s="12">
        <f>DATE(2012,12,31)-248</f>
        <v>41026</v>
      </c>
      <c r="B4730" s="13">
        <v>207.54</v>
      </c>
    </row>
    <row r="4731" s="6" customFormat="1" spans="1:2">
      <c r="A4731" s="12">
        <f>DATE(2012,12,31)-248</f>
        <v>41026</v>
      </c>
      <c r="B4731" s="13">
        <v>17.33</v>
      </c>
    </row>
    <row r="4732" s="6" customFormat="1" spans="1:2">
      <c r="A4732" s="12">
        <f>DATE(2012,12,31)-1334</f>
        <v>39940</v>
      </c>
      <c r="B4732" s="13">
        <v>57.73</v>
      </c>
    </row>
    <row r="4733" s="6" customFormat="1" spans="1:2">
      <c r="A4733" s="12">
        <f>DATE(2012,12,31)-1254</f>
        <v>40020</v>
      </c>
      <c r="B4733" s="13">
        <v>290.07</v>
      </c>
    </row>
    <row r="4734" s="6" customFormat="1" spans="1:2">
      <c r="A4734" s="12">
        <f>DATE(2012,12,31)-1254</f>
        <v>40020</v>
      </c>
      <c r="B4734" s="13">
        <v>1619.51</v>
      </c>
    </row>
    <row r="4735" s="6" customFormat="1" spans="1:2">
      <c r="A4735" s="12">
        <f>DATE(2012,12,31)-1254</f>
        <v>40020</v>
      </c>
      <c r="B4735" s="13">
        <v>196.81</v>
      </c>
    </row>
    <row r="4736" s="6" customFormat="1" spans="1:2">
      <c r="A4736" s="12">
        <f>DATE(2012,12,31)-634</f>
        <v>40640</v>
      </c>
      <c r="B4736" s="13">
        <v>260.13</v>
      </c>
    </row>
    <row r="4737" s="6" customFormat="1" spans="1:2">
      <c r="A4737" s="12">
        <f>DATE(2012,12,31)-1187</f>
        <v>40087</v>
      </c>
      <c r="B4737" s="13">
        <v>2333.06</v>
      </c>
    </row>
    <row r="4738" s="6" customFormat="1" spans="1:2">
      <c r="A4738" s="12">
        <f>DATE(2012,12,31)-120</f>
        <v>41154</v>
      </c>
      <c r="B4738" s="13">
        <v>56.26</v>
      </c>
    </row>
    <row r="4739" s="6" customFormat="1" spans="1:2">
      <c r="A4739" s="12">
        <f>DATE(2012,12,31)-1059</f>
        <v>40215</v>
      </c>
      <c r="B4739" s="13">
        <v>242.36</v>
      </c>
    </row>
    <row r="4740" s="6" customFormat="1" spans="1:2">
      <c r="A4740" s="12">
        <f>DATE(2012,12,31)-1059</f>
        <v>40215</v>
      </c>
      <c r="B4740" s="13">
        <v>802.19</v>
      </c>
    </row>
    <row r="4741" s="6" customFormat="1" spans="1:2">
      <c r="A4741" s="12">
        <f>DATE(2012,12,31)-1059</f>
        <v>40215</v>
      </c>
      <c r="B4741" s="13">
        <v>63.52</v>
      </c>
    </row>
    <row r="4742" s="6" customFormat="1" spans="1:2">
      <c r="A4742" s="12">
        <f>DATE(2012,12,31)-103</f>
        <v>41171</v>
      </c>
      <c r="B4742" s="13">
        <v>6995.56</v>
      </c>
    </row>
    <row r="4743" s="6" customFormat="1" spans="1:2">
      <c r="A4743" s="12">
        <f>DATE(2012,12,31)-84</f>
        <v>41190</v>
      </c>
      <c r="B4743" s="13">
        <v>8213.37</v>
      </c>
    </row>
    <row r="4744" s="6" customFormat="1" spans="1:2">
      <c r="A4744" s="12">
        <f>DATE(2012,12,31)-84</f>
        <v>41190</v>
      </c>
      <c r="B4744" s="13">
        <v>109.01</v>
      </c>
    </row>
    <row r="4745" s="6" customFormat="1" spans="1:2">
      <c r="A4745" s="12">
        <f>DATE(2012,12,31)-84</f>
        <v>41190</v>
      </c>
      <c r="B4745" s="13">
        <v>138.88</v>
      </c>
    </row>
    <row r="4746" s="6" customFormat="1" spans="1:2">
      <c r="A4746" s="12">
        <f>DATE(2012,12,31)-1221</f>
        <v>40053</v>
      </c>
      <c r="B4746" s="13">
        <v>332.95</v>
      </c>
    </row>
    <row r="4747" s="6" customFormat="1" spans="1:2">
      <c r="A4747" s="12">
        <f>DATE(2012,12,31)-441</f>
        <v>40833</v>
      </c>
      <c r="B4747" s="13">
        <v>371.94</v>
      </c>
    </row>
    <row r="4748" spans="1:2">
      <c r="A4748" s="14">
        <f>DATE(2012,12,31)-149</f>
        <v>41125</v>
      </c>
      <c r="B4748" s="15">
        <v>463.93</v>
      </c>
    </row>
    <row r="4749" s="6" customFormat="1" spans="1:2">
      <c r="A4749" s="12">
        <f>DATE(2012,12,31)-830</f>
        <v>40444</v>
      </c>
      <c r="B4749" s="13">
        <v>10791.38</v>
      </c>
    </row>
    <row r="4750" s="6" customFormat="1" spans="1:2">
      <c r="A4750" s="12">
        <f>DATE(2012,12,31)-690</f>
        <v>40584</v>
      </c>
      <c r="B4750" s="13">
        <v>226.15</v>
      </c>
    </row>
    <row r="4751" s="6" customFormat="1" spans="1:2">
      <c r="A4751" s="12">
        <f>DATE(2012,12,31)-690</f>
        <v>40584</v>
      </c>
      <c r="B4751" s="13">
        <v>539.82</v>
      </c>
    </row>
    <row r="4752" s="6" customFormat="1" spans="1:2">
      <c r="A4752" s="12">
        <f>DATE(2012,12,31)-690</f>
        <v>40584</v>
      </c>
      <c r="B4752" s="13">
        <v>1029.8855</v>
      </c>
    </row>
    <row r="4753" s="6" customFormat="1" spans="1:2">
      <c r="A4753" s="12">
        <f>DATE(2012,12,31)-187</f>
        <v>41087</v>
      </c>
      <c r="B4753" s="13">
        <v>267.58</v>
      </c>
    </row>
    <row r="4754" s="6" customFormat="1" spans="1:2">
      <c r="A4754" s="12">
        <f>DATE(2012,12,31)-678</f>
        <v>40596</v>
      </c>
      <c r="B4754" s="13">
        <v>92.77</v>
      </c>
    </row>
    <row r="4755" s="6" customFormat="1" spans="1:2">
      <c r="A4755" s="12">
        <f>DATE(2012,12,31)-1450</f>
        <v>39824</v>
      </c>
      <c r="B4755" s="13">
        <v>4531.34</v>
      </c>
    </row>
    <row r="4756" s="6" customFormat="1" spans="1:2">
      <c r="A4756" s="12">
        <f>DATE(2012,12,31)-1450</f>
        <v>39824</v>
      </c>
      <c r="B4756" s="13">
        <v>574.5</v>
      </c>
    </row>
    <row r="4757" s="6" customFormat="1" spans="1:2">
      <c r="A4757" s="12">
        <f>DATE(2012,12,31)-1450</f>
        <v>39824</v>
      </c>
      <c r="B4757" s="13">
        <v>262.94</v>
      </c>
    </row>
    <row r="4758" s="6" customFormat="1" spans="1:2">
      <c r="A4758" s="12">
        <f>DATE(2012,12,31)-1450</f>
        <v>39824</v>
      </c>
      <c r="B4758" s="13">
        <v>138.17</v>
      </c>
    </row>
    <row r="4759" spans="1:2">
      <c r="A4759" s="14">
        <f>DATE(2012,12,31)-1450</f>
        <v>39824</v>
      </c>
      <c r="B4759" s="15">
        <v>216.87</v>
      </c>
    </row>
    <row r="4760" s="6" customFormat="1" spans="1:2">
      <c r="A4760" s="12">
        <f>DATE(2012,12,31)-670</f>
        <v>40604</v>
      </c>
      <c r="B4760" s="13">
        <v>50.99</v>
      </c>
    </row>
    <row r="4761" s="6" customFormat="1" spans="1:2">
      <c r="A4761" s="12">
        <f>DATE(2012,12,31)-743</f>
        <v>40531</v>
      </c>
      <c r="B4761" s="13">
        <v>185.83</v>
      </c>
    </row>
    <row r="4762" s="6" customFormat="1" spans="1:2">
      <c r="A4762" s="12">
        <f>DATE(2012,12,31)-977</f>
        <v>40297</v>
      </c>
      <c r="B4762" s="13">
        <v>130.16</v>
      </c>
    </row>
    <row r="4763" s="6" customFormat="1" spans="1:2">
      <c r="A4763" s="12">
        <f>DATE(2012,12,31)-923</f>
        <v>40351</v>
      </c>
      <c r="B4763" s="13">
        <v>125.57</v>
      </c>
    </row>
    <row r="4764" s="6" customFormat="1" spans="1:2">
      <c r="A4764" s="12">
        <f>DATE(2012,12,31)-1229</f>
        <v>40045</v>
      </c>
      <c r="B4764" s="13">
        <v>349.43</v>
      </c>
    </row>
    <row r="4765" s="6" customFormat="1" spans="1:2">
      <c r="A4765" s="12">
        <f>DATE(2012,12,31)-1229</f>
        <v>40045</v>
      </c>
      <c r="B4765" s="13">
        <v>58.33</v>
      </c>
    </row>
    <row r="4766" s="6" customFormat="1" spans="1:2">
      <c r="A4766" s="12">
        <f>DATE(2012,12,31)-1229</f>
        <v>40045</v>
      </c>
      <c r="B4766" s="13">
        <v>10377.22</v>
      </c>
    </row>
    <row r="4767" s="6" customFormat="1" spans="1:2">
      <c r="A4767" s="12">
        <f>DATE(2012,12,31)-786</f>
        <v>40488</v>
      </c>
      <c r="B4767" s="13">
        <v>9046.33</v>
      </c>
    </row>
    <row r="4768" s="6" customFormat="1" spans="1:2">
      <c r="A4768" s="12">
        <f>DATE(2012,12,31)-786</f>
        <v>40488</v>
      </c>
      <c r="B4768" s="13">
        <v>367.96</v>
      </c>
    </row>
    <row r="4769" s="6" customFormat="1" spans="1:2">
      <c r="A4769" s="12">
        <f>DATE(2012,12,31)-786</f>
        <v>40488</v>
      </c>
      <c r="B4769" s="13">
        <v>159.05</v>
      </c>
    </row>
    <row r="4770" s="6" customFormat="1" spans="1:2">
      <c r="A4770" s="12">
        <f>DATE(2012,12,31)-786</f>
        <v>40488</v>
      </c>
      <c r="B4770" s="13">
        <v>116.14</v>
      </c>
    </row>
    <row r="4771" s="6" customFormat="1" spans="1:2">
      <c r="A4771" s="12">
        <f>DATE(2012,12,31)-102</f>
        <v>41172</v>
      </c>
      <c r="B4771" s="13">
        <v>232.21</v>
      </c>
    </row>
    <row r="4772" s="6" customFormat="1" spans="1:2">
      <c r="A4772" s="12">
        <f>DATE(2012,12,31)-102</f>
        <v>41172</v>
      </c>
      <c r="B4772" s="13">
        <v>88.3</v>
      </c>
    </row>
    <row r="4773" s="6" customFormat="1" spans="1:2">
      <c r="A4773" s="12">
        <f>DATE(2012,12,31)-931</f>
        <v>40343</v>
      </c>
      <c r="B4773" s="13">
        <v>140.66</v>
      </c>
    </row>
    <row r="4774" s="6" customFormat="1" spans="1:2">
      <c r="A4774" s="12">
        <f>DATE(2012,12,31)-931</f>
        <v>40343</v>
      </c>
      <c r="B4774" s="13">
        <v>42.89</v>
      </c>
    </row>
    <row r="4775" s="6" customFormat="1" spans="1:2">
      <c r="A4775" s="12">
        <f>DATE(2012,12,31)-931</f>
        <v>40343</v>
      </c>
      <c r="B4775" s="13">
        <v>226.5</v>
      </c>
    </row>
    <row r="4776" s="6" customFormat="1" spans="1:2">
      <c r="A4776" s="12">
        <f>DATE(2012,12,31)-931</f>
        <v>40343</v>
      </c>
      <c r="B4776" s="13">
        <v>438.93</v>
      </c>
    </row>
    <row r="4777" s="6" customFormat="1" spans="1:2">
      <c r="A4777" s="12">
        <f>DATE(2012,12,31)-1007</f>
        <v>40267</v>
      </c>
      <c r="B4777" s="13">
        <v>1794.03</v>
      </c>
    </row>
    <row r="4778" s="6" customFormat="1" spans="1:2">
      <c r="A4778" s="12">
        <f>DATE(2012,12,31)-1038</f>
        <v>40236</v>
      </c>
      <c r="B4778" s="13">
        <v>15251.5</v>
      </c>
    </row>
    <row r="4779" s="6" customFormat="1" spans="1:2">
      <c r="A4779" s="12">
        <f>DATE(2012,12,31)-1454</f>
        <v>39820</v>
      </c>
      <c r="B4779" s="13">
        <v>1961.7915</v>
      </c>
    </row>
    <row r="4780" s="6" customFormat="1" spans="1:2">
      <c r="A4780" s="12">
        <f>DATE(2012,12,31)-74</f>
        <v>41200</v>
      </c>
      <c r="B4780" s="13">
        <v>6168.07</v>
      </c>
    </row>
    <row r="4781" s="6" customFormat="1" spans="1:2">
      <c r="A4781" s="12">
        <f>DATE(2012,12,31)-608</f>
        <v>40666</v>
      </c>
      <c r="B4781" s="13">
        <v>1488.86</v>
      </c>
    </row>
    <row r="4782" s="6" customFormat="1" spans="1:2">
      <c r="A4782" s="12">
        <f>DATE(2012,12,31)-347</f>
        <v>40927</v>
      </c>
      <c r="B4782" s="13">
        <v>109.58</v>
      </c>
    </row>
    <row r="4783" s="6" customFormat="1" spans="1:2">
      <c r="A4783" s="12">
        <f>DATE(2012,12,31)-698</f>
        <v>40576</v>
      </c>
      <c r="B4783" s="13">
        <v>462.366</v>
      </c>
    </row>
    <row r="4784" s="6" customFormat="1" spans="1:2">
      <c r="A4784" s="12">
        <f>DATE(2012,12,31)-698</f>
        <v>40576</v>
      </c>
      <c r="B4784" s="13">
        <v>336.48</v>
      </c>
    </row>
    <row r="4785" s="6" customFormat="1" spans="1:2">
      <c r="A4785" s="12">
        <f>DATE(2012,12,31)-1249</f>
        <v>40025</v>
      </c>
      <c r="B4785" s="13">
        <v>367.53</v>
      </c>
    </row>
    <row r="4786" s="6" customFormat="1" spans="1:2">
      <c r="A4786" s="12">
        <f>DATE(2012,12,31)-433</f>
        <v>40841</v>
      </c>
      <c r="B4786" s="13">
        <v>1616.87</v>
      </c>
    </row>
    <row r="4787" s="6" customFormat="1" spans="1:2">
      <c r="A4787" s="12">
        <f>DATE(2012,12,31)-433</f>
        <v>40841</v>
      </c>
      <c r="B4787" s="13">
        <v>1521.1345</v>
      </c>
    </row>
    <row r="4788" s="6" customFormat="1" spans="1:2">
      <c r="A4788" s="12">
        <f>DATE(2012,12,31)-1451</f>
        <v>39823</v>
      </c>
      <c r="B4788" s="13">
        <v>164.78</v>
      </c>
    </row>
    <row r="4789" s="6" customFormat="1" spans="1:2">
      <c r="A4789" s="12">
        <f>DATE(2012,12,31)-1379</f>
        <v>39895</v>
      </c>
      <c r="B4789" s="13">
        <v>103.39</v>
      </c>
    </row>
    <row r="4790" s="6" customFormat="1" spans="1:2">
      <c r="A4790" s="12">
        <f>DATE(2012,12,31)-1379</f>
        <v>39895</v>
      </c>
      <c r="B4790" s="13">
        <v>435.39</v>
      </c>
    </row>
    <row r="4791" s="6" customFormat="1" spans="1:2">
      <c r="A4791" s="12">
        <f>DATE(2012,12,31)-58</f>
        <v>41216</v>
      </c>
      <c r="B4791" s="13">
        <v>43.9</v>
      </c>
    </row>
    <row r="4792" s="6" customFormat="1" spans="1:2">
      <c r="A4792" s="12">
        <f>DATE(2012,12,31)-58</f>
        <v>41216</v>
      </c>
      <c r="B4792" s="13">
        <v>236.28</v>
      </c>
    </row>
    <row r="4793" s="6" customFormat="1" spans="1:2">
      <c r="A4793" s="12">
        <f>DATE(2012,12,31)-644</f>
        <v>40630</v>
      </c>
      <c r="B4793" s="13">
        <v>26.68</v>
      </c>
    </row>
    <row r="4794" s="6" customFormat="1" spans="1:2">
      <c r="A4794" s="12">
        <f>DATE(2012,12,31)-430</f>
        <v>40844</v>
      </c>
      <c r="B4794" s="13">
        <v>2536.18</v>
      </c>
    </row>
    <row r="4795" s="6" customFormat="1" spans="1:2">
      <c r="A4795" s="12">
        <f>DATE(2012,12,31)-430</f>
        <v>40844</v>
      </c>
      <c r="B4795" s="13">
        <v>38.56</v>
      </c>
    </row>
    <row r="4796" s="6" customFormat="1" spans="1:2">
      <c r="A4796" s="12">
        <f>DATE(2012,12,31)-430</f>
        <v>40844</v>
      </c>
      <c r="B4796" s="13">
        <v>764.32</v>
      </c>
    </row>
    <row r="4797" s="6" customFormat="1" spans="1:2">
      <c r="A4797" s="12">
        <f>DATE(2012,12,31)-330</f>
        <v>40944</v>
      </c>
      <c r="B4797" s="13">
        <v>1415.148</v>
      </c>
    </row>
    <row r="4798" s="6" customFormat="1" spans="1:2">
      <c r="A4798" s="12">
        <f>DATE(2012,12,31)-246</f>
        <v>41028</v>
      </c>
      <c r="B4798" s="13">
        <v>2251.9135</v>
      </c>
    </row>
    <row r="4799" s="6" customFormat="1" spans="1:2">
      <c r="A4799" s="12">
        <f>DATE(2012,12,31)-1256</f>
        <v>40018</v>
      </c>
      <c r="B4799" s="13">
        <v>3077.731</v>
      </c>
    </row>
    <row r="4800" s="6" customFormat="1" spans="1:2">
      <c r="A4800" s="12">
        <f>DATE(2012,12,31)-487</f>
        <v>40787</v>
      </c>
      <c r="B4800" s="13">
        <v>315.792</v>
      </c>
    </row>
    <row r="4801" s="6" customFormat="1" spans="1:2">
      <c r="A4801" s="12">
        <f>DATE(2012,12,31)-328</f>
        <v>40946</v>
      </c>
      <c r="B4801" s="13">
        <v>299.94</v>
      </c>
    </row>
    <row r="4802" s="6" customFormat="1" spans="1:2">
      <c r="A4802" s="12">
        <f>DATE(2012,12,31)-132</f>
        <v>41142</v>
      </c>
      <c r="B4802" s="13">
        <v>136.79</v>
      </c>
    </row>
    <row r="4803" s="6" customFormat="1" spans="1:2">
      <c r="A4803" s="12">
        <f>DATE(2012,12,31)-479</f>
        <v>40795</v>
      </c>
      <c r="B4803" s="13">
        <v>4097.1445</v>
      </c>
    </row>
    <row r="4804" s="6" customFormat="1" spans="1:2">
      <c r="A4804" s="12">
        <f>DATE(2012,12,31)-1234</f>
        <v>40040</v>
      </c>
      <c r="B4804" s="13">
        <v>34.42</v>
      </c>
    </row>
    <row r="4805" s="6" customFormat="1" spans="1:2">
      <c r="A4805" s="12">
        <f>DATE(2012,12,31)-1234</f>
        <v>40040</v>
      </c>
      <c r="B4805" s="13">
        <v>172.76</v>
      </c>
    </row>
    <row r="4806" s="6" customFormat="1" spans="1:2">
      <c r="A4806" s="12">
        <f>DATE(2012,12,31)-1234</f>
        <v>40040</v>
      </c>
      <c r="B4806" s="13">
        <v>853.162</v>
      </c>
    </row>
    <row r="4807" s="6" customFormat="1" spans="1:2">
      <c r="A4807" s="12">
        <f>DATE(2012,12,31)-425</f>
        <v>40849</v>
      </c>
      <c r="B4807" s="13">
        <v>293.27</v>
      </c>
    </row>
    <row r="4808" s="6" customFormat="1" spans="1:2">
      <c r="A4808" s="12">
        <f>DATE(2012,12,31)-485</f>
        <v>40789</v>
      </c>
      <c r="B4808" s="13">
        <v>27</v>
      </c>
    </row>
    <row r="4809" s="6" customFormat="1" spans="1:2">
      <c r="A4809" s="12">
        <f>DATE(2012,12,31)-75</f>
        <v>41199</v>
      </c>
      <c r="B4809" s="13">
        <v>336.34</v>
      </c>
    </row>
    <row r="4810" s="6" customFormat="1" spans="1:2">
      <c r="A4810" s="12">
        <f>DATE(2012,12,31)-860</f>
        <v>40414</v>
      </c>
      <c r="B4810" s="13">
        <v>705.44</v>
      </c>
    </row>
    <row r="4811" s="6" customFormat="1" spans="1:2">
      <c r="A4811" s="12">
        <f>DATE(2012,12,31)-860</f>
        <v>40414</v>
      </c>
      <c r="B4811" s="13">
        <v>1041.72</v>
      </c>
    </row>
    <row r="4812" s="6" customFormat="1" spans="1:2">
      <c r="A4812" s="12">
        <f>DATE(2012,12,31)-322</f>
        <v>40952</v>
      </c>
      <c r="B4812" s="13">
        <v>136.49</v>
      </c>
    </row>
    <row r="4813" s="6" customFormat="1" spans="1:2">
      <c r="A4813" s="12">
        <f>DATE(2012,12,31)-597</f>
        <v>40677</v>
      </c>
      <c r="B4813" s="13">
        <v>35.65</v>
      </c>
    </row>
    <row r="4814" s="6" customFormat="1" spans="1:2">
      <c r="A4814" s="12">
        <f>DATE(2012,12,31)-84</f>
        <v>41190</v>
      </c>
      <c r="B4814" s="13">
        <v>207.55</v>
      </c>
    </row>
    <row r="4815" s="6" customFormat="1" spans="1:2">
      <c r="A4815" s="12">
        <f>DATE(2012,12,31)-689</f>
        <v>40585</v>
      </c>
      <c r="B4815" s="13">
        <v>89.04</v>
      </c>
    </row>
    <row r="4816" s="6" customFormat="1" spans="1:2">
      <c r="A4816" s="12">
        <f>DATE(2012,12,31)-689</f>
        <v>40585</v>
      </c>
      <c r="B4816" s="13">
        <v>297.34</v>
      </c>
    </row>
    <row r="4817" s="6" customFormat="1" spans="1:2">
      <c r="A4817" s="12">
        <f>DATE(2012,12,31)-689</f>
        <v>40585</v>
      </c>
      <c r="B4817" s="13">
        <v>1264.13</v>
      </c>
    </row>
    <row r="4818" s="6" customFormat="1" spans="1:2">
      <c r="A4818" s="12">
        <f>DATE(2012,12,31)-824</f>
        <v>40450</v>
      </c>
      <c r="B4818" s="13">
        <v>205.3</v>
      </c>
    </row>
    <row r="4819" s="6" customFormat="1" spans="1:2">
      <c r="A4819" s="12">
        <f>DATE(2012,12,31)-824</f>
        <v>40450</v>
      </c>
      <c r="B4819" s="13">
        <v>125.7</v>
      </c>
    </row>
    <row r="4820" s="6" customFormat="1" spans="1:2">
      <c r="A4820" s="12">
        <f>DATE(2012,12,31)-1058</f>
        <v>40216</v>
      </c>
      <c r="B4820" s="13">
        <v>189.22</v>
      </c>
    </row>
    <row r="4821" s="6" customFormat="1" spans="1:2">
      <c r="A4821" s="12">
        <f>DATE(2012,12,31)-816</f>
        <v>40458</v>
      </c>
      <c r="B4821" s="13">
        <v>199.86</v>
      </c>
    </row>
    <row r="4822" s="6" customFormat="1" spans="1:2">
      <c r="A4822" s="12">
        <f>DATE(2012,12,31)-816</f>
        <v>40458</v>
      </c>
      <c r="B4822" s="13">
        <v>1888.02</v>
      </c>
    </row>
    <row r="4823" s="6" customFormat="1" spans="1:2">
      <c r="A4823" s="12">
        <f>DATE(2012,12,31)-816</f>
        <v>40458</v>
      </c>
      <c r="B4823" s="13">
        <v>322.69</v>
      </c>
    </row>
    <row r="4824" spans="1:2">
      <c r="A4824" s="14">
        <f>DATE(2012,12,31)-1279</f>
        <v>39995</v>
      </c>
      <c r="B4824" s="15">
        <v>123.46</v>
      </c>
    </row>
    <row r="4825" s="6" customFormat="1" spans="1:2">
      <c r="A4825" s="12">
        <f>DATE(2012,12,31)-1279</f>
        <v>39995</v>
      </c>
      <c r="B4825" s="13">
        <v>6041.01</v>
      </c>
    </row>
    <row r="4826" s="6" customFormat="1" spans="1:2">
      <c r="A4826" s="12">
        <f>DATE(2012,12,31)-278</f>
        <v>40996</v>
      </c>
      <c r="B4826" s="13">
        <v>840.552</v>
      </c>
    </row>
    <row r="4827" spans="1:2">
      <c r="A4827" s="14">
        <f>DATE(2012,12,31)-116</f>
        <v>41158</v>
      </c>
      <c r="B4827" s="15">
        <v>75.77</v>
      </c>
    </row>
    <row r="4828" s="6" customFormat="1" spans="1:2">
      <c r="A4828" s="12">
        <f>DATE(2012,12,31)-1213</f>
        <v>40061</v>
      </c>
      <c r="B4828" s="13">
        <v>132.79</v>
      </c>
    </row>
    <row r="4829" s="6" customFormat="1" spans="1:2">
      <c r="A4829" s="12">
        <f>DATE(2012,12,31)-1213</f>
        <v>40061</v>
      </c>
      <c r="B4829" s="13">
        <v>232.85</v>
      </c>
    </row>
    <row r="4830" s="6" customFormat="1" spans="1:2">
      <c r="A4830" s="12">
        <f>DATE(2012,12,31)-962</f>
        <v>40312</v>
      </c>
      <c r="B4830" s="13">
        <v>3610.85</v>
      </c>
    </row>
    <row r="4831" s="6" customFormat="1" spans="1:2">
      <c r="A4831" s="12">
        <f>DATE(2012,12,31)-915</f>
        <v>40359</v>
      </c>
      <c r="B4831" s="13">
        <v>1050.16</v>
      </c>
    </row>
    <row r="4832" s="6" customFormat="1" spans="1:2">
      <c r="A4832" s="12">
        <f>DATE(2012,12,31)-1005</f>
        <v>40269</v>
      </c>
      <c r="B4832" s="13">
        <v>8334.03</v>
      </c>
    </row>
    <row r="4833" s="6" customFormat="1" spans="1:2">
      <c r="A4833" s="12">
        <f>DATE(2012,12,31)-1280</f>
        <v>39994</v>
      </c>
      <c r="B4833" s="13">
        <v>344.57</v>
      </c>
    </row>
    <row r="4834" s="6" customFormat="1" spans="1:2">
      <c r="A4834" s="12">
        <f>DATE(2012,12,31)-7</f>
        <v>41267</v>
      </c>
      <c r="B4834" s="13">
        <v>92.53</v>
      </c>
    </row>
    <row r="4835" s="6" customFormat="1" spans="1:2">
      <c r="A4835" s="12">
        <f>DATE(2012,12,31)-7</f>
        <v>41267</v>
      </c>
      <c r="B4835" s="13">
        <v>988.6435</v>
      </c>
    </row>
    <row r="4836" s="6" customFormat="1" spans="1:2">
      <c r="A4836" s="12">
        <f>DATE(2012,12,31)-974</f>
        <v>40300</v>
      </c>
      <c r="B4836" s="13">
        <v>3016.85</v>
      </c>
    </row>
    <row r="4837" s="6" customFormat="1" spans="1:2">
      <c r="A4837" s="12">
        <f>DATE(2012,12,31)-974</f>
        <v>40300</v>
      </c>
      <c r="B4837" s="13">
        <v>48.5</v>
      </c>
    </row>
    <row r="4838" s="6" customFormat="1" spans="1:2">
      <c r="A4838" s="12">
        <f>DATE(2012,12,31)-94</f>
        <v>41180</v>
      </c>
      <c r="B4838" s="13">
        <v>142.59</v>
      </c>
    </row>
    <row r="4839" s="6" customFormat="1" spans="1:2">
      <c r="A4839" s="12">
        <f>DATE(2012,12,31)-884</f>
        <v>40390</v>
      </c>
      <c r="B4839" s="13">
        <v>1484.89</v>
      </c>
    </row>
    <row r="4840" s="6" customFormat="1" spans="1:2">
      <c r="A4840" s="12">
        <f>DATE(2012,12,31)-1364</f>
        <v>39910</v>
      </c>
      <c r="B4840" s="13">
        <v>244.39</v>
      </c>
    </row>
    <row r="4841" s="6" customFormat="1" spans="1:2">
      <c r="A4841" s="12">
        <f>DATE(2012,12,31)-1364</f>
        <v>39910</v>
      </c>
      <c r="B4841" s="13">
        <v>581.42</v>
      </c>
    </row>
    <row r="4842" s="6" customFormat="1" spans="1:2">
      <c r="A4842" s="12">
        <f>DATE(2012,12,31)-602</f>
        <v>40672</v>
      </c>
      <c r="B4842" s="13">
        <v>32.35</v>
      </c>
    </row>
    <row r="4843" s="6" customFormat="1" spans="1:2">
      <c r="A4843" s="12">
        <f>DATE(2012,12,31)-602</f>
        <v>40672</v>
      </c>
      <c r="B4843" s="13">
        <v>116.56</v>
      </c>
    </row>
    <row r="4844" s="6" customFormat="1" spans="1:2">
      <c r="A4844" s="12">
        <f>DATE(2012,12,31)-1244</f>
        <v>40030</v>
      </c>
      <c r="B4844" s="13">
        <v>447.36</v>
      </c>
    </row>
    <row r="4845" spans="1:2">
      <c r="A4845" s="14">
        <f>DATE(2012,12,31)-751</f>
        <v>40523</v>
      </c>
      <c r="B4845" s="15">
        <v>588.54</v>
      </c>
    </row>
    <row r="4846" s="6" customFormat="1" spans="1:2">
      <c r="A4846" s="12">
        <f>DATE(2012,12,31)-334</f>
        <v>40940</v>
      </c>
      <c r="B4846" s="13">
        <v>2966.13</v>
      </c>
    </row>
    <row r="4847" s="6" customFormat="1" spans="1:2">
      <c r="A4847" s="12">
        <f>DATE(2012,12,31)-1392</f>
        <v>39882</v>
      </c>
      <c r="B4847" s="13">
        <v>175.35</v>
      </c>
    </row>
    <row r="4848" s="6" customFormat="1" spans="1:2">
      <c r="A4848" s="12">
        <f>DATE(2012,12,31)-1392</f>
        <v>39882</v>
      </c>
      <c r="B4848" s="13">
        <v>590.6</v>
      </c>
    </row>
    <row r="4849" s="6" customFormat="1" spans="1:2">
      <c r="A4849" s="12">
        <f>DATE(2012,12,31)-1415</f>
        <v>39859</v>
      </c>
      <c r="B4849" s="13">
        <v>47.12</v>
      </c>
    </row>
    <row r="4850" s="6" customFormat="1" spans="1:2">
      <c r="A4850" s="12">
        <f>DATE(2012,12,31)-1415</f>
        <v>39859</v>
      </c>
      <c r="B4850" s="13">
        <v>62.89</v>
      </c>
    </row>
    <row r="4851" s="6" customFormat="1" spans="1:2">
      <c r="A4851" s="12">
        <f>DATE(2012,12,31)-897</f>
        <v>40377</v>
      </c>
      <c r="B4851" s="13">
        <v>555.68</v>
      </c>
    </row>
    <row r="4852" spans="1:2">
      <c r="A4852" s="14">
        <f>DATE(2012,12,31)-854</f>
        <v>40420</v>
      </c>
      <c r="B4852" s="15">
        <v>1516.13</v>
      </c>
    </row>
    <row r="4853" s="6" customFormat="1" spans="1:2">
      <c r="A4853" s="12">
        <f>DATE(2012,12,31)-854</f>
        <v>40420</v>
      </c>
      <c r="B4853" s="13">
        <v>612.49</v>
      </c>
    </row>
    <row r="4854" s="6" customFormat="1" spans="1:2">
      <c r="A4854" s="12">
        <f>DATE(2012,12,31)-854</f>
        <v>40420</v>
      </c>
      <c r="B4854" s="13">
        <v>1092.42</v>
      </c>
    </row>
    <row r="4855" s="6" customFormat="1" spans="1:2">
      <c r="A4855" s="12">
        <f>DATE(2012,12,31)-20</f>
        <v>41254</v>
      </c>
      <c r="B4855" s="13">
        <v>1234.36</v>
      </c>
    </row>
    <row r="4856" s="6" customFormat="1" spans="1:2">
      <c r="A4856" s="12">
        <f>DATE(2012,12,31)-860</f>
        <v>40414</v>
      </c>
      <c r="B4856" s="13">
        <v>561.92</v>
      </c>
    </row>
    <row r="4857" spans="1:2">
      <c r="A4857" s="14">
        <f>DATE(2012,12,31)-860</f>
        <v>40414</v>
      </c>
      <c r="B4857" s="15">
        <v>365.64</v>
      </c>
    </row>
    <row r="4858" s="6" customFormat="1" spans="1:2">
      <c r="A4858" s="12">
        <f>DATE(2012,12,31)-1267</f>
        <v>40007</v>
      </c>
      <c r="B4858" s="13">
        <v>4815.862</v>
      </c>
    </row>
    <row r="4859" s="6" customFormat="1" spans="1:2">
      <c r="A4859" s="12">
        <f>DATE(2012,12,31)-1345</f>
        <v>39929</v>
      </c>
      <c r="B4859" s="13">
        <v>3344.11</v>
      </c>
    </row>
    <row r="4860" spans="1:2">
      <c r="A4860" s="14">
        <f>DATE(2012,12,31)-165</f>
        <v>41109</v>
      </c>
      <c r="B4860" s="15">
        <v>488.65</v>
      </c>
    </row>
    <row r="4861" spans="1:2">
      <c r="A4861" s="14">
        <f>DATE(2012,12,31)-488</f>
        <v>40786</v>
      </c>
      <c r="B4861" s="15">
        <v>302.09</v>
      </c>
    </row>
    <row r="4862" s="6" customFormat="1" spans="1:2">
      <c r="A4862" s="12">
        <f>DATE(2012,12,31)-746</f>
        <v>40528</v>
      </c>
      <c r="B4862" s="13">
        <v>849.337</v>
      </c>
    </row>
    <row r="4863" s="6" customFormat="1" spans="1:2">
      <c r="A4863" s="12">
        <f>DATE(2012,12,31)-1034</f>
        <v>40240</v>
      </c>
      <c r="B4863" s="13">
        <v>191.55</v>
      </c>
    </row>
    <row r="4864" s="6" customFormat="1" spans="1:2">
      <c r="A4864" s="12">
        <f>DATE(2012,12,31)-1034</f>
        <v>40240</v>
      </c>
      <c r="B4864" s="13">
        <v>938.86</v>
      </c>
    </row>
    <row r="4865" s="6" customFormat="1" spans="1:2">
      <c r="A4865" s="12">
        <f>DATE(2012,12,31)-1165</f>
        <v>40109</v>
      </c>
      <c r="B4865" s="13">
        <v>22.06</v>
      </c>
    </row>
    <row r="4866" s="6" customFormat="1" spans="1:2">
      <c r="A4866" s="12">
        <f>DATE(2012,12,31)-1165</f>
        <v>40109</v>
      </c>
      <c r="B4866" s="13">
        <v>12616.2</v>
      </c>
    </row>
    <row r="4867" s="6" customFormat="1" spans="1:2">
      <c r="A4867" s="12">
        <f>DATE(2012,12,31)-971</f>
        <v>40303</v>
      </c>
      <c r="B4867" s="13">
        <v>1396.75</v>
      </c>
    </row>
    <row r="4868" s="6" customFormat="1" spans="1:2">
      <c r="A4868" s="12">
        <f>DATE(2012,12,31)-774</f>
        <v>40500</v>
      </c>
      <c r="B4868" s="13">
        <v>2701.69</v>
      </c>
    </row>
    <row r="4869" s="6" customFormat="1" spans="1:2">
      <c r="A4869" s="12">
        <f>DATE(2012,12,31)-42</f>
        <v>41232</v>
      </c>
      <c r="B4869" s="13">
        <v>259.43</v>
      </c>
    </row>
    <row r="4870" s="6" customFormat="1" spans="1:2">
      <c r="A4870" s="12">
        <f>DATE(2012,12,31)-485</f>
        <v>40789</v>
      </c>
      <c r="B4870" s="13">
        <v>24.77</v>
      </c>
    </row>
    <row r="4871" s="6" customFormat="1" spans="1:2">
      <c r="A4871" s="12">
        <f>DATE(2012,12,31)-485</f>
        <v>40789</v>
      </c>
      <c r="B4871" s="13">
        <v>3832.37</v>
      </c>
    </row>
    <row r="4872" s="6" customFormat="1" spans="1:2">
      <c r="A4872" s="12">
        <f>DATE(2012,12,31)-1076</f>
        <v>40198</v>
      </c>
      <c r="B4872" s="13">
        <v>864.16</v>
      </c>
    </row>
    <row r="4873" spans="1:2">
      <c r="A4873" s="14">
        <f>DATE(2012,12,31)-356</f>
        <v>40918</v>
      </c>
      <c r="B4873" s="15">
        <v>12741.81</v>
      </c>
    </row>
    <row r="4874" s="6" customFormat="1" spans="1:2">
      <c r="A4874" s="12">
        <f>DATE(2012,12,31)-544</f>
        <v>40730</v>
      </c>
      <c r="B4874" s="13">
        <v>29186.49</v>
      </c>
    </row>
    <row r="4875" spans="1:2">
      <c r="A4875" s="14">
        <f>DATE(2012,12,31)-1134</f>
        <v>40140</v>
      </c>
      <c r="B4875" s="15">
        <v>572.4</v>
      </c>
    </row>
    <row r="4876" spans="1:2">
      <c r="A4876" s="14">
        <f>DATE(2012,12,31)-1447</f>
        <v>39827</v>
      </c>
      <c r="B4876" s="15">
        <v>217.68</v>
      </c>
    </row>
    <row r="4877" s="6" customFormat="1" spans="1:2">
      <c r="A4877" s="12">
        <f>DATE(2012,12,31)-1447</f>
        <v>39827</v>
      </c>
      <c r="B4877" s="13">
        <v>7202.94</v>
      </c>
    </row>
    <row r="4878" spans="1:2">
      <c r="A4878" s="14">
        <f>DATE(2012,12,31)-1447</f>
        <v>39827</v>
      </c>
      <c r="B4878" s="15">
        <v>245.82</v>
      </c>
    </row>
    <row r="4879" s="6" customFormat="1" spans="1:2">
      <c r="A4879" s="12">
        <f>DATE(2012,12,31)-613</f>
        <v>40661</v>
      </c>
      <c r="B4879" s="13">
        <v>55.49</v>
      </c>
    </row>
    <row r="4880" s="6" customFormat="1" spans="1:2">
      <c r="A4880" s="12">
        <f>DATE(2012,12,31)-791</f>
        <v>40483</v>
      </c>
      <c r="B4880" s="13">
        <v>503.17</v>
      </c>
    </row>
    <row r="4881" s="6" customFormat="1" spans="1:2">
      <c r="A4881" s="12">
        <f>DATE(2012,12,31)-22</f>
        <v>41252</v>
      </c>
      <c r="B4881" s="13">
        <v>6095.14</v>
      </c>
    </row>
    <row r="4882" s="6" customFormat="1" spans="1:2">
      <c r="A4882" s="12">
        <f>DATE(2012,12,31)-22</f>
        <v>41252</v>
      </c>
      <c r="B4882" s="13">
        <v>3776.28</v>
      </c>
    </row>
    <row r="4883" s="6" customFormat="1" spans="1:2">
      <c r="A4883" s="12">
        <f>DATE(2012,12,31)-22</f>
        <v>41252</v>
      </c>
      <c r="B4883" s="13">
        <v>1487.8995</v>
      </c>
    </row>
    <row r="4884" spans="1:2">
      <c r="A4884" s="14">
        <f>DATE(2012,12,31)-523</f>
        <v>40751</v>
      </c>
      <c r="B4884" s="15">
        <v>1885.41</v>
      </c>
    </row>
    <row r="4885" s="6" customFormat="1" spans="1:2">
      <c r="A4885" s="12">
        <f>DATE(2012,12,31)-659</f>
        <v>40615</v>
      </c>
      <c r="B4885" s="13">
        <v>159.71</v>
      </c>
    </row>
    <row r="4886" s="6" customFormat="1" spans="1:2">
      <c r="A4886" s="12">
        <f>DATE(2012,12,31)-1078</f>
        <v>40196</v>
      </c>
      <c r="B4886" s="13">
        <v>117.062</v>
      </c>
    </row>
    <row r="4887" spans="1:2">
      <c r="A4887" s="14">
        <f>DATE(2012,12,31)-210</f>
        <v>41064</v>
      </c>
      <c r="B4887" s="15">
        <v>623.35</v>
      </c>
    </row>
    <row r="4888" s="6" customFormat="1" spans="1:2">
      <c r="A4888" s="12">
        <f>DATE(2012,12,31)-217</f>
        <v>41057</v>
      </c>
      <c r="B4888" s="13">
        <v>250.6</v>
      </c>
    </row>
    <row r="4889" s="6" customFormat="1" spans="1:2">
      <c r="A4889" s="12">
        <f>DATE(2012,12,31)-1071</f>
        <v>40203</v>
      </c>
      <c r="B4889" s="13">
        <v>15468.216</v>
      </c>
    </row>
    <row r="4890" s="6" customFormat="1" spans="1:2">
      <c r="A4890" s="12">
        <f>DATE(2012,12,31)-1037</f>
        <v>40237</v>
      </c>
      <c r="B4890" s="13">
        <v>453.99</v>
      </c>
    </row>
    <row r="4891" s="6" customFormat="1" spans="1:2">
      <c r="A4891" s="12">
        <f>DATE(2012,12,31)-1148</f>
        <v>40126</v>
      </c>
      <c r="B4891" s="13">
        <v>30.47</v>
      </c>
    </row>
    <row r="4892" s="6" customFormat="1" spans="1:2">
      <c r="A4892" s="12">
        <f>DATE(2012,12,31)-604</f>
        <v>40670</v>
      </c>
      <c r="B4892" s="13">
        <v>284.58</v>
      </c>
    </row>
    <row r="4893" s="6" customFormat="1" spans="1:2">
      <c r="A4893" s="12">
        <f>DATE(2012,12,31)-604</f>
        <v>40670</v>
      </c>
      <c r="B4893" s="13">
        <v>1010.26</v>
      </c>
    </row>
    <row r="4894" s="6" customFormat="1" spans="1:2">
      <c r="A4894" s="12">
        <f>DATE(2012,12,31)-787</f>
        <v>40487</v>
      </c>
      <c r="B4894" s="13">
        <v>1158.45</v>
      </c>
    </row>
    <row r="4895" s="6" customFormat="1" spans="1:2">
      <c r="A4895" s="12">
        <f>DATE(2012,12,31)-787</f>
        <v>40487</v>
      </c>
      <c r="B4895" s="13">
        <v>2568.71</v>
      </c>
    </row>
    <row r="4896" s="6" customFormat="1" spans="1:2">
      <c r="A4896" s="12">
        <f>DATE(2012,12,31)-174</f>
        <v>41100</v>
      </c>
      <c r="B4896" s="13">
        <v>990.5</v>
      </c>
    </row>
    <row r="4897" s="6" customFormat="1" spans="1:2">
      <c r="A4897" s="12">
        <f>DATE(2012,12,31)-811</f>
        <v>40463</v>
      </c>
      <c r="B4897" s="13">
        <v>11.76</v>
      </c>
    </row>
    <row r="4898" s="6" customFormat="1" spans="1:2">
      <c r="A4898" s="12">
        <f>DATE(2012,12,31)-811</f>
        <v>40463</v>
      </c>
      <c r="B4898" s="13">
        <v>100.13</v>
      </c>
    </row>
    <row r="4899" s="6" customFormat="1" spans="1:2">
      <c r="A4899" s="12">
        <f>DATE(2012,12,31)-811</f>
        <v>40463</v>
      </c>
      <c r="B4899" s="13">
        <v>1192.93</v>
      </c>
    </row>
    <row r="4900" s="6" customFormat="1" spans="1:2">
      <c r="A4900" s="12">
        <f>DATE(2012,12,31)-117</f>
        <v>41157</v>
      </c>
      <c r="B4900" s="13">
        <v>53.93</v>
      </c>
    </row>
    <row r="4901" s="6" customFormat="1" spans="1:2">
      <c r="A4901" s="12">
        <f>DATE(2012,12,31)-459</f>
        <v>40815</v>
      </c>
      <c r="B4901" s="13">
        <v>651.9</v>
      </c>
    </row>
    <row r="4902" spans="1:2">
      <c r="A4902" s="14">
        <f>DATE(2012,12,31)-1202</f>
        <v>40072</v>
      </c>
      <c r="B4902" s="15">
        <v>284.38</v>
      </c>
    </row>
    <row r="4903" s="6" customFormat="1" spans="1:2">
      <c r="A4903" s="12">
        <f>DATE(2012,12,31)-693</f>
        <v>40581</v>
      </c>
      <c r="B4903" s="13">
        <v>187.37</v>
      </c>
    </row>
    <row r="4904" s="6" customFormat="1" spans="1:2">
      <c r="A4904" s="12">
        <f>DATE(2012,12,31)-1256</f>
        <v>40018</v>
      </c>
      <c r="B4904" s="13">
        <v>84.61</v>
      </c>
    </row>
    <row r="4905" s="6" customFormat="1" spans="1:2">
      <c r="A4905" s="12">
        <f>DATE(2012,12,31)-1153</f>
        <v>40121</v>
      </c>
      <c r="B4905" s="13">
        <v>906.015</v>
      </c>
    </row>
    <row r="4906" s="6" customFormat="1" spans="1:2">
      <c r="A4906" s="12">
        <f>DATE(2012,12,31)-405</f>
        <v>40869</v>
      </c>
      <c r="B4906" s="13">
        <v>107.63</v>
      </c>
    </row>
    <row r="4907" s="6" customFormat="1" spans="1:2">
      <c r="A4907" s="12">
        <f>DATE(2012,12,31)-875</f>
        <v>40399</v>
      </c>
      <c r="B4907" s="13">
        <v>24.36</v>
      </c>
    </row>
    <row r="4908" s="6" customFormat="1" spans="1:2">
      <c r="A4908" s="12">
        <f>DATE(2012,12,31)-1165</f>
        <v>40109</v>
      </c>
      <c r="B4908" s="13">
        <v>2230.97</v>
      </c>
    </row>
    <row r="4909" s="6" customFormat="1" spans="1:2">
      <c r="A4909" s="12">
        <f>DATE(2012,12,31)-1165</f>
        <v>40109</v>
      </c>
      <c r="B4909" s="13">
        <v>200.77</v>
      </c>
    </row>
    <row r="4910" s="6" customFormat="1" spans="1:2">
      <c r="A4910" s="12">
        <f>DATE(2012,12,31)-1084</f>
        <v>40190</v>
      </c>
      <c r="B4910" s="13">
        <v>1057.06</v>
      </c>
    </row>
    <row r="4911" s="6" customFormat="1" spans="1:2">
      <c r="A4911" s="12">
        <f>DATE(2012,12,31)-37</f>
        <v>41237</v>
      </c>
      <c r="B4911" s="13">
        <v>4475</v>
      </c>
    </row>
    <row r="4912" s="6" customFormat="1" spans="1:2">
      <c r="A4912" s="12">
        <f>DATE(2012,12,31)-37</f>
        <v>41237</v>
      </c>
      <c r="B4912" s="13">
        <v>168.2</v>
      </c>
    </row>
    <row r="4913" spans="1:2">
      <c r="A4913" s="14">
        <f>DATE(2012,12,31)-696</f>
        <v>40578</v>
      </c>
      <c r="B4913" s="15">
        <v>165.51</v>
      </c>
    </row>
    <row r="4914" s="6" customFormat="1" spans="1:2">
      <c r="A4914" s="12">
        <f>DATE(2012,12,31)-825</f>
        <v>40449</v>
      </c>
      <c r="B4914" s="13">
        <v>609.97</v>
      </c>
    </row>
    <row r="4915" s="6" customFormat="1" spans="1:2">
      <c r="A4915" s="12">
        <f>DATE(2012,12,31)-882</f>
        <v>40392</v>
      </c>
      <c r="B4915" s="13">
        <v>140.77</v>
      </c>
    </row>
    <row r="4916" s="6" customFormat="1" spans="1:2">
      <c r="A4916" s="12">
        <f>DATE(2012,12,31)-882</f>
        <v>40392</v>
      </c>
      <c r="B4916" s="13">
        <v>848.19</v>
      </c>
    </row>
    <row r="4917" s="6" customFormat="1" spans="1:2">
      <c r="A4917" s="12">
        <f>DATE(2012,12,31)-882</f>
        <v>40392</v>
      </c>
      <c r="B4917" s="13">
        <v>562.15</v>
      </c>
    </row>
    <row r="4918" s="6" customFormat="1" spans="1:2">
      <c r="A4918" s="12">
        <f>DATE(2012,12,31)-21</f>
        <v>41253</v>
      </c>
      <c r="B4918" s="13">
        <v>154.45</v>
      </c>
    </row>
    <row r="4919" s="6" customFormat="1" spans="1:2">
      <c r="A4919" s="12">
        <f>DATE(2012,12,31)-206</f>
        <v>41068</v>
      </c>
      <c r="B4919" s="13">
        <v>126.79</v>
      </c>
    </row>
    <row r="4920" s="6" customFormat="1" spans="1:2">
      <c r="A4920" s="12">
        <f>DATE(2012,12,31)-206</f>
        <v>41068</v>
      </c>
      <c r="B4920" s="13">
        <v>1770.2015</v>
      </c>
    </row>
    <row r="4921" s="6" customFormat="1" spans="1:2">
      <c r="A4921" s="12">
        <f>DATE(2012,12,31)-257</f>
        <v>41017</v>
      </c>
      <c r="B4921" s="13">
        <v>486.63</v>
      </c>
    </row>
    <row r="4922" s="6" customFormat="1" spans="1:2">
      <c r="A4922" s="12">
        <f>DATE(2012,12,31)-1356</f>
        <v>39918</v>
      </c>
      <c r="B4922" s="13">
        <v>443.73</v>
      </c>
    </row>
    <row r="4923" s="6" customFormat="1" spans="1:2">
      <c r="A4923" s="12">
        <f>DATE(2012,12,31)-760</f>
        <v>40514</v>
      </c>
      <c r="B4923" s="13">
        <v>1196.86</v>
      </c>
    </row>
    <row r="4924" s="6" customFormat="1" spans="1:2">
      <c r="A4924" s="12">
        <f>DATE(2012,12,31)-896</f>
        <v>40378</v>
      </c>
      <c r="B4924" s="13">
        <v>125.21</v>
      </c>
    </row>
    <row r="4925" s="6" customFormat="1" spans="1:2">
      <c r="A4925" s="12">
        <f>DATE(2012,12,31)-896</f>
        <v>40378</v>
      </c>
      <c r="B4925" s="13">
        <v>924.1115</v>
      </c>
    </row>
    <row r="4926" s="6" customFormat="1" spans="1:2">
      <c r="A4926" s="12">
        <f>DATE(2012,12,31)-273</f>
        <v>41001</v>
      </c>
      <c r="B4926" s="13">
        <v>565.01</v>
      </c>
    </row>
    <row r="4927" s="6" customFormat="1" spans="1:2">
      <c r="A4927" s="12">
        <f>DATE(2012,12,31)-891</f>
        <v>40383</v>
      </c>
      <c r="B4927" s="13">
        <v>151.86</v>
      </c>
    </row>
    <row r="4928" s="6" customFormat="1" spans="1:2">
      <c r="A4928" s="12">
        <f>DATE(2012,12,31)-891</f>
        <v>40383</v>
      </c>
      <c r="B4928" s="13">
        <v>3583.87</v>
      </c>
    </row>
    <row r="4929" s="6" customFormat="1" spans="1:2">
      <c r="A4929" s="12">
        <f>DATE(2012,12,31)-891</f>
        <v>40383</v>
      </c>
      <c r="B4929" s="13">
        <v>4951.36</v>
      </c>
    </row>
    <row r="4930" s="6" customFormat="1" spans="1:2">
      <c r="A4930" s="12">
        <f>DATE(2012,12,31)-936</f>
        <v>40338</v>
      </c>
      <c r="B4930" s="13">
        <v>148.17</v>
      </c>
    </row>
    <row r="4931" spans="1:2">
      <c r="A4931" s="14">
        <f>DATE(2012,12,31)-451</f>
        <v>40823</v>
      </c>
      <c r="B4931" s="15">
        <v>81.1</v>
      </c>
    </row>
    <row r="4932" s="6" customFormat="1" spans="1:2">
      <c r="A4932" s="12">
        <f>DATE(2012,12,31)-870</f>
        <v>40404</v>
      </c>
      <c r="B4932" s="13">
        <v>71.57</v>
      </c>
    </row>
    <row r="4933" s="6" customFormat="1" spans="1:2">
      <c r="A4933" s="12">
        <f>DATE(2012,12,31)-870</f>
        <v>40404</v>
      </c>
      <c r="B4933" s="13">
        <v>2062.75</v>
      </c>
    </row>
    <row r="4934" s="6" customFormat="1" spans="1:2">
      <c r="A4934" s="12">
        <f>DATE(2012,12,31)-253</f>
        <v>41021</v>
      </c>
      <c r="B4934" s="13">
        <v>36.31</v>
      </c>
    </row>
    <row r="4935" s="6" customFormat="1" spans="1:2">
      <c r="A4935" s="12">
        <f>DATE(2012,12,31)-253</f>
        <v>41021</v>
      </c>
      <c r="B4935" s="13">
        <v>388.15</v>
      </c>
    </row>
    <row r="4936" s="6" customFormat="1" spans="1:2">
      <c r="A4936" s="12">
        <f>DATE(2012,12,31)-440</f>
        <v>40834</v>
      </c>
      <c r="B4936" s="13">
        <v>12805.25</v>
      </c>
    </row>
    <row r="4937" s="6" customFormat="1" spans="1:2">
      <c r="A4937" s="12">
        <f>DATE(2012,12,31)-440</f>
        <v>40834</v>
      </c>
      <c r="B4937" s="13">
        <v>1435.32</v>
      </c>
    </row>
    <row r="4938" s="6" customFormat="1" spans="1:2">
      <c r="A4938" s="12">
        <f>DATE(2012,12,31)-940</f>
        <v>40334</v>
      </c>
      <c r="B4938" s="13">
        <v>893.29</v>
      </c>
    </row>
    <row r="4939" s="6" customFormat="1" spans="1:2">
      <c r="A4939" s="12">
        <f>DATE(2012,12,31)-1180</f>
        <v>40094</v>
      </c>
      <c r="B4939" s="13">
        <v>68.73</v>
      </c>
    </row>
    <row r="4940" s="6" customFormat="1" spans="1:2">
      <c r="A4940" s="12">
        <f>DATE(2012,12,31)-898</f>
        <v>40376</v>
      </c>
      <c r="B4940" s="13">
        <v>225.06</v>
      </c>
    </row>
    <row r="4941" s="6" customFormat="1" spans="1:2">
      <c r="A4941" s="12">
        <f>DATE(2012,12,31)-898</f>
        <v>40376</v>
      </c>
      <c r="B4941" s="13">
        <v>1041.78</v>
      </c>
    </row>
    <row r="4942" s="6" customFormat="1" spans="1:2">
      <c r="A4942" s="12">
        <f>DATE(2012,12,31)-1078</f>
        <v>40196</v>
      </c>
      <c r="B4942" s="13">
        <v>264.78</v>
      </c>
    </row>
    <row r="4943" s="6" customFormat="1" spans="1:2">
      <c r="A4943" s="12">
        <f>DATE(2012,12,31)-1078</f>
        <v>40196</v>
      </c>
      <c r="B4943" s="13">
        <v>10380.34</v>
      </c>
    </row>
    <row r="4944" s="6" customFormat="1" spans="1:2">
      <c r="A4944" s="12">
        <f>DATE(2012,12,31)-1078</f>
        <v>40196</v>
      </c>
      <c r="B4944" s="13">
        <v>854.9</v>
      </c>
    </row>
    <row r="4945" s="6" customFormat="1" spans="1:2">
      <c r="A4945" s="12">
        <f>DATE(2012,12,31)-1078</f>
        <v>40196</v>
      </c>
      <c r="B4945" s="13">
        <v>389.98</v>
      </c>
    </row>
    <row r="4946" spans="1:2">
      <c r="A4946" s="14">
        <f>DATE(2012,12,31)-842</f>
        <v>40432</v>
      </c>
      <c r="B4946" s="15">
        <v>2046.81</v>
      </c>
    </row>
    <row r="4947" s="6" customFormat="1" spans="1:2">
      <c r="A4947" s="12">
        <f>DATE(2012,12,31)-984</f>
        <v>40290</v>
      </c>
      <c r="B4947" s="13">
        <v>231.27</v>
      </c>
    </row>
    <row r="4948" s="6" customFormat="1" spans="1:2">
      <c r="A4948" s="12">
        <f>DATE(2012,12,31)-293</f>
        <v>40981</v>
      </c>
      <c r="B4948" s="13">
        <v>6483.26</v>
      </c>
    </row>
    <row r="4949" s="6" customFormat="1" spans="1:2">
      <c r="A4949" s="12">
        <f>DATE(2012,12,31)-293</f>
        <v>40981</v>
      </c>
      <c r="B4949" s="13">
        <v>1446.207</v>
      </c>
    </row>
    <row r="4950" s="6" customFormat="1" spans="1:2">
      <c r="A4950" s="12">
        <f>DATE(2012,12,31)-1425</f>
        <v>39849</v>
      </c>
      <c r="B4950" s="13">
        <v>150.24</v>
      </c>
    </row>
    <row r="4951" s="6" customFormat="1" spans="1:2">
      <c r="A4951" s="12">
        <f>DATE(2012,12,31)-941</f>
        <v>40333</v>
      </c>
      <c r="B4951" s="13">
        <v>211.44</v>
      </c>
    </row>
    <row r="4952" s="6" customFormat="1" spans="1:2">
      <c r="A4952" s="12">
        <f>DATE(2012,12,31)-613</f>
        <v>40661</v>
      </c>
      <c r="B4952" s="13">
        <v>1403.027</v>
      </c>
    </row>
    <row r="4953" s="6" customFormat="1" spans="1:2">
      <c r="A4953" s="12">
        <f>DATE(2012,12,31)-415</f>
        <v>40859</v>
      </c>
      <c r="B4953" s="13">
        <v>109.29</v>
      </c>
    </row>
    <row r="4954" s="6" customFormat="1" spans="1:2">
      <c r="A4954" s="12">
        <f>DATE(2012,12,31)-415</f>
        <v>40859</v>
      </c>
      <c r="B4954" s="13">
        <v>2257.88</v>
      </c>
    </row>
    <row r="4955" s="6" customFormat="1" spans="1:2">
      <c r="A4955" s="12">
        <f>DATE(2012,12,31)-763</f>
        <v>40511</v>
      </c>
      <c r="B4955" s="13">
        <v>125.78</v>
      </c>
    </row>
    <row r="4956" s="6" customFormat="1" spans="1:2">
      <c r="A4956" s="12">
        <f>DATE(2012,12,31)-763</f>
        <v>40511</v>
      </c>
      <c r="B4956" s="13">
        <v>577</v>
      </c>
    </row>
    <row r="4957" s="6" customFormat="1" spans="1:2">
      <c r="A4957" s="12">
        <f>DATE(2012,12,31)-763</f>
        <v>40511</v>
      </c>
      <c r="B4957" s="13">
        <v>24.53</v>
      </c>
    </row>
    <row r="4958" s="6" customFormat="1" spans="1:2">
      <c r="A4958" s="12">
        <f>DATE(2012,12,31)-721</f>
        <v>40553</v>
      </c>
      <c r="B4958" s="13">
        <v>217.25</v>
      </c>
    </row>
    <row r="4959" s="6" customFormat="1" spans="1:2">
      <c r="A4959" s="12">
        <f>DATE(2012,12,31)-721</f>
        <v>40553</v>
      </c>
      <c r="B4959" s="13">
        <v>5993.74</v>
      </c>
    </row>
    <row r="4960" s="6" customFormat="1" spans="1:2">
      <c r="A4960" s="12">
        <f>DATE(2012,12,31)-889</f>
        <v>40385</v>
      </c>
      <c r="B4960" s="13">
        <v>1083.4015</v>
      </c>
    </row>
    <row r="4961" s="6" customFormat="1" spans="1:2">
      <c r="A4961" s="12">
        <f>DATE(2012,12,31)-651</f>
        <v>40623</v>
      </c>
      <c r="B4961" s="13">
        <v>407.8725</v>
      </c>
    </row>
    <row r="4962" s="6" customFormat="1" spans="1:2">
      <c r="A4962" s="12">
        <f>DATE(2012,12,31)-143</f>
        <v>41131</v>
      </c>
      <c r="B4962" s="13">
        <v>4359</v>
      </c>
    </row>
    <row r="4963" spans="1:2">
      <c r="A4963" s="14">
        <f>DATE(2012,12,31)-1035</f>
        <v>40239</v>
      </c>
      <c r="B4963" s="15">
        <v>28.81</v>
      </c>
    </row>
    <row r="4964" s="6" customFormat="1" spans="1:2">
      <c r="A4964" s="12">
        <f>DATE(2012,12,31)-1035</f>
        <v>40239</v>
      </c>
      <c r="B4964" s="13">
        <v>1445.6</v>
      </c>
    </row>
    <row r="4965" spans="1:2">
      <c r="A4965" s="14">
        <f>DATE(2012,12,31)-1035</f>
        <v>40239</v>
      </c>
      <c r="B4965" s="15">
        <v>119.03</v>
      </c>
    </row>
    <row r="4966" s="6" customFormat="1" spans="1:2">
      <c r="A4966" s="12">
        <f>DATE(2012,12,31)-938</f>
        <v>40336</v>
      </c>
      <c r="B4966" s="13">
        <v>188.44</v>
      </c>
    </row>
    <row r="4967" s="6" customFormat="1" spans="1:2">
      <c r="A4967" s="12">
        <f>DATE(2012,12,31)-938</f>
        <v>40336</v>
      </c>
      <c r="B4967" s="13">
        <v>1265.497</v>
      </c>
    </row>
    <row r="4968" s="6" customFormat="1" spans="1:2">
      <c r="A4968" s="12">
        <f>DATE(2012,12,31)-623</f>
        <v>40651</v>
      </c>
      <c r="B4968" s="13">
        <v>41.06</v>
      </c>
    </row>
    <row r="4969" s="6" customFormat="1" spans="1:2">
      <c r="A4969" s="12">
        <f>DATE(2012,12,31)-1365</f>
        <v>39909</v>
      </c>
      <c r="B4969" s="13">
        <v>746.93</v>
      </c>
    </row>
    <row r="4970" s="6" customFormat="1" spans="1:2">
      <c r="A4970" s="12">
        <f>DATE(2012,12,31)-1365</f>
        <v>39909</v>
      </c>
      <c r="B4970" s="13">
        <v>313.4</v>
      </c>
    </row>
    <row r="4971" s="6" customFormat="1" spans="1:2">
      <c r="A4971" s="12">
        <f>DATE(2012,12,31)-1115</f>
        <v>40159</v>
      </c>
      <c r="B4971" s="13">
        <v>72.08</v>
      </c>
    </row>
    <row r="4972" s="6" customFormat="1" spans="1:2">
      <c r="A4972" s="12">
        <f>DATE(2012,12,31)-1115</f>
        <v>40159</v>
      </c>
      <c r="B4972" s="13">
        <v>10338.93</v>
      </c>
    </row>
    <row r="4973" s="6" customFormat="1" spans="1:2">
      <c r="A4973" s="12">
        <f>DATE(2012,12,31)-1115</f>
        <v>40159</v>
      </c>
      <c r="B4973" s="13">
        <v>15897.01</v>
      </c>
    </row>
    <row r="4974" s="6" customFormat="1" spans="1:2">
      <c r="A4974" s="12">
        <f>DATE(2012,12,31)-1115</f>
        <v>40159</v>
      </c>
      <c r="B4974" s="13">
        <v>1265.293</v>
      </c>
    </row>
    <row r="4975" s="6" customFormat="1" spans="1:2">
      <c r="A4975" s="12">
        <f>DATE(2012,12,31)-538</f>
        <v>40736</v>
      </c>
      <c r="B4975" s="13">
        <v>149.31</v>
      </c>
    </row>
    <row r="4976" spans="1:2">
      <c r="A4976" s="14">
        <f>DATE(2012,12,31)-312</f>
        <v>40962</v>
      </c>
      <c r="B4976" s="15">
        <v>70.88</v>
      </c>
    </row>
    <row r="4977" s="6" customFormat="1" spans="1:2">
      <c r="A4977" s="12">
        <f>DATE(2012,12,31)-710</f>
        <v>40564</v>
      </c>
      <c r="B4977" s="13">
        <v>188.38</v>
      </c>
    </row>
    <row r="4978" s="6" customFormat="1" spans="1:2">
      <c r="A4978" s="12">
        <f>DATE(2012,12,31)-1009</f>
        <v>40265</v>
      </c>
      <c r="B4978" s="13">
        <v>100.34</v>
      </c>
    </row>
    <row r="4979" s="6" customFormat="1" spans="1:2">
      <c r="A4979" s="12">
        <f>DATE(2012,12,31)-1009</f>
        <v>40265</v>
      </c>
      <c r="B4979" s="13">
        <v>75.68</v>
      </c>
    </row>
    <row r="4980" s="6" customFormat="1" spans="1:2">
      <c r="A4980" s="12">
        <f>DATE(2012,12,31)-820</f>
        <v>40454</v>
      </c>
      <c r="B4980" s="13">
        <v>53.01</v>
      </c>
    </row>
    <row r="4981" s="6" customFormat="1" spans="1:2">
      <c r="A4981" s="12">
        <f>DATE(2012,12,31)-1012</f>
        <v>40262</v>
      </c>
      <c r="B4981" s="13">
        <v>1835.84</v>
      </c>
    </row>
    <row r="4982" spans="1:2">
      <c r="A4982" s="14">
        <f>DATE(2012,12,31)-1012</f>
        <v>40262</v>
      </c>
      <c r="B4982" s="15">
        <v>133.43</v>
      </c>
    </row>
    <row r="4983" s="6" customFormat="1" spans="1:2">
      <c r="A4983" s="12">
        <f>DATE(2012,12,31)-1012</f>
        <v>40262</v>
      </c>
      <c r="B4983" s="13">
        <v>1655.3665</v>
      </c>
    </row>
    <row r="4984" s="6" customFormat="1" spans="1:2">
      <c r="A4984" s="12">
        <f>DATE(2012,12,31)-60</f>
        <v>41214</v>
      </c>
      <c r="B4984" s="13">
        <v>46.37</v>
      </c>
    </row>
    <row r="4985" spans="1:2">
      <c r="A4985" s="14">
        <f>DATE(2012,12,31)-1120</f>
        <v>40154</v>
      </c>
      <c r="B4985" s="15">
        <v>3286.27</v>
      </c>
    </row>
    <row r="4986" s="6" customFormat="1" spans="1:2">
      <c r="A4986" s="12">
        <f>DATE(2012,12,31)-1309</f>
        <v>39965</v>
      </c>
      <c r="B4986" s="13">
        <v>48.75</v>
      </c>
    </row>
    <row r="4987" s="6" customFormat="1" spans="1:2">
      <c r="A4987" s="12">
        <f>DATE(2012,12,31)-1309</f>
        <v>39965</v>
      </c>
      <c r="B4987" s="13">
        <v>112.6</v>
      </c>
    </row>
    <row r="4988" s="6" customFormat="1" spans="1:2">
      <c r="A4988" s="12">
        <f>DATE(2012,12,31)-755</f>
        <v>40519</v>
      </c>
      <c r="B4988" s="13">
        <v>44.64</v>
      </c>
    </row>
    <row r="4989" s="6" customFormat="1" spans="1:2">
      <c r="A4989" s="12">
        <f>DATE(2012,12,31)-755</f>
        <v>40519</v>
      </c>
      <c r="B4989" s="13">
        <v>1289.62</v>
      </c>
    </row>
    <row r="4990" s="6" customFormat="1" spans="1:2">
      <c r="A4990" s="12">
        <f>DATE(2012,12,31)-325</f>
        <v>40949</v>
      </c>
      <c r="B4990" s="13">
        <v>455.93</v>
      </c>
    </row>
    <row r="4991" s="6" customFormat="1" spans="1:2">
      <c r="A4991" s="12">
        <f>DATE(2012,12,31)-686</f>
        <v>40588</v>
      </c>
      <c r="B4991" s="13">
        <v>1731.104</v>
      </c>
    </row>
    <row r="4992" s="6" customFormat="1" spans="1:2">
      <c r="A4992" s="12">
        <f>DATE(2012,12,31)-798</f>
        <v>40476</v>
      </c>
      <c r="B4992" s="13">
        <v>2575.01</v>
      </c>
    </row>
    <row r="4993" s="6" customFormat="1" spans="1:2">
      <c r="A4993" s="12">
        <f>DATE(2012,12,31)-98</f>
        <v>41176</v>
      </c>
      <c r="B4993" s="13">
        <v>4581.54</v>
      </c>
    </row>
    <row r="4994" s="6" customFormat="1" spans="1:2">
      <c r="A4994" s="12">
        <f>DATE(2012,12,31)-668</f>
        <v>40606</v>
      </c>
      <c r="B4994" s="13">
        <v>11266.4</v>
      </c>
    </row>
    <row r="4995" s="6" customFormat="1" spans="1:2">
      <c r="A4995" s="12">
        <f>DATE(2012,12,31)-668</f>
        <v>40606</v>
      </c>
      <c r="B4995" s="13">
        <v>71.61</v>
      </c>
    </row>
    <row r="4996" s="6" customFormat="1" spans="1:2">
      <c r="A4996" s="12">
        <f>DATE(2012,12,31)-668</f>
        <v>40606</v>
      </c>
      <c r="B4996" s="13">
        <v>10.43</v>
      </c>
    </row>
    <row r="4997" s="6" customFormat="1" spans="1:2">
      <c r="A4997" s="12">
        <f>DATE(2012,12,31)-1203</f>
        <v>40071</v>
      </c>
      <c r="B4997" s="13">
        <v>34.88</v>
      </c>
    </row>
    <row r="4998" spans="1:2">
      <c r="A4998" s="14">
        <f>DATE(2012,12,31)-608</f>
        <v>40666</v>
      </c>
      <c r="B4998" s="15">
        <v>150.33</v>
      </c>
    </row>
    <row r="4999" s="6" customFormat="1" spans="1:2">
      <c r="A4999" s="12">
        <f>DATE(2012,12,31)-417</f>
        <v>40857</v>
      </c>
      <c r="B4999" s="13">
        <v>208.77</v>
      </c>
    </row>
    <row r="5000" s="6" customFormat="1" spans="1:2">
      <c r="A5000" s="12">
        <f>DATE(2012,12,31)-932</f>
        <v>40342</v>
      </c>
      <c r="B5000" s="13">
        <v>1727.79</v>
      </c>
    </row>
    <row r="5001" s="6" customFormat="1" spans="1:2">
      <c r="A5001" s="12">
        <f>DATE(2012,12,31)-29</f>
        <v>41245</v>
      </c>
      <c r="B5001" s="13">
        <v>423.95</v>
      </c>
    </row>
    <row r="5002" s="6" customFormat="1" spans="1:2">
      <c r="A5002" s="12">
        <f>DATE(2012,12,31)-449</f>
        <v>40825</v>
      </c>
      <c r="B5002" s="13">
        <v>43.26</v>
      </c>
    </row>
    <row r="5003" s="6" customFormat="1" spans="1:2">
      <c r="A5003" s="12">
        <f>DATE(2012,12,31)-449</f>
        <v>40825</v>
      </c>
      <c r="B5003" s="13">
        <v>174.03</v>
      </c>
    </row>
    <row r="5004" s="6" customFormat="1" spans="1:2">
      <c r="A5004" s="12">
        <f>DATE(2012,12,31)-832</f>
        <v>40442</v>
      </c>
      <c r="B5004" s="13">
        <v>2251.56</v>
      </c>
    </row>
    <row r="5005" s="6" customFormat="1" spans="1:2">
      <c r="A5005" s="12">
        <f>DATE(2012,12,31)-516</f>
        <v>40758</v>
      </c>
      <c r="B5005" s="13">
        <v>910.98</v>
      </c>
    </row>
    <row r="5006" s="6" customFormat="1" spans="1:2">
      <c r="A5006" s="12">
        <f>DATE(2012,12,31)-821</f>
        <v>40453</v>
      </c>
      <c r="B5006" s="13">
        <v>313.52</v>
      </c>
    </row>
    <row r="5007" s="6" customFormat="1" spans="1:2">
      <c r="A5007" s="12">
        <f>DATE(2012,12,31)-409</f>
        <v>40865</v>
      </c>
      <c r="B5007" s="13">
        <v>620.23</v>
      </c>
    </row>
    <row r="5008" s="6" customFormat="1" spans="1:2">
      <c r="A5008" s="12">
        <f>DATE(2012,12,31)-69</f>
        <v>41205</v>
      </c>
      <c r="B5008" s="13">
        <v>3931.17</v>
      </c>
    </row>
    <row r="5009" spans="1:2">
      <c r="A5009" s="14">
        <f>DATE(2012,12,31)-69</f>
        <v>41205</v>
      </c>
      <c r="B5009" s="15">
        <v>134.88</v>
      </c>
    </row>
    <row r="5010" s="6" customFormat="1" spans="1:2">
      <c r="A5010" s="12">
        <f>DATE(2012,12,31)-75</f>
        <v>41199</v>
      </c>
      <c r="B5010" s="13">
        <v>1355.47</v>
      </c>
    </row>
    <row r="5011" s="6" customFormat="1" spans="1:2">
      <c r="A5011" s="12">
        <f>DATE(2012,12,31)-1381</f>
        <v>39893</v>
      </c>
      <c r="B5011" s="13">
        <v>2587.53</v>
      </c>
    </row>
    <row r="5012" s="6" customFormat="1" spans="1:2">
      <c r="A5012" s="12">
        <f>DATE(2012,12,31)-1426</f>
        <v>39848</v>
      </c>
      <c r="B5012" s="13">
        <v>118.66</v>
      </c>
    </row>
    <row r="5013" s="6" customFormat="1" spans="1:2">
      <c r="A5013" s="12">
        <f>DATE(2012,12,31)-1426</f>
        <v>39848</v>
      </c>
      <c r="B5013" s="13">
        <v>213.74</v>
      </c>
    </row>
    <row r="5014" spans="1:2">
      <c r="A5014" s="14">
        <f>DATE(2012,12,31)-845</f>
        <v>40429</v>
      </c>
      <c r="B5014" s="15">
        <v>136.72</v>
      </c>
    </row>
    <row r="5015" s="6" customFormat="1" spans="1:2">
      <c r="A5015" s="12">
        <f>DATE(2012,12,31)-714</f>
        <v>40560</v>
      </c>
      <c r="B5015" s="13">
        <v>28.55</v>
      </c>
    </row>
    <row r="5016" s="6" customFormat="1" spans="1:2">
      <c r="A5016" s="12">
        <f>DATE(2012,12,31)-514</f>
        <v>40760</v>
      </c>
      <c r="B5016" s="13">
        <v>6427.18</v>
      </c>
    </row>
    <row r="5017" s="6" customFormat="1" spans="1:2">
      <c r="A5017" s="12">
        <f>DATE(2012,12,31)-514</f>
        <v>40760</v>
      </c>
      <c r="B5017" s="13">
        <v>1330.73</v>
      </c>
    </row>
    <row r="5018" s="6" customFormat="1" spans="1:2">
      <c r="A5018" s="12">
        <f>DATE(2012,12,31)-363</f>
        <v>40911</v>
      </c>
      <c r="B5018" s="13">
        <v>741.57</v>
      </c>
    </row>
    <row r="5019" s="6" customFormat="1" spans="1:2">
      <c r="A5019" s="12">
        <f>DATE(2012,12,31)-363</f>
        <v>40911</v>
      </c>
      <c r="B5019" s="13">
        <v>10.39</v>
      </c>
    </row>
    <row r="5020" s="6" customFormat="1" spans="1:2">
      <c r="A5020" s="12">
        <f>DATE(2012,12,31)-1074</f>
        <v>40200</v>
      </c>
      <c r="B5020" s="13">
        <v>2722.85</v>
      </c>
    </row>
    <row r="5021" s="6" customFormat="1" spans="1:2">
      <c r="A5021" s="12">
        <f>DATE(2012,12,31)-1074</f>
        <v>40200</v>
      </c>
      <c r="B5021" s="13">
        <v>59.93</v>
      </c>
    </row>
    <row r="5022" s="6" customFormat="1" spans="1:2">
      <c r="A5022" s="12">
        <f>DATE(2012,12,31)-1074</f>
        <v>40200</v>
      </c>
      <c r="B5022" s="13">
        <v>851.52</v>
      </c>
    </row>
    <row r="5023" s="6" customFormat="1" spans="1:2">
      <c r="A5023" s="12">
        <f>DATE(2012,12,31)-1350</f>
        <v>39924</v>
      </c>
      <c r="B5023" s="13">
        <v>7841.57</v>
      </c>
    </row>
    <row r="5024" s="6" customFormat="1" spans="1:2">
      <c r="A5024" s="12">
        <f>DATE(2012,12,31)-1350</f>
        <v>39924</v>
      </c>
      <c r="B5024" s="13">
        <v>156.31</v>
      </c>
    </row>
    <row r="5025" s="6" customFormat="1" spans="1:2">
      <c r="A5025" s="12">
        <f>DATE(2012,12,31)-279</f>
        <v>40995</v>
      </c>
      <c r="B5025" s="13">
        <v>324.52</v>
      </c>
    </row>
    <row r="5026" s="6" customFormat="1" spans="1:2">
      <c r="A5026" s="12">
        <f>DATE(2012,12,31)-947</f>
        <v>40327</v>
      </c>
      <c r="B5026" s="13">
        <v>173.08</v>
      </c>
    </row>
    <row r="5027" s="6" customFormat="1" spans="1:2">
      <c r="A5027" s="12">
        <f>DATE(2012,12,31)-947</f>
        <v>40327</v>
      </c>
      <c r="B5027" s="13">
        <v>3492.6585</v>
      </c>
    </row>
    <row r="5028" s="6" customFormat="1" spans="1:2">
      <c r="A5028" s="12">
        <f>DATE(2012,12,31)-603</f>
        <v>40671</v>
      </c>
      <c r="B5028" s="13">
        <v>230.41</v>
      </c>
    </row>
    <row r="5029" s="6" customFormat="1" spans="1:2">
      <c r="A5029" s="12">
        <f>DATE(2012,12,31)-603</f>
        <v>40671</v>
      </c>
      <c r="B5029" s="13">
        <v>5163.0105</v>
      </c>
    </row>
    <row r="5030" spans="1:2">
      <c r="A5030" s="14">
        <f>DATE(2012,12,31)-221</f>
        <v>41053</v>
      </c>
      <c r="B5030" s="15">
        <v>53.79</v>
      </c>
    </row>
    <row r="5031" s="6" customFormat="1" spans="1:2">
      <c r="A5031" s="12">
        <f>DATE(2012,12,31)-725</f>
        <v>40549</v>
      </c>
      <c r="B5031" s="13">
        <v>5713.48</v>
      </c>
    </row>
    <row r="5032" s="6" customFormat="1" spans="1:2">
      <c r="A5032" s="12">
        <f>DATE(2012,12,31)-1431</f>
        <v>39843</v>
      </c>
      <c r="B5032" s="13">
        <v>361.65</v>
      </c>
    </row>
    <row r="5033" s="6" customFormat="1" spans="1:2">
      <c r="A5033" s="12">
        <f>DATE(2012,12,31)-566</f>
        <v>40708</v>
      </c>
      <c r="B5033" s="13">
        <v>348.92</v>
      </c>
    </row>
    <row r="5034" s="6" customFormat="1" spans="1:2">
      <c r="A5034" s="12">
        <f>DATE(2012,12,31)-951</f>
        <v>40323</v>
      </c>
      <c r="B5034" s="13">
        <v>129.71</v>
      </c>
    </row>
    <row r="5035" spans="1:2">
      <c r="A5035" s="14">
        <f>DATE(2012,12,31)-871</f>
        <v>40403</v>
      </c>
      <c r="B5035" s="15">
        <v>485.46</v>
      </c>
    </row>
    <row r="5036" s="6" customFormat="1" spans="1:2">
      <c r="A5036" s="12">
        <f>DATE(2012,12,31)-871</f>
        <v>40403</v>
      </c>
      <c r="B5036" s="13">
        <v>161.67</v>
      </c>
    </row>
    <row r="5037" spans="1:2">
      <c r="A5037" s="14">
        <f>DATE(2012,12,31)-316</f>
        <v>40958</v>
      </c>
      <c r="B5037" s="15">
        <v>37.4</v>
      </c>
    </row>
    <row r="5038" spans="1:2">
      <c r="A5038" s="14">
        <f>DATE(2012,12,31)-750</f>
        <v>40524</v>
      </c>
      <c r="B5038" s="15">
        <v>240.18</v>
      </c>
    </row>
    <row r="5039" spans="1:2">
      <c r="A5039" s="14">
        <f>DATE(2012,12,31)-750</f>
        <v>40524</v>
      </c>
      <c r="B5039" s="15">
        <v>529.28</v>
      </c>
    </row>
    <row r="5040" s="6" customFormat="1" spans="1:2">
      <c r="A5040" s="12">
        <f>DATE(2012,12,31)-768</f>
        <v>40506</v>
      </c>
      <c r="B5040" s="13">
        <v>881.501</v>
      </c>
    </row>
    <row r="5041" s="6" customFormat="1" spans="1:2">
      <c r="A5041" s="12">
        <f>DATE(2012,12,31)-768</f>
        <v>40506</v>
      </c>
      <c r="B5041" s="13">
        <v>161.72</v>
      </c>
    </row>
    <row r="5042" s="6" customFormat="1" spans="1:2">
      <c r="A5042" s="12">
        <f>DATE(2012,12,31)-768</f>
        <v>40506</v>
      </c>
      <c r="B5042" s="13">
        <v>660.059</v>
      </c>
    </row>
    <row r="5043" s="6" customFormat="1" spans="1:2">
      <c r="A5043" s="12">
        <f>DATE(2012,12,31)-1440</f>
        <v>39834</v>
      </c>
      <c r="B5043" s="13">
        <v>312.26</v>
      </c>
    </row>
    <row r="5044" s="6" customFormat="1" spans="1:2">
      <c r="A5044" s="12">
        <f>DATE(2012,12,31)-1440</f>
        <v>39834</v>
      </c>
      <c r="B5044" s="13">
        <v>4152.55</v>
      </c>
    </row>
    <row r="5045" s="6" customFormat="1" spans="1:2">
      <c r="A5045" s="12">
        <f>DATE(2012,12,31)-44</f>
        <v>41230</v>
      </c>
      <c r="B5045" s="13">
        <v>1770.7</v>
      </c>
    </row>
    <row r="5046" s="6" customFormat="1" spans="1:2">
      <c r="A5046" s="12">
        <f>DATE(2012,12,31)-44</f>
        <v>41230</v>
      </c>
      <c r="B5046" s="13">
        <v>628.33</v>
      </c>
    </row>
    <row r="5047" spans="1:2">
      <c r="A5047" s="14">
        <f>DATE(2012,12,31)-949</f>
        <v>40325</v>
      </c>
      <c r="B5047" s="15">
        <v>136.63</v>
      </c>
    </row>
    <row r="5048" s="6" customFormat="1" spans="1:2">
      <c r="A5048" s="12">
        <f>DATE(2012,12,31)-303</f>
        <v>40971</v>
      </c>
      <c r="B5048" s="13">
        <v>141.2</v>
      </c>
    </row>
    <row r="5049" s="6" customFormat="1" spans="1:2">
      <c r="A5049" s="12">
        <f>DATE(2012,12,31)-644</f>
        <v>40630</v>
      </c>
      <c r="B5049" s="13">
        <v>1038.82</v>
      </c>
    </row>
    <row r="5050" s="6" customFormat="1" spans="1:2">
      <c r="A5050" s="12">
        <f>DATE(2012,12,31)-644</f>
        <v>40630</v>
      </c>
      <c r="B5050" s="13">
        <v>564.39</v>
      </c>
    </row>
    <row r="5051" s="6" customFormat="1" spans="1:2">
      <c r="A5051" s="12">
        <f>DATE(2012,12,31)-792</f>
        <v>40482</v>
      </c>
      <c r="B5051" s="13">
        <v>207.42</v>
      </c>
    </row>
    <row r="5052" s="6" customFormat="1" spans="1:2">
      <c r="A5052" s="12">
        <f>DATE(2012,12,31)-792</f>
        <v>40482</v>
      </c>
      <c r="B5052" s="13">
        <v>1031.18</v>
      </c>
    </row>
    <row r="5053" spans="1:2">
      <c r="A5053" s="14">
        <f>DATE(2012,12,31)-836</f>
        <v>40438</v>
      </c>
      <c r="B5053" s="15">
        <v>29.65</v>
      </c>
    </row>
    <row r="5054" s="6" customFormat="1" spans="1:2">
      <c r="A5054" s="12">
        <f>DATE(2012,12,31)-1108</f>
        <v>40166</v>
      </c>
      <c r="B5054" s="13">
        <v>83.02</v>
      </c>
    </row>
    <row r="5055" s="6" customFormat="1" spans="1:2">
      <c r="A5055" s="12">
        <f>DATE(2012,12,31)-76</f>
        <v>41198</v>
      </c>
      <c r="B5055" s="13">
        <v>19.36</v>
      </c>
    </row>
    <row r="5056" s="6" customFormat="1" spans="1:2">
      <c r="A5056" s="12">
        <f>DATE(2012,12,31)-137</f>
        <v>41137</v>
      </c>
      <c r="B5056" s="13">
        <v>95.26</v>
      </c>
    </row>
    <row r="5057" s="6" customFormat="1" spans="1:2">
      <c r="A5057" s="12">
        <f>DATE(2012,12,31)-1048</f>
        <v>40226</v>
      </c>
      <c r="B5057" s="13">
        <v>538.3</v>
      </c>
    </row>
    <row r="5058" s="6" customFormat="1" spans="1:2">
      <c r="A5058" s="12">
        <f>DATE(2012,12,31)-1276</f>
        <v>39998</v>
      </c>
      <c r="B5058" s="13">
        <v>6176.29</v>
      </c>
    </row>
    <row r="5059" s="6" customFormat="1" spans="1:2">
      <c r="A5059" s="12">
        <f>DATE(2012,12,31)-1425</f>
        <v>39849</v>
      </c>
      <c r="B5059" s="13">
        <v>6133.18</v>
      </c>
    </row>
    <row r="5060" s="6" customFormat="1" spans="1:2">
      <c r="A5060" s="12">
        <f>DATE(2012,12,31)-1122</f>
        <v>40152</v>
      </c>
      <c r="B5060" s="13">
        <v>453.09</v>
      </c>
    </row>
    <row r="5061" s="6" customFormat="1" spans="1:2">
      <c r="A5061" s="12">
        <f>DATE(2012,12,31)-1122</f>
        <v>40152</v>
      </c>
      <c r="B5061" s="13">
        <v>2758.22</v>
      </c>
    </row>
    <row r="5062" s="6" customFormat="1" spans="1:2">
      <c r="A5062" s="12">
        <f>DATE(2012,12,31)-1122</f>
        <v>40152</v>
      </c>
      <c r="B5062" s="13">
        <v>102.61</v>
      </c>
    </row>
    <row r="5063" s="6" customFormat="1" spans="1:2">
      <c r="A5063" s="12">
        <f>DATE(2012,12,31)-836</f>
        <v>40438</v>
      </c>
      <c r="B5063" s="13">
        <v>85.49</v>
      </c>
    </row>
    <row r="5064" s="6" customFormat="1" spans="1:2">
      <c r="A5064" s="12">
        <f>DATE(2012,12,31)-836</f>
        <v>40438</v>
      </c>
      <c r="B5064" s="13">
        <v>926.3</v>
      </c>
    </row>
    <row r="5065" s="6" customFormat="1" spans="1:2">
      <c r="A5065" s="12">
        <f>DATE(2012,12,31)-133</f>
        <v>41141</v>
      </c>
      <c r="B5065" s="13">
        <v>446.05</v>
      </c>
    </row>
    <row r="5066" s="6" customFormat="1" spans="1:2">
      <c r="A5066" s="12">
        <f>DATE(2012,12,31)-956</f>
        <v>40318</v>
      </c>
      <c r="B5066" s="13">
        <v>461.4</v>
      </c>
    </row>
    <row r="5067" s="6" customFormat="1" spans="1:2">
      <c r="A5067" s="12">
        <f>DATE(2012,12,31)-246</f>
        <v>41028</v>
      </c>
      <c r="B5067" s="13">
        <v>55.82</v>
      </c>
    </row>
    <row r="5068" s="6" customFormat="1" spans="1:2">
      <c r="A5068" s="12">
        <f>DATE(2012,12,31)-246</f>
        <v>41028</v>
      </c>
      <c r="B5068" s="13">
        <v>1335.316</v>
      </c>
    </row>
    <row r="5069" s="6" customFormat="1" spans="1:2">
      <c r="A5069" s="12">
        <f>DATE(2012,12,31)-109</f>
        <v>41165</v>
      </c>
      <c r="B5069" s="13">
        <v>394.8</v>
      </c>
    </row>
    <row r="5070" spans="1:2">
      <c r="A5070" s="14">
        <f>DATE(2012,12,31)-1324</f>
        <v>39950</v>
      </c>
      <c r="B5070" s="15">
        <v>354.96</v>
      </c>
    </row>
    <row r="5071" spans="1:2">
      <c r="A5071" s="14">
        <f>DATE(2012,12,31)-1324</f>
        <v>39950</v>
      </c>
      <c r="B5071" s="15">
        <v>130.97</v>
      </c>
    </row>
    <row r="5072" s="6" customFormat="1" spans="1:2">
      <c r="A5072" s="12">
        <f>DATE(2012,12,31)-1324</f>
        <v>39950</v>
      </c>
      <c r="B5072" s="13">
        <v>493.43</v>
      </c>
    </row>
    <row r="5073" s="6" customFormat="1" spans="1:2">
      <c r="A5073" s="12">
        <f>DATE(2012,12,31)-266</f>
        <v>41008</v>
      </c>
      <c r="B5073" s="13">
        <v>604.576</v>
      </c>
    </row>
    <row r="5074" spans="1:2">
      <c r="A5074" s="14">
        <f>DATE(2012,12,31)-499</f>
        <v>40775</v>
      </c>
      <c r="B5074" s="15">
        <v>128.56</v>
      </c>
    </row>
    <row r="5075" s="6" customFormat="1" spans="1:2">
      <c r="A5075" s="12">
        <f>DATE(2012,12,31)-770</f>
        <v>40504</v>
      </c>
      <c r="B5075" s="13">
        <v>826.9735</v>
      </c>
    </row>
    <row r="5076" s="6" customFormat="1" spans="1:2">
      <c r="A5076" s="12">
        <f>DATE(2012,12,31)-581</f>
        <v>40693</v>
      </c>
      <c r="B5076" s="13">
        <v>999.226</v>
      </c>
    </row>
    <row r="5077" s="6" customFormat="1" spans="1:2">
      <c r="A5077" s="12">
        <f>DATE(2012,12,31)-39</f>
        <v>41235</v>
      </c>
      <c r="B5077" s="13">
        <v>2218.891</v>
      </c>
    </row>
    <row r="5078" s="6" customFormat="1" spans="1:2">
      <c r="A5078" s="12">
        <f>DATE(2012,12,31)-1080</f>
        <v>40194</v>
      </c>
      <c r="B5078" s="13">
        <v>29.19</v>
      </c>
    </row>
    <row r="5079" s="6" customFormat="1" spans="1:2">
      <c r="A5079" s="12">
        <f>DATE(2012,12,31)-56</f>
        <v>41218</v>
      </c>
      <c r="B5079" s="13">
        <v>463</v>
      </c>
    </row>
    <row r="5080" s="6" customFormat="1" spans="1:2">
      <c r="A5080" s="12">
        <f>DATE(2012,12,31)-513</f>
        <v>40761</v>
      </c>
      <c r="B5080" s="13">
        <v>39.01</v>
      </c>
    </row>
    <row r="5081" s="6" customFormat="1" spans="1:2">
      <c r="A5081" s="12">
        <f>DATE(2012,12,31)-513</f>
        <v>40761</v>
      </c>
      <c r="B5081" s="13">
        <v>62.03</v>
      </c>
    </row>
    <row r="5082" s="6" customFormat="1" spans="1:2">
      <c r="A5082" s="12">
        <f>DATE(2012,12,31)-1338</f>
        <v>39936</v>
      </c>
      <c r="B5082" s="13">
        <v>1765.45</v>
      </c>
    </row>
    <row r="5083" s="6" customFormat="1" spans="1:2">
      <c r="A5083" s="12">
        <f>DATE(2012,12,31)-101</f>
        <v>41173</v>
      </c>
      <c r="B5083" s="13">
        <v>1465.29</v>
      </c>
    </row>
    <row r="5084" s="6" customFormat="1" spans="1:2">
      <c r="A5084" s="12">
        <f>DATE(2012,12,31)-101</f>
        <v>41173</v>
      </c>
      <c r="B5084" s="13">
        <v>3590.33</v>
      </c>
    </row>
    <row r="5085" s="6" customFormat="1" spans="1:2">
      <c r="A5085" s="12">
        <f>DATE(2012,12,31)-1300</f>
        <v>39974</v>
      </c>
      <c r="B5085" s="13">
        <v>57.03</v>
      </c>
    </row>
    <row r="5086" s="6" customFormat="1" spans="1:2">
      <c r="A5086" s="12">
        <f>DATE(2012,12,31)-308</f>
        <v>40966</v>
      </c>
      <c r="B5086" s="13">
        <v>894.51</v>
      </c>
    </row>
    <row r="5087" s="6" customFormat="1" spans="1:2">
      <c r="A5087" s="12">
        <f>DATE(2012,12,31)-888</f>
        <v>40386</v>
      </c>
      <c r="B5087" s="13">
        <v>164.02</v>
      </c>
    </row>
    <row r="5088" s="6" customFormat="1" spans="1:2">
      <c r="A5088" s="12">
        <f>DATE(2012,12,31)-888</f>
        <v>40386</v>
      </c>
      <c r="B5088" s="13">
        <v>136.81</v>
      </c>
    </row>
    <row r="5089" s="6" customFormat="1" spans="1:2">
      <c r="A5089" s="12">
        <f>DATE(2012,12,31)-888</f>
        <v>40386</v>
      </c>
      <c r="B5089" s="13">
        <v>4701.69</v>
      </c>
    </row>
    <row r="5090" s="6" customFormat="1" spans="1:2">
      <c r="A5090" s="12">
        <f>DATE(2012,12,31)-1058</f>
        <v>40216</v>
      </c>
      <c r="B5090" s="13">
        <v>109.87</v>
      </c>
    </row>
    <row r="5091" s="6" customFormat="1" spans="1:2">
      <c r="A5091" s="12">
        <f>DATE(2012,12,31)-1058</f>
        <v>40216</v>
      </c>
      <c r="B5091" s="13">
        <v>816.65</v>
      </c>
    </row>
    <row r="5092" s="6" customFormat="1" spans="1:2">
      <c r="A5092" s="12">
        <f>DATE(2012,12,31)-732</f>
        <v>40542</v>
      </c>
      <c r="B5092" s="13">
        <v>1272.83</v>
      </c>
    </row>
    <row r="5093" spans="1:2">
      <c r="A5093" s="14">
        <f>DATE(2012,12,31)-732</f>
        <v>40542</v>
      </c>
      <c r="B5093" s="15">
        <v>165.36</v>
      </c>
    </row>
    <row r="5094" spans="1:2">
      <c r="A5094" s="14">
        <f>DATE(2012,12,31)-133</f>
        <v>41141</v>
      </c>
      <c r="B5094" s="15">
        <v>611.16</v>
      </c>
    </row>
    <row r="5095" s="6" customFormat="1" spans="1:2">
      <c r="A5095" s="12">
        <f>DATE(2012,12,31)-849</f>
        <v>40425</v>
      </c>
      <c r="B5095" s="13">
        <v>278.1</v>
      </c>
    </row>
    <row r="5096" s="6" customFormat="1" spans="1:2">
      <c r="A5096" s="12">
        <f>DATE(2012,12,31)-805</f>
        <v>40469</v>
      </c>
      <c r="B5096" s="13">
        <v>85.89</v>
      </c>
    </row>
    <row r="5097" s="6" customFormat="1" spans="1:2">
      <c r="A5097" s="12">
        <f>DATE(2012,12,31)-209</f>
        <v>41065</v>
      </c>
      <c r="B5097" s="13">
        <v>4567.36</v>
      </c>
    </row>
    <row r="5098" s="6" customFormat="1" spans="1:2">
      <c r="A5098" s="12">
        <f>DATE(2012,12,31)-1125</f>
        <v>40149</v>
      </c>
      <c r="B5098" s="13">
        <v>61.43</v>
      </c>
    </row>
    <row r="5099" s="6" customFormat="1" spans="1:2">
      <c r="A5099" s="12">
        <f>DATE(2012,12,31)-1125</f>
        <v>40149</v>
      </c>
      <c r="B5099" s="13">
        <v>129.5</v>
      </c>
    </row>
    <row r="5100" s="6" customFormat="1" spans="1:2">
      <c r="A5100" s="12">
        <f>DATE(2012,12,31)-1125</f>
        <v>40149</v>
      </c>
      <c r="B5100" s="13">
        <v>125.95</v>
      </c>
    </row>
    <row r="5101" s="6" customFormat="1" spans="1:2">
      <c r="A5101" s="12">
        <f>DATE(2012,12,31)-1125</f>
        <v>40149</v>
      </c>
      <c r="B5101" s="13">
        <v>90.93</v>
      </c>
    </row>
    <row r="5102" s="6" customFormat="1" spans="1:2">
      <c r="A5102" s="12">
        <f>DATE(2012,12,31)-372</f>
        <v>40902</v>
      </c>
      <c r="B5102" s="13">
        <v>4768.59</v>
      </c>
    </row>
    <row r="5103" s="6" customFormat="1" spans="1:2">
      <c r="A5103" s="12">
        <f>DATE(2012,12,31)-372</f>
        <v>40902</v>
      </c>
      <c r="B5103" s="13">
        <v>117.77</v>
      </c>
    </row>
    <row r="5104" s="6" customFormat="1" spans="1:2">
      <c r="A5104" s="12">
        <f>DATE(2012,12,31)-352</f>
        <v>40922</v>
      </c>
      <c r="B5104" s="13">
        <v>17605.77</v>
      </c>
    </row>
    <row r="5105" s="6" customFormat="1" spans="1:2">
      <c r="A5105" s="12">
        <f>DATE(2012,12,31)-1328</f>
        <v>39946</v>
      </c>
      <c r="B5105" s="13">
        <v>865.35</v>
      </c>
    </row>
    <row r="5106" s="6" customFormat="1" spans="1:2">
      <c r="A5106" s="12">
        <f>DATE(2012,12,31)-1328</f>
        <v>39946</v>
      </c>
      <c r="B5106" s="13">
        <v>823.07</v>
      </c>
    </row>
    <row r="5107" s="6" customFormat="1" spans="1:2">
      <c r="A5107" s="12">
        <f>DATE(2012,12,31)-404</f>
        <v>40870</v>
      </c>
      <c r="B5107" s="13">
        <v>68.66</v>
      </c>
    </row>
    <row r="5108" s="6" customFormat="1" spans="1:2">
      <c r="A5108" s="12">
        <f>DATE(2012,12,31)-420</f>
        <v>40854</v>
      </c>
      <c r="B5108" s="13">
        <v>616.39</v>
      </c>
    </row>
    <row r="5109" s="6" customFormat="1" spans="1:2">
      <c r="A5109" s="12">
        <f>DATE(2012,12,31)-80</f>
        <v>41194</v>
      </c>
      <c r="B5109" s="13">
        <v>329.63</v>
      </c>
    </row>
    <row r="5110" spans="1:2">
      <c r="A5110" s="14">
        <f>DATE(2012,12,31)-1127</f>
        <v>40147</v>
      </c>
      <c r="B5110" s="15">
        <v>276</v>
      </c>
    </row>
    <row r="5111" spans="1:2">
      <c r="A5111" s="14">
        <f>DATE(2012,12,31)-1127</f>
        <v>40147</v>
      </c>
      <c r="B5111" s="15">
        <v>132.01</v>
      </c>
    </row>
    <row r="5112" spans="1:2">
      <c r="A5112" s="14">
        <f>DATE(2012,12,31)-339</f>
        <v>40935</v>
      </c>
      <c r="B5112" s="15">
        <v>207.92</v>
      </c>
    </row>
    <row r="5113" s="6" customFormat="1" spans="1:2">
      <c r="A5113" s="12">
        <f>DATE(2012,12,31)-843</f>
        <v>40431</v>
      </c>
      <c r="B5113" s="13">
        <v>36.65</v>
      </c>
    </row>
    <row r="5114" s="6" customFormat="1" spans="1:2">
      <c r="A5114" s="12">
        <f>DATE(2012,12,31)-843</f>
        <v>40431</v>
      </c>
      <c r="B5114" s="13">
        <v>964.09</v>
      </c>
    </row>
    <row r="5115" s="6" customFormat="1" spans="1:2">
      <c r="A5115" s="12">
        <f>DATE(2012,12,31)-848</f>
        <v>40426</v>
      </c>
      <c r="B5115" s="13">
        <v>90.75</v>
      </c>
    </row>
    <row r="5116" s="6" customFormat="1" spans="1:2">
      <c r="A5116" s="12">
        <f>DATE(2012,12,31)-848</f>
        <v>40426</v>
      </c>
      <c r="B5116" s="13">
        <v>927.82</v>
      </c>
    </row>
    <row r="5117" spans="1:2">
      <c r="A5117" s="14">
        <f>DATE(2012,12,31)-848</f>
        <v>40426</v>
      </c>
      <c r="B5117" s="15">
        <v>123.37</v>
      </c>
    </row>
    <row r="5118" s="6" customFormat="1" spans="1:2">
      <c r="A5118" s="12">
        <f>DATE(2012,12,31)-1366</f>
        <v>39908</v>
      </c>
      <c r="B5118" s="13">
        <v>564.98</v>
      </c>
    </row>
    <row r="5119" s="6" customFormat="1" spans="1:2">
      <c r="A5119" s="12">
        <f>DATE(2012,12,31)-1366</f>
        <v>39908</v>
      </c>
      <c r="B5119" s="13">
        <v>129.48</v>
      </c>
    </row>
    <row r="5120" s="6" customFormat="1" spans="1:2">
      <c r="A5120" s="12">
        <f>DATE(2012,12,31)-682</f>
        <v>40592</v>
      </c>
      <c r="B5120" s="13">
        <v>69.57</v>
      </c>
    </row>
    <row r="5121" s="6" customFormat="1" spans="1:2">
      <c r="A5121" s="12">
        <f>DATE(2012,12,31)-1411</f>
        <v>39863</v>
      </c>
      <c r="B5121" s="13">
        <v>1838.19</v>
      </c>
    </row>
    <row r="5122" s="6" customFormat="1" spans="1:2">
      <c r="A5122" s="12">
        <f>DATE(2012,12,31)-862</f>
        <v>40412</v>
      </c>
      <c r="B5122" s="13">
        <v>1190.8</v>
      </c>
    </row>
    <row r="5123" s="6" customFormat="1" spans="1:2">
      <c r="A5123" s="12">
        <f>DATE(2012,12,31)-545</f>
        <v>40729</v>
      </c>
      <c r="B5123" s="13">
        <v>55.68</v>
      </c>
    </row>
    <row r="5124" s="6" customFormat="1" spans="1:2">
      <c r="A5124" s="12">
        <f>DATE(2012,12,31)-545</f>
        <v>40729</v>
      </c>
      <c r="B5124" s="13">
        <v>14588.28</v>
      </c>
    </row>
    <row r="5125" s="6" customFormat="1" spans="1:2">
      <c r="A5125" s="12">
        <f>DATE(2012,12,31)-545</f>
        <v>40729</v>
      </c>
      <c r="B5125" s="13">
        <v>2675.08</v>
      </c>
    </row>
    <row r="5126" s="6" customFormat="1" spans="1:2">
      <c r="A5126" s="12">
        <f>DATE(2012,12,31)-338</f>
        <v>40936</v>
      </c>
      <c r="B5126" s="13">
        <v>2380.5695</v>
      </c>
    </row>
    <row r="5127" s="6" customFormat="1" spans="1:2">
      <c r="A5127" s="12">
        <f>DATE(2012,12,31)-278</f>
        <v>40996</v>
      </c>
      <c r="B5127" s="13">
        <v>10413.67</v>
      </c>
    </row>
    <row r="5128" s="6" customFormat="1" spans="1:2">
      <c r="A5128" s="12">
        <f>DATE(2012,12,31)-278</f>
        <v>40996</v>
      </c>
      <c r="B5128" s="13">
        <v>71.49</v>
      </c>
    </row>
    <row r="5129" s="6" customFormat="1" spans="1:2">
      <c r="A5129" s="12">
        <f>DATE(2012,12,31)-525</f>
        <v>40749</v>
      </c>
      <c r="B5129" s="13">
        <v>883.37</v>
      </c>
    </row>
    <row r="5130" spans="1:2">
      <c r="A5130" s="14">
        <f>DATE(2012,12,31)-1036</f>
        <v>40238</v>
      </c>
      <c r="B5130" s="15">
        <v>877.64</v>
      </c>
    </row>
    <row r="5131" s="6" customFormat="1" spans="1:2">
      <c r="A5131" s="12">
        <f>DATE(2012,12,31)-1036</f>
        <v>40238</v>
      </c>
      <c r="B5131" s="13">
        <v>190.1</v>
      </c>
    </row>
    <row r="5132" s="6" customFormat="1" spans="1:2">
      <c r="A5132" s="12">
        <f>DATE(2012,12,31)-793</f>
        <v>40481</v>
      </c>
      <c r="B5132" s="13">
        <v>44.99</v>
      </c>
    </row>
    <row r="5133" s="6" customFormat="1" spans="1:2">
      <c r="A5133" s="12">
        <f>DATE(2012,12,31)-460</f>
        <v>40814</v>
      </c>
      <c r="B5133" s="13">
        <v>825.8</v>
      </c>
    </row>
    <row r="5134" s="6" customFormat="1" spans="1:2">
      <c r="A5134" s="12">
        <f>DATE(2012,12,31)-460</f>
        <v>40814</v>
      </c>
      <c r="B5134" s="13">
        <v>4273.95</v>
      </c>
    </row>
    <row r="5135" s="6" customFormat="1" spans="1:2">
      <c r="A5135" s="12">
        <f>DATE(2012,12,31)-1327</f>
        <v>39947</v>
      </c>
      <c r="B5135" s="13">
        <v>45.73</v>
      </c>
    </row>
    <row r="5136" s="6" customFormat="1" spans="1:2">
      <c r="A5136" s="12">
        <f>DATE(2012,12,31)-409</f>
        <v>40865</v>
      </c>
      <c r="B5136" s="13">
        <v>416.39</v>
      </c>
    </row>
    <row r="5137" s="6" customFormat="1" spans="1:2">
      <c r="A5137" s="12">
        <f>DATE(2012,12,31)-1407</f>
        <v>39867</v>
      </c>
      <c r="B5137" s="13">
        <v>240.87</v>
      </c>
    </row>
    <row r="5138" s="6" customFormat="1" spans="1:2">
      <c r="A5138" s="12">
        <f>DATE(2012,12,31)-1407</f>
        <v>39867</v>
      </c>
      <c r="B5138" s="13">
        <v>1025.02</v>
      </c>
    </row>
    <row r="5139" s="6" customFormat="1" spans="1:2">
      <c r="A5139" s="12">
        <f>DATE(2012,12,31)-232</f>
        <v>41042</v>
      </c>
      <c r="B5139" s="13">
        <v>2298.32</v>
      </c>
    </row>
    <row r="5140" s="6" customFormat="1" spans="1:2">
      <c r="A5140" s="12">
        <f>DATE(2012,12,31)-937</f>
        <v>40337</v>
      </c>
      <c r="B5140" s="13">
        <v>1168.15</v>
      </c>
    </row>
    <row r="5141" s="6" customFormat="1" spans="1:2">
      <c r="A5141" s="12">
        <f>DATE(2012,12,31)-1280</f>
        <v>39994</v>
      </c>
      <c r="B5141" s="13">
        <v>179.98</v>
      </c>
    </row>
    <row r="5142" s="6" customFormat="1" spans="1:2">
      <c r="A5142" s="12">
        <f>DATE(2012,12,31)-1280</f>
        <v>39994</v>
      </c>
      <c r="B5142" s="13">
        <v>55.44</v>
      </c>
    </row>
    <row r="5143" s="6" customFormat="1" spans="1:2">
      <c r="A5143" s="12">
        <f>DATE(2012,12,31)-1280</f>
        <v>39994</v>
      </c>
      <c r="B5143" s="13">
        <v>174.62</v>
      </c>
    </row>
    <row r="5144" s="6" customFormat="1" spans="1:2">
      <c r="A5144" s="12">
        <f>DATE(2012,12,31)-840</f>
        <v>40434</v>
      </c>
      <c r="B5144" s="13">
        <v>984.6315</v>
      </c>
    </row>
    <row r="5145" s="6" customFormat="1" spans="1:2">
      <c r="A5145" s="12">
        <f>DATE(2012,12,31)-547</f>
        <v>40727</v>
      </c>
      <c r="B5145" s="13">
        <v>113.09</v>
      </c>
    </row>
    <row r="5146" s="6" customFormat="1" spans="1:2">
      <c r="A5146" s="12">
        <f>DATE(2012,12,31)-494</f>
        <v>40780</v>
      </c>
      <c r="B5146" s="13">
        <v>3046.01</v>
      </c>
    </row>
    <row r="5147" s="6" customFormat="1" spans="1:2">
      <c r="A5147" s="12">
        <f>DATE(2012,12,31)-494</f>
        <v>40780</v>
      </c>
      <c r="B5147" s="13">
        <v>353.52</v>
      </c>
    </row>
    <row r="5148" s="6" customFormat="1" spans="1:2">
      <c r="A5148" s="12">
        <f>DATE(2012,12,31)-1104</f>
        <v>40170</v>
      </c>
      <c r="B5148" s="13">
        <v>23255.61</v>
      </c>
    </row>
    <row r="5149" s="6" customFormat="1" spans="1:2">
      <c r="A5149" s="12">
        <f>DATE(2012,12,31)-489</f>
        <v>40785</v>
      </c>
      <c r="B5149" s="13">
        <v>1491.8265</v>
      </c>
    </row>
    <row r="5150" s="6" customFormat="1" spans="1:2">
      <c r="A5150" s="12">
        <f>DATE(2012,12,31)-564</f>
        <v>40710</v>
      </c>
      <c r="B5150" s="13">
        <v>134.33</v>
      </c>
    </row>
    <row r="5151" s="6" customFormat="1" spans="1:2">
      <c r="A5151" s="12">
        <f>DATE(2012,12,31)-564</f>
        <v>40710</v>
      </c>
      <c r="B5151" s="13">
        <v>70.32</v>
      </c>
    </row>
    <row r="5152" s="6" customFormat="1" spans="1:2">
      <c r="A5152" s="12">
        <f>DATE(2012,12,31)-1285</f>
        <v>39989</v>
      </c>
      <c r="B5152" s="13">
        <v>1032.072</v>
      </c>
    </row>
    <row r="5153" spans="1:2">
      <c r="A5153" s="14">
        <f>DATE(2012,12,31)-1360</f>
        <v>39914</v>
      </c>
      <c r="B5153" s="15">
        <v>887.45</v>
      </c>
    </row>
    <row r="5154" spans="1:2">
      <c r="A5154" s="14">
        <f>DATE(2012,12,31)-1360</f>
        <v>39914</v>
      </c>
      <c r="B5154" s="15">
        <v>355.97</v>
      </c>
    </row>
    <row r="5155" s="6" customFormat="1" spans="1:2">
      <c r="A5155" s="12">
        <f>DATE(2012,12,31)-1128</f>
        <v>40146</v>
      </c>
      <c r="B5155" s="13">
        <v>181.78</v>
      </c>
    </row>
    <row r="5156" s="6" customFormat="1" spans="1:2">
      <c r="A5156" s="12">
        <f>DATE(2012,12,31)-469</f>
        <v>40805</v>
      </c>
      <c r="B5156" s="13">
        <v>636.5</v>
      </c>
    </row>
    <row r="5157" s="6" customFormat="1" spans="1:2">
      <c r="A5157" s="12">
        <f>DATE(2012,12,31)-469</f>
        <v>40805</v>
      </c>
      <c r="B5157" s="13">
        <v>2614.3705</v>
      </c>
    </row>
    <row r="5158" s="6" customFormat="1" spans="1:2">
      <c r="A5158" s="12">
        <f>DATE(2012,12,31)-130</f>
        <v>41144</v>
      </c>
      <c r="B5158" s="13">
        <v>2245.6915</v>
      </c>
    </row>
    <row r="5159" s="6" customFormat="1" spans="1:2">
      <c r="A5159" s="12">
        <f>DATE(2012,12,31)-1022</f>
        <v>40252</v>
      </c>
      <c r="B5159" s="13">
        <v>1462.1615</v>
      </c>
    </row>
    <row r="5160" s="6" customFormat="1" spans="1:2">
      <c r="A5160" s="12">
        <f>DATE(2012,12,31)-1022</f>
        <v>40252</v>
      </c>
      <c r="B5160" s="13">
        <v>999.89</v>
      </c>
    </row>
    <row r="5161" s="6" customFormat="1" spans="1:2">
      <c r="A5161" s="12">
        <f>DATE(2012,12,31)-1022</f>
        <v>40252</v>
      </c>
      <c r="B5161" s="13">
        <v>35.69</v>
      </c>
    </row>
    <row r="5162" s="6" customFormat="1" spans="1:2">
      <c r="A5162" s="12">
        <f>DATE(2012,12,31)-1180</f>
        <v>40094</v>
      </c>
      <c r="B5162" s="13">
        <v>68.04</v>
      </c>
    </row>
    <row r="5163" s="6" customFormat="1" spans="1:2">
      <c r="A5163" s="12">
        <f>DATE(2012,12,31)-1180</f>
        <v>40094</v>
      </c>
      <c r="B5163" s="13">
        <v>331.17</v>
      </c>
    </row>
    <row r="5164" s="6" customFormat="1" spans="1:2">
      <c r="A5164" s="12">
        <f>DATE(2012,12,31)-743</f>
        <v>40531</v>
      </c>
      <c r="B5164" s="13">
        <v>141.4</v>
      </c>
    </row>
    <row r="5165" s="6" customFormat="1" spans="1:2">
      <c r="A5165" s="12">
        <f>DATE(2012,12,31)-743</f>
        <v>40531</v>
      </c>
      <c r="B5165" s="13">
        <v>303.909</v>
      </c>
    </row>
    <row r="5166" s="6" customFormat="1" spans="1:2">
      <c r="A5166" s="12">
        <f>DATE(2012,12,31)-114</f>
        <v>41160</v>
      </c>
      <c r="B5166" s="13">
        <v>26.13</v>
      </c>
    </row>
    <row r="5167" s="6" customFormat="1" spans="1:2">
      <c r="A5167" s="12">
        <f>DATE(2012,12,31)-961</f>
        <v>40313</v>
      </c>
      <c r="B5167" s="13">
        <v>22.85</v>
      </c>
    </row>
    <row r="5168" s="6" customFormat="1" spans="1:2">
      <c r="A5168" s="12">
        <f>DATE(2012,12,31)-961</f>
        <v>40313</v>
      </c>
      <c r="B5168" s="13">
        <v>12007.05</v>
      </c>
    </row>
    <row r="5169" s="6" customFormat="1" spans="1:2">
      <c r="A5169" s="12">
        <f>DATE(2012,12,31)-961</f>
        <v>40313</v>
      </c>
      <c r="B5169" s="13">
        <v>280.45</v>
      </c>
    </row>
    <row r="5170" s="6" customFormat="1" spans="1:2">
      <c r="A5170" s="12">
        <f>DATE(2012,12,31)-830</f>
        <v>40444</v>
      </c>
      <c r="B5170" s="13">
        <v>2048.78</v>
      </c>
    </row>
    <row r="5171" s="6" customFormat="1" spans="1:2">
      <c r="A5171" s="12">
        <f>DATE(2012,12,31)-843</f>
        <v>40431</v>
      </c>
      <c r="B5171" s="13">
        <v>58.44</v>
      </c>
    </row>
    <row r="5172" s="6" customFormat="1" spans="1:2">
      <c r="A5172" s="12">
        <f>DATE(2012,12,31)-149</f>
        <v>41125</v>
      </c>
      <c r="B5172" s="13">
        <v>121.65</v>
      </c>
    </row>
    <row r="5173" s="6" customFormat="1" spans="1:2">
      <c r="A5173" s="12">
        <f>DATE(2012,12,31)-149</f>
        <v>41125</v>
      </c>
      <c r="B5173" s="13">
        <v>19.02</v>
      </c>
    </row>
    <row r="5174" s="6" customFormat="1" spans="1:2">
      <c r="A5174" s="12">
        <f>DATE(2012,12,31)-149</f>
        <v>41125</v>
      </c>
      <c r="B5174" s="13">
        <v>103.105</v>
      </c>
    </row>
    <row r="5175" s="6" customFormat="1" spans="1:2">
      <c r="A5175" s="12">
        <f>DATE(2012,12,31)-748</f>
        <v>40526</v>
      </c>
      <c r="B5175" s="13">
        <v>263.8</v>
      </c>
    </row>
    <row r="5176" s="6" customFormat="1" spans="1:2">
      <c r="A5176" s="12">
        <f>DATE(2012,12,31)-748</f>
        <v>40526</v>
      </c>
      <c r="B5176" s="13">
        <v>1546.3965</v>
      </c>
    </row>
    <row r="5177" s="6" customFormat="1" spans="1:2">
      <c r="A5177" s="12">
        <f>DATE(2012,12,31)-1386</f>
        <v>39888</v>
      </c>
      <c r="B5177" s="13">
        <v>211.88</v>
      </c>
    </row>
    <row r="5178" s="6" customFormat="1" spans="1:2">
      <c r="A5178" s="12">
        <f>DATE(2012,12,31)-213</f>
        <v>41061</v>
      </c>
      <c r="B5178" s="13">
        <v>532.89</v>
      </c>
    </row>
    <row r="5179" s="6" customFormat="1" spans="1:2">
      <c r="A5179" s="12">
        <f>DATE(2012,12,31)-213</f>
        <v>41061</v>
      </c>
      <c r="B5179" s="13">
        <v>60.69</v>
      </c>
    </row>
    <row r="5180" spans="1:2">
      <c r="A5180" s="14">
        <f>DATE(2012,12,31)-173</f>
        <v>41101</v>
      </c>
      <c r="B5180" s="15">
        <v>184.32</v>
      </c>
    </row>
    <row r="5181" s="6" customFormat="1" spans="1:2">
      <c r="A5181" s="12">
        <f>DATE(2012,12,31)-1103</f>
        <v>40171</v>
      </c>
      <c r="B5181" s="13">
        <v>1935.1</v>
      </c>
    </row>
    <row r="5182" s="6" customFormat="1" spans="1:2">
      <c r="A5182" s="12">
        <f>DATE(2012,12,31)-1168</f>
        <v>40106</v>
      </c>
      <c r="B5182" s="13">
        <v>12073.06</v>
      </c>
    </row>
    <row r="5183" s="6" customFormat="1" spans="1:2">
      <c r="A5183" s="12">
        <f>DATE(2012,12,31)-1168</f>
        <v>40106</v>
      </c>
      <c r="B5183" s="13">
        <v>6685.05</v>
      </c>
    </row>
    <row r="5184" s="6" customFormat="1" spans="1:2">
      <c r="A5184" s="12">
        <f>DATE(2012,12,31)-1168</f>
        <v>40106</v>
      </c>
      <c r="B5184" s="13">
        <v>1175.53</v>
      </c>
    </row>
    <row r="5185" s="6" customFormat="1" spans="1:2">
      <c r="A5185" s="12">
        <f>DATE(2012,12,31)-1039</f>
        <v>40235</v>
      </c>
      <c r="B5185" s="13">
        <v>16116.33</v>
      </c>
    </row>
    <row r="5186" s="6" customFormat="1" spans="1:2">
      <c r="A5186" s="12">
        <f>DATE(2012,12,31)-1363</f>
        <v>39911</v>
      </c>
      <c r="B5186" s="13">
        <v>32.76</v>
      </c>
    </row>
    <row r="5187" s="6" customFormat="1" spans="1:2">
      <c r="A5187" s="12">
        <f>DATE(2012,12,31)-155</f>
        <v>41119</v>
      </c>
      <c r="B5187" s="13">
        <v>55.49</v>
      </c>
    </row>
    <row r="5188" s="6" customFormat="1" spans="1:2">
      <c r="A5188" s="12">
        <f>DATE(2012,12,31)-1013</f>
        <v>40261</v>
      </c>
      <c r="B5188" s="13">
        <v>6245.76</v>
      </c>
    </row>
    <row r="5189" s="6" customFormat="1" spans="1:2">
      <c r="A5189" s="12">
        <f>DATE(2012,12,31)-1213</f>
        <v>40061</v>
      </c>
      <c r="B5189" s="13">
        <v>5482.18</v>
      </c>
    </row>
    <row r="5190" s="6" customFormat="1" spans="1:2">
      <c r="A5190" s="12">
        <f>DATE(2012,12,31)-1213</f>
        <v>40061</v>
      </c>
      <c r="B5190" s="13">
        <v>45.57</v>
      </c>
    </row>
    <row r="5191" spans="1:2">
      <c r="A5191" s="14">
        <f>DATE(2012,12,31)-1154</f>
        <v>40120</v>
      </c>
      <c r="B5191" s="15">
        <v>34.01</v>
      </c>
    </row>
    <row r="5192" s="6" customFormat="1" spans="1:2">
      <c r="A5192" s="12">
        <f>DATE(2012,12,31)-1154</f>
        <v>40120</v>
      </c>
      <c r="B5192" s="13">
        <v>1008.95</v>
      </c>
    </row>
    <row r="5193" spans="1:2">
      <c r="A5193" s="14">
        <f>DATE(2012,12,31)-1154</f>
        <v>40120</v>
      </c>
      <c r="B5193" s="15">
        <v>3508.33</v>
      </c>
    </row>
    <row r="5194" s="6" customFormat="1" spans="1:2">
      <c r="A5194" s="12">
        <f>DATE(2012,12,31)-109</f>
        <v>41165</v>
      </c>
      <c r="B5194" s="13">
        <v>201.09</v>
      </c>
    </row>
    <row r="5195" s="6" customFormat="1" spans="1:2">
      <c r="A5195" s="12">
        <f>DATE(2012,12,31)-220</f>
        <v>41054</v>
      </c>
      <c r="B5195" s="13">
        <v>3638.27</v>
      </c>
    </row>
    <row r="5196" s="6" customFormat="1" spans="1:2">
      <c r="A5196" s="12">
        <f>DATE(2012,12,31)-220</f>
        <v>41054</v>
      </c>
      <c r="B5196" s="13">
        <v>1326.69</v>
      </c>
    </row>
    <row r="5197" s="6" customFormat="1" spans="1:2">
      <c r="A5197" s="12">
        <f>DATE(2012,12,31)-460</f>
        <v>40814</v>
      </c>
      <c r="B5197" s="13">
        <v>2632.4755</v>
      </c>
    </row>
    <row r="5198" s="6" customFormat="1" spans="1:2">
      <c r="A5198" s="12">
        <f>DATE(2012,12,31)-712</f>
        <v>40562</v>
      </c>
      <c r="B5198" s="13">
        <v>180.56</v>
      </c>
    </row>
    <row r="5199" s="6" customFormat="1" spans="1:2">
      <c r="A5199" s="12">
        <f>DATE(2012,12,31)-1273</f>
        <v>40001</v>
      </c>
      <c r="B5199" s="13">
        <v>668.8</v>
      </c>
    </row>
    <row r="5200" s="6" customFormat="1" spans="1:2">
      <c r="A5200" s="12">
        <f>DATE(2012,12,31)-538</f>
        <v>40736</v>
      </c>
      <c r="B5200" s="13">
        <v>115.81</v>
      </c>
    </row>
    <row r="5201" s="6" customFormat="1" spans="1:2">
      <c r="A5201" s="12">
        <f>DATE(2012,12,31)-1105</f>
        <v>40169</v>
      </c>
      <c r="B5201" s="13">
        <v>1120.86</v>
      </c>
    </row>
    <row r="5202" s="6" customFormat="1" spans="1:2">
      <c r="A5202" s="12">
        <f>DATE(2012,12,31)-1105</f>
        <v>40169</v>
      </c>
      <c r="B5202" s="13">
        <v>11.51</v>
      </c>
    </row>
    <row r="5203" s="6" customFormat="1" spans="1:2">
      <c r="A5203" s="12">
        <f>DATE(2012,12,31)-1105</f>
        <v>40169</v>
      </c>
      <c r="B5203" s="13">
        <v>6668.856</v>
      </c>
    </row>
    <row r="5204" spans="1:2">
      <c r="A5204" s="14">
        <f>DATE(2012,12,31)-1120</f>
        <v>40154</v>
      </c>
      <c r="B5204" s="15">
        <v>459.08</v>
      </c>
    </row>
    <row r="5205" s="6" customFormat="1" spans="1:2">
      <c r="A5205" s="12">
        <f>DATE(2012,12,31)-563</f>
        <v>40711</v>
      </c>
      <c r="B5205" s="13">
        <v>5264.48</v>
      </c>
    </row>
    <row r="5206" s="6" customFormat="1" spans="1:2">
      <c r="A5206" s="12">
        <f>DATE(2012,12,31)-757</f>
        <v>40517</v>
      </c>
      <c r="B5206" s="13">
        <v>104.33</v>
      </c>
    </row>
    <row r="5207" s="6" customFormat="1" spans="1:2">
      <c r="A5207" s="12">
        <f>DATE(2012,12,31)-93</f>
        <v>41181</v>
      </c>
      <c r="B5207" s="13">
        <v>481.23</v>
      </c>
    </row>
    <row r="5208" s="6" customFormat="1" spans="1:2">
      <c r="A5208" s="12">
        <f>DATE(2012,12,31)-93</f>
        <v>41181</v>
      </c>
      <c r="B5208" s="13">
        <v>265.39</v>
      </c>
    </row>
    <row r="5209" s="6" customFormat="1" spans="1:2">
      <c r="A5209" s="12">
        <f>DATE(2012,12,31)-93</f>
        <v>41181</v>
      </c>
      <c r="B5209" s="13">
        <v>56.5</v>
      </c>
    </row>
    <row r="5210" s="6" customFormat="1" spans="1:2">
      <c r="A5210" s="12">
        <f>DATE(2012,12,31)-1115</f>
        <v>40159</v>
      </c>
      <c r="B5210" s="13">
        <v>14475.74</v>
      </c>
    </row>
    <row r="5211" s="6" customFormat="1" spans="1:2">
      <c r="A5211" s="12">
        <f>DATE(2012,12,31)-1115</f>
        <v>40159</v>
      </c>
      <c r="B5211" s="13">
        <v>306.6205</v>
      </c>
    </row>
    <row r="5212" s="6" customFormat="1" spans="1:2">
      <c r="A5212" s="12">
        <f>DATE(2012,12,31)-1147</f>
        <v>40127</v>
      </c>
      <c r="B5212" s="13">
        <v>641.89</v>
      </c>
    </row>
    <row r="5213" s="6" customFormat="1" spans="1:2">
      <c r="A5213" s="12">
        <f>DATE(2012,12,31)-22</f>
        <v>41252</v>
      </c>
      <c r="B5213" s="13">
        <v>919</v>
      </c>
    </row>
    <row r="5214" s="6" customFormat="1" spans="1:2">
      <c r="A5214" s="12">
        <f>DATE(2012,12,31)-1392</f>
        <v>39882</v>
      </c>
      <c r="B5214" s="13">
        <v>18888</v>
      </c>
    </row>
    <row r="5215" s="6" customFormat="1" spans="1:2">
      <c r="A5215" s="12">
        <f>DATE(2012,12,31)-657</f>
        <v>40617</v>
      </c>
      <c r="B5215" s="13">
        <v>9499.3</v>
      </c>
    </row>
    <row r="5216" s="6" customFormat="1" spans="1:2">
      <c r="A5216" s="12">
        <f>DATE(2012,12,31)-317</f>
        <v>40957</v>
      </c>
      <c r="B5216" s="13">
        <v>794.58</v>
      </c>
    </row>
    <row r="5217" s="6" customFormat="1" spans="1:2">
      <c r="A5217" s="12">
        <f>DATE(2012,12,31)-276</f>
        <v>40998</v>
      </c>
      <c r="B5217" s="13">
        <v>21205.5</v>
      </c>
    </row>
    <row r="5218" s="6" customFormat="1" spans="1:2">
      <c r="A5218" s="12">
        <f>DATE(2012,12,31)-1082</f>
        <v>40192</v>
      </c>
      <c r="B5218" s="13">
        <v>72.18</v>
      </c>
    </row>
    <row r="5219" s="6" customFormat="1" spans="1:2">
      <c r="A5219" s="12">
        <f>DATE(2012,12,31)-821</f>
        <v>40453</v>
      </c>
      <c r="B5219" s="13">
        <v>178.44</v>
      </c>
    </row>
    <row r="5220" s="6" customFormat="1" spans="1:2">
      <c r="A5220" s="12">
        <f>DATE(2012,12,31)-589</f>
        <v>40685</v>
      </c>
      <c r="B5220" s="13">
        <v>4647.69</v>
      </c>
    </row>
    <row r="5221" s="6" customFormat="1" spans="1:2">
      <c r="A5221" s="12">
        <f>DATE(2012,12,31)-589</f>
        <v>40685</v>
      </c>
      <c r="B5221" s="13">
        <v>2503.3265</v>
      </c>
    </row>
    <row r="5222" spans="1:2">
      <c r="A5222" s="14">
        <f>DATE(2012,12,31)-1045</f>
        <v>40229</v>
      </c>
      <c r="B5222" s="15">
        <v>213</v>
      </c>
    </row>
    <row r="5223" s="6" customFormat="1" spans="1:2">
      <c r="A5223" s="12">
        <f>DATE(2012,12,31)-100</f>
        <v>41174</v>
      </c>
      <c r="B5223" s="13">
        <v>172.04</v>
      </c>
    </row>
    <row r="5224" spans="1:2">
      <c r="A5224" s="14">
        <f>DATE(2012,12,31)-61</f>
        <v>41213</v>
      </c>
      <c r="B5224" s="15">
        <v>23.19</v>
      </c>
    </row>
    <row r="5225" s="6" customFormat="1" spans="1:2">
      <c r="A5225" s="12">
        <f>DATE(2012,12,31)-302</f>
        <v>40972</v>
      </c>
      <c r="B5225" s="13">
        <v>132.02</v>
      </c>
    </row>
    <row r="5226" s="6" customFormat="1" spans="1:2">
      <c r="A5226" s="12">
        <f>DATE(2012,12,31)-762</f>
        <v>40512</v>
      </c>
      <c r="B5226" s="13">
        <v>527.25</v>
      </c>
    </row>
    <row r="5227" s="6" customFormat="1" spans="1:2">
      <c r="A5227" s="12">
        <f>DATE(2012,12,31)-743</f>
        <v>40531</v>
      </c>
      <c r="B5227" s="13">
        <v>1768.13</v>
      </c>
    </row>
    <row r="5228" s="6" customFormat="1" spans="1:2">
      <c r="A5228" s="12">
        <f>DATE(2012,12,31)-743</f>
        <v>40531</v>
      </c>
      <c r="B5228" s="13">
        <v>147.05</v>
      </c>
    </row>
    <row r="5229" s="6" customFormat="1" spans="1:2">
      <c r="A5229" s="12">
        <f>DATE(2012,12,31)-417</f>
        <v>40857</v>
      </c>
      <c r="B5229" s="13">
        <v>2731.73</v>
      </c>
    </row>
    <row r="5230" s="6" customFormat="1" spans="1:2">
      <c r="A5230" s="12">
        <f>DATE(2012,12,31)-417</f>
        <v>40857</v>
      </c>
      <c r="B5230" s="13">
        <v>679.52</v>
      </c>
    </row>
    <row r="5231" s="6" customFormat="1" spans="1:2">
      <c r="A5231" s="12">
        <f>DATE(2012,12,31)-417</f>
        <v>40857</v>
      </c>
      <c r="B5231" s="13">
        <v>5176.27</v>
      </c>
    </row>
    <row r="5232" s="6" customFormat="1" spans="1:2">
      <c r="A5232" s="12">
        <f>DATE(2012,12,31)-1082</f>
        <v>40192</v>
      </c>
      <c r="B5232" s="13">
        <v>473.46</v>
      </c>
    </row>
    <row r="5233" s="6" customFormat="1" spans="1:2">
      <c r="A5233" s="12">
        <f>DATE(2012,12,31)-408</f>
        <v>40866</v>
      </c>
      <c r="B5233" s="13">
        <v>1503.49</v>
      </c>
    </row>
    <row r="5234" s="6" customFormat="1" spans="1:2">
      <c r="A5234" s="12">
        <f>DATE(2012,12,31)-408</f>
        <v>40866</v>
      </c>
      <c r="B5234" s="13">
        <v>10.62</v>
      </c>
    </row>
    <row r="5235" s="6" customFormat="1" spans="1:2">
      <c r="A5235" s="12">
        <f>DATE(2012,12,31)-408</f>
        <v>40866</v>
      </c>
      <c r="B5235" s="13">
        <v>2337.03</v>
      </c>
    </row>
    <row r="5236" s="6" customFormat="1" spans="1:2">
      <c r="A5236" s="12">
        <f>DATE(2012,12,31)-408</f>
        <v>40866</v>
      </c>
      <c r="B5236" s="13">
        <v>29345.27</v>
      </c>
    </row>
    <row r="5237" s="6" customFormat="1" spans="1:2">
      <c r="A5237" s="12">
        <f>DATE(2012,12,31)-121</f>
        <v>41153</v>
      </c>
      <c r="B5237" s="13">
        <v>1184.32</v>
      </c>
    </row>
    <row r="5238" s="6" customFormat="1" spans="1:2">
      <c r="A5238" s="12">
        <f>DATE(2012,12,31)-1200</f>
        <v>40074</v>
      </c>
      <c r="B5238" s="13">
        <v>739.94</v>
      </c>
    </row>
    <row r="5239" s="6" customFormat="1" spans="1:2">
      <c r="A5239" s="12">
        <f>DATE(2012,12,31)-1221</f>
        <v>40053</v>
      </c>
      <c r="B5239" s="13">
        <v>453.2455</v>
      </c>
    </row>
    <row r="5240" s="6" customFormat="1" spans="1:2">
      <c r="A5240" s="12">
        <f>DATE(2012,12,31)-60</f>
        <v>41214</v>
      </c>
      <c r="B5240" s="13">
        <v>122.41</v>
      </c>
    </row>
    <row r="5241" s="6" customFormat="1" spans="1:2">
      <c r="A5241" s="12">
        <f>DATE(2012,12,31)-60</f>
        <v>41214</v>
      </c>
      <c r="B5241" s="13">
        <v>2052.2655</v>
      </c>
    </row>
    <row r="5242" spans="1:2">
      <c r="A5242" s="14">
        <f>DATE(2012,12,31)-60</f>
        <v>41214</v>
      </c>
      <c r="B5242" s="15">
        <v>130.25</v>
      </c>
    </row>
    <row r="5243" s="6" customFormat="1" spans="1:2">
      <c r="A5243" s="12">
        <f>DATE(2012,12,31)-182</f>
        <v>41092</v>
      </c>
      <c r="B5243" s="13">
        <v>3304.38</v>
      </c>
    </row>
    <row r="5244" s="6" customFormat="1" spans="1:2">
      <c r="A5244" s="12">
        <f>DATE(2012,12,31)-182</f>
        <v>41092</v>
      </c>
      <c r="B5244" s="13">
        <v>908.412</v>
      </c>
    </row>
    <row r="5245" s="6" customFormat="1" spans="1:2">
      <c r="A5245" s="12">
        <f>DATE(2012,12,31)-607</f>
        <v>40667</v>
      </c>
      <c r="B5245" s="13">
        <v>210.86</v>
      </c>
    </row>
    <row r="5246" s="6" customFormat="1" spans="1:2">
      <c r="A5246" s="12">
        <f>DATE(2012,12,31)-209</f>
        <v>41065</v>
      </c>
      <c r="B5246" s="13">
        <v>170.81</v>
      </c>
    </row>
    <row r="5247" s="6" customFormat="1" spans="1:2">
      <c r="A5247" s="12">
        <f>DATE(2012,12,31)-209</f>
        <v>41065</v>
      </c>
      <c r="B5247" s="13">
        <v>4726.595</v>
      </c>
    </row>
    <row r="5248" s="6" customFormat="1" spans="1:2">
      <c r="A5248" s="12">
        <f>DATE(2012,12,31)-991</f>
        <v>40283</v>
      </c>
      <c r="B5248" s="13">
        <v>1031.23</v>
      </c>
    </row>
    <row r="5249" s="6" customFormat="1" spans="1:2">
      <c r="A5249" s="12">
        <f>DATE(2012,12,31)-1245</f>
        <v>40029</v>
      </c>
      <c r="B5249" s="13">
        <v>388.9</v>
      </c>
    </row>
    <row r="5250" spans="1:2">
      <c r="A5250" s="14">
        <f>DATE(2012,12,31)-1297</f>
        <v>39977</v>
      </c>
      <c r="B5250" s="15">
        <v>551.67</v>
      </c>
    </row>
    <row r="5251" s="6" customFormat="1" spans="1:2">
      <c r="A5251" s="12">
        <f>DATE(2012,12,31)-1050</f>
        <v>40224</v>
      </c>
      <c r="B5251" s="13">
        <v>631.73</v>
      </c>
    </row>
    <row r="5252" s="6" customFormat="1" spans="1:2">
      <c r="A5252" s="12">
        <f>DATE(2012,12,31)-225</f>
        <v>41049</v>
      </c>
      <c r="B5252" s="13">
        <v>163.14</v>
      </c>
    </row>
    <row r="5253" s="6" customFormat="1" spans="1:2">
      <c r="A5253" s="12">
        <f>DATE(2012,12,31)-640</f>
        <v>40634</v>
      </c>
      <c r="B5253" s="13">
        <v>737.38</v>
      </c>
    </row>
    <row r="5254" s="6" customFormat="1" spans="1:2">
      <c r="A5254" s="12">
        <f>DATE(2012,12,31)-640</f>
        <v>40634</v>
      </c>
      <c r="B5254" s="13">
        <v>507.18</v>
      </c>
    </row>
    <row r="5255" s="6" customFormat="1" spans="1:2">
      <c r="A5255" s="12">
        <f>DATE(2012,12,31)-640</f>
        <v>40634</v>
      </c>
      <c r="B5255" s="13">
        <v>151.19</v>
      </c>
    </row>
    <row r="5256" s="6" customFormat="1" spans="1:2">
      <c r="A5256" s="12">
        <f>DATE(2012,12,31)-811</f>
        <v>40463</v>
      </c>
      <c r="B5256" s="13">
        <v>18775.76</v>
      </c>
    </row>
    <row r="5257" s="6" customFormat="1" spans="1:2">
      <c r="A5257" s="12">
        <f>DATE(2012,12,31)-150</f>
        <v>41124</v>
      </c>
      <c r="B5257" s="13">
        <v>191.67</v>
      </c>
    </row>
    <row r="5258" s="6" customFormat="1" spans="1:2">
      <c r="A5258" s="12">
        <f>DATE(2012,12,31)-479</f>
        <v>40795</v>
      </c>
      <c r="B5258" s="13">
        <v>20596.58</v>
      </c>
    </row>
    <row r="5259" s="6" customFormat="1" spans="1:2">
      <c r="A5259" s="12">
        <f>DATE(2012,12,31)-922</f>
        <v>40352</v>
      </c>
      <c r="B5259" s="13">
        <v>295.45</v>
      </c>
    </row>
    <row r="5260" s="6" customFormat="1" spans="1:2">
      <c r="A5260" s="12">
        <f>DATE(2012,12,31)-922</f>
        <v>40352</v>
      </c>
      <c r="B5260" s="13">
        <v>8407.08</v>
      </c>
    </row>
    <row r="5261" s="6" customFormat="1" spans="1:2">
      <c r="A5261" s="12">
        <f>DATE(2012,12,31)-1406</f>
        <v>39868</v>
      </c>
      <c r="B5261" s="13">
        <v>14740.51</v>
      </c>
    </row>
    <row r="5262" s="6" customFormat="1" spans="1:2">
      <c r="A5262" s="12">
        <f>DATE(2012,12,31)-1406</f>
        <v>39868</v>
      </c>
      <c r="B5262" s="13">
        <v>3.77</v>
      </c>
    </row>
    <row r="5263" s="6" customFormat="1" spans="1:2">
      <c r="A5263" s="12">
        <f>DATE(2012,12,31)-991</f>
        <v>40283</v>
      </c>
      <c r="B5263" s="13">
        <v>2869.44</v>
      </c>
    </row>
    <row r="5264" s="6" customFormat="1" spans="1:2">
      <c r="A5264" s="12">
        <f>DATE(2012,12,31)-991</f>
        <v>40283</v>
      </c>
      <c r="B5264" s="13">
        <v>2172.702</v>
      </c>
    </row>
    <row r="5265" s="6" customFormat="1" spans="1:2">
      <c r="A5265" s="12">
        <f>DATE(2012,12,31)-317</f>
        <v>40957</v>
      </c>
      <c r="B5265" s="13">
        <v>2180.23</v>
      </c>
    </row>
    <row r="5266" s="6" customFormat="1" spans="1:2">
      <c r="A5266" s="12">
        <f>DATE(2012,12,31)-1272</f>
        <v>40002</v>
      </c>
      <c r="B5266" s="13">
        <v>139.45</v>
      </c>
    </row>
    <row r="5267" s="6" customFormat="1" spans="1:2">
      <c r="A5267" s="12">
        <f>DATE(2012,12,31)-1187</f>
        <v>40087</v>
      </c>
      <c r="B5267" s="13">
        <v>88.23</v>
      </c>
    </row>
    <row r="5268" s="6" customFormat="1" spans="1:2">
      <c r="A5268" s="12">
        <f>DATE(2012,12,31)-1187</f>
        <v>40087</v>
      </c>
      <c r="B5268" s="13">
        <v>43.72</v>
      </c>
    </row>
    <row r="5269" s="6" customFormat="1" spans="1:2">
      <c r="A5269" s="12">
        <f>DATE(2012,12,31)-577</f>
        <v>40697</v>
      </c>
      <c r="B5269" s="13">
        <v>29.19</v>
      </c>
    </row>
    <row r="5270" s="6" customFormat="1" spans="1:2">
      <c r="A5270" s="12">
        <f>DATE(2012,12,31)-577</f>
        <v>40697</v>
      </c>
      <c r="B5270" s="13">
        <v>2007.24</v>
      </c>
    </row>
    <row r="5271" s="6" customFormat="1" spans="1:2">
      <c r="A5271" s="12">
        <f>DATE(2012,12,31)-577</f>
        <v>40697</v>
      </c>
      <c r="B5271" s="13">
        <v>384.41</v>
      </c>
    </row>
    <row r="5272" spans="1:2">
      <c r="A5272" s="14">
        <f>DATE(2012,12,31)-1394</f>
        <v>39880</v>
      </c>
      <c r="B5272" s="15">
        <v>2466.02</v>
      </c>
    </row>
    <row r="5273" s="6" customFormat="1" spans="1:2">
      <c r="A5273" s="12">
        <f>DATE(2012,12,31)-1459</f>
        <v>39815</v>
      </c>
      <c r="B5273" s="13">
        <v>1239.06</v>
      </c>
    </row>
    <row r="5274" s="6" customFormat="1" spans="1:2">
      <c r="A5274" s="12">
        <f>DATE(2012,12,31)-1459</f>
        <v>39815</v>
      </c>
      <c r="B5274" s="13">
        <v>4083.19</v>
      </c>
    </row>
    <row r="5275" s="6" customFormat="1" spans="1:2">
      <c r="A5275" s="12">
        <f>DATE(2012,12,31)-1459</f>
        <v>39815</v>
      </c>
      <c r="B5275" s="13">
        <v>4902.38</v>
      </c>
    </row>
    <row r="5276" s="6" customFormat="1" spans="1:2">
      <c r="A5276" s="12">
        <f>DATE(2012,12,31)-1039</f>
        <v>40235</v>
      </c>
      <c r="B5276" s="13">
        <v>71.94</v>
      </c>
    </row>
    <row r="5277" s="6" customFormat="1" spans="1:2">
      <c r="A5277" s="12">
        <f>DATE(2012,12,31)-1039</f>
        <v>40235</v>
      </c>
      <c r="B5277" s="13">
        <v>550.61</v>
      </c>
    </row>
    <row r="5278" s="6" customFormat="1" spans="1:2">
      <c r="A5278" s="12">
        <f>DATE(2012,12,31)-1039</f>
        <v>40235</v>
      </c>
      <c r="B5278" s="13">
        <v>1373.11</v>
      </c>
    </row>
    <row r="5279" s="6" customFormat="1" spans="1:2">
      <c r="A5279" s="12">
        <f>DATE(2012,12,31)-1260</f>
        <v>40014</v>
      </c>
      <c r="B5279" s="13">
        <v>2546.5235</v>
      </c>
    </row>
    <row r="5280" s="6" customFormat="1" spans="1:2">
      <c r="A5280" s="12">
        <f>DATE(2012,12,31)-366</f>
        <v>40908</v>
      </c>
      <c r="B5280" s="13">
        <v>241.85</v>
      </c>
    </row>
    <row r="5281" spans="1:2">
      <c r="A5281" s="14">
        <f>DATE(2012,12,31)-881</f>
        <v>40393</v>
      </c>
      <c r="B5281" s="15">
        <v>123.95</v>
      </c>
    </row>
    <row r="5282" s="6" customFormat="1" spans="1:2">
      <c r="A5282" s="12">
        <f>DATE(2012,12,31)-768</f>
        <v>40506</v>
      </c>
      <c r="B5282" s="13">
        <v>2440.26</v>
      </c>
    </row>
    <row r="5283" s="6" customFormat="1" spans="1:2">
      <c r="A5283" s="12">
        <f>DATE(2012,12,31)-768</f>
        <v>40506</v>
      </c>
      <c r="B5283" s="13">
        <v>1008.19</v>
      </c>
    </row>
    <row r="5284" s="6" customFormat="1" spans="1:2">
      <c r="A5284" s="12">
        <f>DATE(2012,12,31)-1043</f>
        <v>40231</v>
      </c>
      <c r="B5284" s="13">
        <v>19.96</v>
      </c>
    </row>
    <row r="5285" s="6" customFormat="1" spans="1:2">
      <c r="A5285" s="12">
        <f>DATE(2012,12,31)-1043</f>
        <v>40231</v>
      </c>
      <c r="B5285" s="13">
        <v>148.99</v>
      </c>
    </row>
    <row r="5286" s="6" customFormat="1" spans="1:2">
      <c r="A5286" s="12">
        <f>DATE(2012,12,31)-1043</f>
        <v>40231</v>
      </c>
      <c r="B5286" s="13">
        <v>70.66</v>
      </c>
    </row>
    <row r="5287" s="6" customFormat="1" spans="1:2">
      <c r="A5287" s="12">
        <f>DATE(2012,12,31)-224</f>
        <v>41050</v>
      </c>
      <c r="B5287" s="13">
        <v>368.18</v>
      </c>
    </row>
    <row r="5288" s="6" customFormat="1" spans="1:2">
      <c r="A5288" s="12">
        <f>DATE(2012,12,31)-1440</f>
        <v>39834</v>
      </c>
      <c r="B5288" s="13">
        <v>139.98</v>
      </c>
    </row>
    <row r="5289" s="6" customFormat="1" spans="1:2">
      <c r="A5289" s="12">
        <f>DATE(2012,12,31)-395</f>
        <v>40879</v>
      </c>
      <c r="B5289" s="13">
        <v>472.35</v>
      </c>
    </row>
    <row r="5290" s="6" customFormat="1" spans="1:2">
      <c r="A5290" s="12">
        <f>DATE(2012,12,31)-1088</f>
        <v>40186</v>
      </c>
      <c r="B5290" s="13">
        <v>478.27</v>
      </c>
    </row>
    <row r="5291" spans="1:2">
      <c r="A5291" s="14">
        <f>DATE(2012,12,31)-794</f>
        <v>40480</v>
      </c>
      <c r="B5291" s="15">
        <v>9081.98</v>
      </c>
    </row>
    <row r="5292" spans="1:2">
      <c r="A5292" s="14">
        <f>DATE(2012,12,31)-794</f>
        <v>40480</v>
      </c>
      <c r="B5292" s="15">
        <v>806.08</v>
      </c>
    </row>
    <row r="5293" spans="1:2">
      <c r="A5293" s="14">
        <f>DATE(2012,12,31)-794</f>
        <v>40480</v>
      </c>
      <c r="B5293" s="15">
        <v>70.02</v>
      </c>
    </row>
    <row r="5294" s="6" customFormat="1" spans="1:2">
      <c r="A5294" s="12">
        <f>DATE(2012,12,31)-1271</f>
        <v>40003</v>
      </c>
      <c r="B5294" s="13">
        <v>24.09</v>
      </c>
    </row>
    <row r="5295" s="6" customFormat="1" spans="1:2">
      <c r="A5295" s="12">
        <f>DATE(2012,12,31)-1271</f>
        <v>40003</v>
      </c>
      <c r="B5295" s="13">
        <v>173.27</v>
      </c>
    </row>
    <row r="5296" s="6" customFormat="1" spans="1:2">
      <c r="A5296" s="12">
        <f>DATE(2012,12,31)-1119</f>
        <v>40155</v>
      </c>
      <c r="B5296" s="13">
        <v>3390.51</v>
      </c>
    </row>
    <row r="5297" s="6" customFormat="1" spans="1:2">
      <c r="A5297" s="12">
        <f>DATE(2012,12,31)-570</f>
        <v>40704</v>
      </c>
      <c r="B5297" s="13">
        <v>601.78</v>
      </c>
    </row>
    <row r="5298" s="6" customFormat="1" spans="1:2">
      <c r="A5298" s="12">
        <f>DATE(2012,12,31)-1446</f>
        <v>39828</v>
      </c>
      <c r="B5298" s="13">
        <v>447.89</v>
      </c>
    </row>
    <row r="5299" s="6" customFormat="1" spans="1:2">
      <c r="A5299" s="12">
        <f>DATE(2012,12,31)-1153</f>
        <v>40121</v>
      </c>
      <c r="B5299" s="13">
        <v>752.63</v>
      </c>
    </row>
    <row r="5300" spans="1:2">
      <c r="A5300" s="14">
        <f>DATE(2012,12,31)-1153</f>
        <v>40121</v>
      </c>
      <c r="B5300" s="15">
        <v>88.37</v>
      </c>
    </row>
    <row r="5301" s="6" customFormat="1" spans="1:2">
      <c r="A5301" s="12">
        <f>DATE(2012,12,31)-1101</f>
        <v>40173</v>
      </c>
      <c r="B5301" s="13">
        <v>1393.39</v>
      </c>
    </row>
    <row r="5302" s="6" customFormat="1" spans="1:2">
      <c r="A5302" s="12">
        <f>DATE(2012,12,31)-1101</f>
        <v>40173</v>
      </c>
      <c r="B5302" s="13">
        <v>601.52</v>
      </c>
    </row>
    <row r="5303" s="6" customFormat="1" spans="1:2">
      <c r="A5303" s="12">
        <f>DATE(2012,12,31)-1235</f>
        <v>40039</v>
      </c>
      <c r="B5303" s="13">
        <v>157.85</v>
      </c>
    </row>
    <row r="5304" s="6" customFormat="1" spans="1:2">
      <c r="A5304" s="12">
        <f>DATE(2012,12,31)-1235</f>
        <v>40039</v>
      </c>
      <c r="B5304" s="13">
        <v>2773.0315</v>
      </c>
    </row>
    <row r="5305" spans="1:2">
      <c r="A5305" s="14">
        <f>DATE(2012,12,31)-208</f>
        <v>41066</v>
      </c>
      <c r="B5305" s="15">
        <v>135.02</v>
      </c>
    </row>
    <row r="5306" s="6" customFormat="1" spans="1:2">
      <c r="A5306" s="12">
        <f>DATE(2012,12,31)-327</f>
        <v>40947</v>
      </c>
      <c r="B5306" s="13">
        <v>169.61</v>
      </c>
    </row>
    <row r="5307" s="6" customFormat="1" spans="1:2">
      <c r="A5307" s="12">
        <f>DATE(2012,12,31)-327</f>
        <v>40947</v>
      </c>
      <c r="B5307" s="13">
        <v>1247.9275</v>
      </c>
    </row>
    <row r="5308" s="6" customFormat="1" spans="1:2">
      <c r="A5308" s="12">
        <f>DATE(2012,12,31)-37</f>
        <v>41237</v>
      </c>
      <c r="B5308" s="13">
        <v>42.66</v>
      </c>
    </row>
    <row r="5309" s="6" customFormat="1" spans="1:2">
      <c r="A5309" s="12">
        <f>DATE(2012,12,31)-37</f>
        <v>41237</v>
      </c>
      <c r="B5309" s="13">
        <v>655.58</v>
      </c>
    </row>
    <row r="5310" s="6" customFormat="1" spans="1:2">
      <c r="A5310" s="12">
        <f>DATE(2012,12,31)-37</f>
        <v>41237</v>
      </c>
      <c r="B5310" s="13">
        <v>1465.33</v>
      </c>
    </row>
    <row r="5311" spans="1:2">
      <c r="A5311" s="14">
        <f>DATE(2012,12,31)-368</f>
        <v>40906</v>
      </c>
      <c r="B5311" s="15">
        <v>36.74</v>
      </c>
    </row>
    <row r="5312" s="6" customFormat="1" spans="1:2">
      <c r="A5312" s="12">
        <f>DATE(2012,12,31)-368</f>
        <v>40906</v>
      </c>
      <c r="B5312" s="13">
        <v>183.08</v>
      </c>
    </row>
    <row r="5313" s="6" customFormat="1" spans="1:2">
      <c r="A5313" s="12">
        <f>DATE(2012,12,31)-1149</f>
        <v>40125</v>
      </c>
      <c r="B5313" s="13">
        <v>224.47</v>
      </c>
    </row>
    <row r="5314" s="6" customFormat="1" spans="1:2">
      <c r="A5314" s="12">
        <f>DATE(2012,12,31)-1378</f>
        <v>39896</v>
      </c>
      <c r="B5314" s="13">
        <v>60.67</v>
      </c>
    </row>
    <row r="5315" s="6" customFormat="1" spans="1:2">
      <c r="A5315" s="12">
        <f>DATE(2012,12,31)-1378</f>
        <v>39896</v>
      </c>
      <c r="B5315" s="13">
        <v>6195.87</v>
      </c>
    </row>
    <row r="5316" s="6" customFormat="1" spans="1:2">
      <c r="A5316" s="12">
        <f>DATE(2012,12,31)-57</f>
        <v>41217</v>
      </c>
      <c r="B5316" s="13">
        <v>6276.83</v>
      </c>
    </row>
    <row r="5317" s="6" customFormat="1" spans="1:2">
      <c r="A5317" s="12">
        <f>DATE(2012,12,31)-1258</f>
        <v>40016</v>
      </c>
      <c r="B5317" s="13">
        <v>505.01</v>
      </c>
    </row>
    <row r="5318" s="6" customFormat="1" spans="1:2">
      <c r="A5318" s="12">
        <f>DATE(2012,12,31)-1258</f>
        <v>40016</v>
      </c>
      <c r="B5318" s="13">
        <v>286.75</v>
      </c>
    </row>
    <row r="5319" s="6" customFormat="1" spans="1:2">
      <c r="A5319" s="12">
        <f>DATE(2012,12,31)-618</f>
        <v>40656</v>
      </c>
      <c r="B5319" s="13">
        <v>325.8</v>
      </c>
    </row>
    <row r="5320" s="6" customFormat="1" spans="1:2">
      <c r="A5320" s="12">
        <f>DATE(2012,12,31)-621</f>
        <v>40653</v>
      </c>
      <c r="B5320" s="13">
        <v>490.17</v>
      </c>
    </row>
    <row r="5321" s="6" customFormat="1" spans="1:2">
      <c r="A5321" s="12">
        <f>DATE(2012,12,31)-621</f>
        <v>40653</v>
      </c>
      <c r="B5321" s="13">
        <v>206.2</v>
      </c>
    </row>
    <row r="5322" s="6" customFormat="1" spans="1:2">
      <c r="A5322" s="12">
        <f>DATE(2012,12,31)-824</f>
        <v>40450</v>
      </c>
      <c r="B5322" s="13">
        <v>257.9</v>
      </c>
    </row>
    <row r="5323" s="6" customFormat="1" spans="1:2">
      <c r="A5323" s="12">
        <f>DATE(2012,12,31)-1233</f>
        <v>40041</v>
      </c>
      <c r="B5323" s="13">
        <v>977.92</v>
      </c>
    </row>
    <row r="5324" s="6" customFormat="1" spans="1:2">
      <c r="A5324" s="12">
        <f>DATE(2012,12,31)-158</f>
        <v>41116</v>
      </c>
      <c r="B5324" s="13">
        <v>453.87</v>
      </c>
    </row>
    <row r="5325" s="6" customFormat="1" spans="1:2">
      <c r="A5325" s="12">
        <f>DATE(2012,12,31)-1372</f>
        <v>39902</v>
      </c>
      <c r="B5325" s="13">
        <v>29.03</v>
      </c>
    </row>
    <row r="5326" s="6" customFormat="1" spans="1:2">
      <c r="A5326" s="12">
        <f>DATE(2012,12,31)-857</f>
        <v>40417</v>
      </c>
      <c r="B5326" s="13">
        <v>104.85</v>
      </c>
    </row>
    <row r="5327" s="6" customFormat="1" spans="1:2">
      <c r="A5327" s="12">
        <f>DATE(2012,12,31)-369</f>
        <v>40905</v>
      </c>
      <c r="B5327" s="13">
        <v>980.07</v>
      </c>
    </row>
    <row r="5328" s="6" customFormat="1" spans="1:2">
      <c r="A5328" s="12">
        <f>DATE(2012,12,31)-1449</f>
        <v>39825</v>
      </c>
      <c r="B5328" s="13">
        <v>1603.27</v>
      </c>
    </row>
    <row r="5329" s="6" customFormat="1" spans="1:2">
      <c r="A5329" s="12">
        <f>DATE(2012,12,31)-676</f>
        <v>40598</v>
      </c>
      <c r="B5329" s="13">
        <v>305.05</v>
      </c>
    </row>
    <row r="5330" spans="1:2">
      <c r="A5330" s="14">
        <f>DATE(2012,12,31)-1105</f>
        <v>40169</v>
      </c>
      <c r="B5330" s="15">
        <v>639.19</v>
      </c>
    </row>
    <row r="5331" spans="1:2">
      <c r="A5331" s="14">
        <f>DATE(2012,12,31)-438</f>
        <v>40836</v>
      </c>
      <c r="B5331" s="15">
        <v>163.36</v>
      </c>
    </row>
    <row r="5332" spans="1:2">
      <c r="A5332" s="14">
        <f>DATE(2012,12,31)-438</f>
        <v>40836</v>
      </c>
      <c r="B5332" s="15">
        <v>44.08</v>
      </c>
    </row>
    <row r="5333" s="6" customFormat="1" spans="1:2">
      <c r="A5333" s="12">
        <f>DATE(2012,12,31)-438</f>
        <v>40836</v>
      </c>
      <c r="B5333" s="13">
        <v>1135.64</v>
      </c>
    </row>
    <row r="5334" s="6" customFormat="1" spans="1:2">
      <c r="A5334" s="12">
        <f>DATE(2012,12,31)-438</f>
        <v>40836</v>
      </c>
      <c r="B5334" s="13">
        <v>5154.009</v>
      </c>
    </row>
    <row r="5335" s="6" customFormat="1" spans="1:2">
      <c r="A5335" s="12">
        <f>DATE(2012,12,31)-403</f>
        <v>40871</v>
      </c>
      <c r="B5335" s="13">
        <v>436.78</v>
      </c>
    </row>
    <row r="5336" s="6" customFormat="1" spans="1:2">
      <c r="A5336" s="12">
        <f>DATE(2012,12,31)-276</f>
        <v>40998</v>
      </c>
      <c r="B5336" s="13">
        <v>304.65</v>
      </c>
    </row>
    <row r="5337" s="6" customFormat="1" spans="1:2">
      <c r="A5337" s="12">
        <f>DATE(2012,12,31)-901</f>
        <v>40373</v>
      </c>
      <c r="B5337" s="13">
        <v>414.42</v>
      </c>
    </row>
    <row r="5338" s="6" customFormat="1" spans="1:2">
      <c r="A5338" s="12">
        <f>DATE(2012,12,31)-1010</f>
        <v>40264</v>
      </c>
      <c r="B5338" s="13">
        <v>198.43</v>
      </c>
    </row>
    <row r="5339" s="6" customFormat="1" spans="1:2">
      <c r="A5339" s="12">
        <f>DATE(2012,12,31)-1128</f>
        <v>40146</v>
      </c>
      <c r="B5339" s="13">
        <v>8094.55</v>
      </c>
    </row>
    <row r="5340" spans="1:2">
      <c r="A5340" s="14">
        <f>DATE(2012,12,31)-1128</f>
        <v>40146</v>
      </c>
      <c r="B5340" s="15">
        <v>352.44</v>
      </c>
    </row>
    <row r="5341" s="6" customFormat="1" spans="1:2">
      <c r="A5341" s="12">
        <f>DATE(2012,12,31)-827</f>
        <v>40447</v>
      </c>
      <c r="B5341" s="13">
        <v>3780.16</v>
      </c>
    </row>
    <row r="5342" s="6" customFormat="1" spans="1:2">
      <c r="A5342" s="12">
        <f>DATE(2012,12,31)-827</f>
        <v>40447</v>
      </c>
      <c r="B5342" s="13">
        <v>1784.048</v>
      </c>
    </row>
    <row r="5343" s="6" customFormat="1" spans="1:2">
      <c r="A5343" s="12">
        <f>DATE(2012,12,31)-1210</f>
        <v>40064</v>
      </c>
      <c r="B5343" s="13">
        <v>353.25</v>
      </c>
    </row>
    <row r="5344" s="6" customFormat="1" spans="1:2">
      <c r="A5344" s="12">
        <f>DATE(2012,12,31)-787</f>
        <v>40487</v>
      </c>
      <c r="B5344" s="13">
        <v>229.26</v>
      </c>
    </row>
    <row r="5345" s="6" customFormat="1" spans="1:2">
      <c r="A5345" s="12">
        <f>DATE(2012,12,31)-1277</f>
        <v>39997</v>
      </c>
      <c r="B5345" s="13">
        <v>299.07</v>
      </c>
    </row>
    <row r="5346" s="6" customFormat="1" spans="1:2">
      <c r="A5346" s="12">
        <f>DATE(2012,12,31)-1277</f>
        <v>39997</v>
      </c>
      <c r="B5346" s="13">
        <v>708.87</v>
      </c>
    </row>
    <row r="5347" s="6" customFormat="1" spans="1:2">
      <c r="A5347" s="12">
        <f>DATE(2012,12,31)-636</f>
        <v>40638</v>
      </c>
      <c r="B5347" s="13">
        <v>189.19</v>
      </c>
    </row>
    <row r="5348" s="6" customFormat="1" spans="1:2">
      <c r="A5348" s="12">
        <f>DATE(2012,12,31)-895</f>
        <v>40379</v>
      </c>
      <c r="B5348" s="13">
        <v>122.51</v>
      </c>
    </row>
    <row r="5349" s="6" customFormat="1" spans="1:2">
      <c r="A5349" s="12">
        <f>DATE(2012,12,31)-895</f>
        <v>40379</v>
      </c>
      <c r="B5349" s="13">
        <v>2846.361</v>
      </c>
    </row>
    <row r="5350" spans="1:2">
      <c r="A5350" s="14">
        <f>DATE(2012,12,31)-1440</f>
        <v>39834</v>
      </c>
      <c r="B5350" s="15">
        <v>4407.03</v>
      </c>
    </row>
    <row r="5351" spans="1:2">
      <c r="A5351" s="14">
        <f>DATE(2012,12,31)-1440</f>
        <v>39834</v>
      </c>
      <c r="B5351" s="15">
        <v>173.22</v>
      </c>
    </row>
    <row r="5352" s="6" customFormat="1" spans="1:2">
      <c r="A5352" s="12">
        <f>DATE(2012,12,31)-1440</f>
        <v>39834</v>
      </c>
      <c r="B5352" s="13">
        <v>1482.01</v>
      </c>
    </row>
    <row r="5353" s="6" customFormat="1" spans="1:2">
      <c r="A5353" s="12">
        <f>DATE(2012,12,31)-1072</f>
        <v>40202</v>
      </c>
      <c r="B5353" s="13">
        <v>2252.262</v>
      </c>
    </row>
    <row r="5354" s="6" customFormat="1" spans="1:2">
      <c r="A5354" s="12">
        <f>DATE(2012,12,31)-1072</f>
        <v>40202</v>
      </c>
      <c r="B5354" s="13">
        <v>279.01</v>
      </c>
    </row>
    <row r="5355" s="6" customFormat="1" spans="1:2">
      <c r="A5355" s="12">
        <f>DATE(2012,12,31)-797</f>
        <v>40477</v>
      </c>
      <c r="B5355" s="13">
        <v>187.18</v>
      </c>
    </row>
    <row r="5356" s="6" customFormat="1" spans="1:2">
      <c r="A5356" s="12">
        <f>DATE(2012,12,31)-797</f>
        <v>40477</v>
      </c>
      <c r="B5356" s="13">
        <v>104.21</v>
      </c>
    </row>
    <row r="5357" s="6" customFormat="1" spans="1:2">
      <c r="A5357" s="12">
        <f>DATE(2012,12,31)-797</f>
        <v>40477</v>
      </c>
      <c r="B5357" s="13">
        <v>1331.224</v>
      </c>
    </row>
    <row r="5358" s="6" customFormat="1" spans="1:2">
      <c r="A5358" s="12">
        <f>DATE(2012,12,31)-320</f>
        <v>40954</v>
      </c>
      <c r="B5358" s="13">
        <v>542.6</v>
      </c>
    </row>
    <row r="5359" s="6" customFormat="1" spans="1:2">
      <c r="A5359" s="12">
        <f>DATE(2012,12,31)-1204</f>
        <v>40070</v>
      </c>
      <c r="B5359" s="13">
        <v>125.01</v>
      </c>
    </row>
    <row r="5360" s="6" customFormat="1" spans="1:2">
      <c r="A5360" s="12">
        <f>DATE(2012,12,31)-1382</f>
        <v>39892</v>
      </c>
      <c r="B5360" s="13">
        <v>100.36</v>
      </c>
    </row>
    <row r="5361" s="6" customFormat="1" spans="1:2">
      <c r="A5361" s="12">
        <f>DATE(2012,12,31)-1382</f>
        <v>39892</v>
      </c>
      <c r="B5361" s="13">
        <v>404.91</v>
      </c>
    </row>
    <row r="5362" s="6" customFormat="1" spans="1:2">
      <c r="A5362" s="12">
        <f>DATE(2012,12,31)-1409</f>
        <v>39865</v>
      </c>
      <c r="B5362" s="13">
        <v>901.81</v>
      </c>
    </row>
    <row r="5363" spans="1:2">
      <c r="A5363" s="14">
        <f>DATE(2012,12,31)-986</f>
        <v>40288</v>
      </c>
      <c r="B5363" s="15">
        <v>481.27</v>
      </c>
    </row>
    <row r="5364" s="6" customFormat="1" spans="1:2">
      <c r="A5364" s="12">
        <f>DATE(2012,12,31)-623</f>
        <v>40651</v>
      </c>
      <c r="B5364" s="13">
        <v>138.91</v>
      </c>
    </row>
    <row r="5365" s="6" customFormat="1" spans="1:2">
      <c r="A5365" s="12">
        <f>DATE(2012,12,31)-1206</f>
        <v>40068</v>
      </c>
      <c r="B5365" s="13">
        <v>60.92</v>
      </c>
    </row>
    <row r="5366" s="6" customFormat="1" spans="1:2">
      <c r="A5366" s="12">
        <f>DATE(2012,12,31)-1206</f>
        <v>40068</v>
      </c>
      <c r="B5366" s="13">
        <v>387.17</v>
      </c>
    </row>
    <row r="5367" s="6" customFormat="1" spans="1:2">
      <c r="A5367" s="12">
        <f>DATE(2012,12,31)-390</f>
        <v>40884</v>
      </c>
      <c r="B5367" s="13">
        <v>782.05</v>
      </c>
    </row>
    <row r="5368" s="6" customFormat="1" spans="1:2">
      <c r="A5368" s="12">
        <f>DATE(2012,12,31)-390</f>
        <v>40884</v>
      </c>
      <c r="B5368" s="13">
        <v>341.39</v>
      </c>
    </row>
    <row r="5369" spans="1:2">
      <c r="A5369" s="14">
        <f>DATE(2012,12,31)-869</f>
        <v>40405</v>
      </c>
      <c r="B5369" s="15">
        <v>231.08</v>
      </c>
    </row>
    <row r="5370" spans="1:2">
      <c r="A5370" s="14">
        <f>DATE(2012,12,31)-869</f>
        <v>40405</v>
      </c>
      <c r="B5370" s="15">
        <v>428.36</v>
      </c>
    </row>
    <row r="5371" s="6" customFormat="1" spans="1:2">
      <c r="A5371" s="12">
        <f>DATE(2012,12,31)-124</f>
        <v>41150</v>
      </c>
      <c r="B5371" s="13">
        <v>153.98</v>
      </c>
    </row>
    <row r="5372" s="6" customFormat="1" spans="1:2">
      <c r="A5372" s="12">
        <f>DATE(2012,12,31)-223</f>
        <v>41051</v>
      </c>
      <c r="B5372" s="13">
        <v>2848.83</v>
      </c>
    </row>
    <row r="5373" spans="1:2">
      <c r="A5373" s="14">
        <f>DATE(2012,12,31)-750</f>
        <v>40524</v>
      </c>
      <c r="B5373" s="15">
        <v>52.76</v>
      </c>
    </row>
    <row r="5374" s="6" customFormat="1" spans="1:2">
      <c r="A5374" s="12">
        <f>DATE(2012,12,31)-637</f>
        <v>40637</v>
      </c>
      <c r="B5374" s="13">
        <v>123.75</v>
      </c>
    </row>
    <row r="5375" s="6" customFormat="1" spans="1:2">
      <c r="A5375" s="12">
        <f>DATE(2012,12,31)-637</f>
        <v>40637</v>
      </c>
      <c r="B5375" s="13">
        <v>3533.97</v>
      </c>
    </row>
    <row r="5376" s="6" customFormat="1" spans="1:2">
      <c r="A5376" s="12">
        <f>DATE(2012,12,31)-637</f>
        <v>40637</v>
      </c>
      <c r="B5376" s="13">
        <v>3821.4045</v>
      </c>
    </row>
    <row r="5377" s="6" customFormat="1" spans="1:2">
      <c r="A5377" s="12">
        <f>DATE(2012,12,31)-1094</f>
        <v>40180</v>
      </c>
      <c r="B5377" s="13">
        <v>756.7295</v>
      </c>
    </row>
    <row r="5378" s="6" customFormat="1" spans="1:2">
      <c r="A5378" s="12">
        <f>DATE(2012,12,31)-1094</f>
        <v>40180</v>
      </c>
      <c r="B5378" s="13">
        <v>3676.96</v>
      </c>
    </row>
    <row r="5379" s="6" customFormat="1" spans="1:2">
      <c r="A5379" s="12">
        <f>DATE(2012,12,31)-1108</f>
        <v>40166</v>
      </c>
      <c r="B5379" s="13">
        <v>1651.07</v>
      </c>
    </row>
    <row r="5380" s="6" customFormat="1" spans="1:2">
      <c r="A5380" s="12">
        <f>DATE(2012,12,31)-1108</f>
        <v>40166</v>
      </c>
      <c r="B5380" s="13">
        <v>41.53</v>
      </c>
    </row>
    <row r="5381" s="6" customFormat="1" spans="1:2">
      <c r="A5381" s="12">
        <f>DATE(2012,12,31)-412</f>
        <v>40862</v>
      </c>
      <c r="B5381" s="13">
        <v>71.04</v>
      </c>
    </row>
    <row r="5382" s="6" customFormat="1" spans="1:2">
      <c r="A5382" s="12">
        <f>DATE(2012,12,31)-570</f>
        <v>40704</v>
      </c>
      <c r="B5382" s="13">
        <v>1225.37</v>
      </c>
    </row>
    <row r="5383" spans="1:2">
      <c r="A5383" s="14">
        <f>DATE(2012,12,31)-570</f>
        <v>40704</v>
      </c>
      <c r="B5383" s="15">
        <v>1199.57</v>
      </c>
    </row>
    <row r="5384" s="6" customFormat="1" spans="1:2">
      <c r="A5384" s="12">
        <f>DATE(2012,12,31)-570</f>
        <v>40704</v>
      </c>
      <c r="B5384" s="13">
        <v>484.2195</v>
      </c>
    </row>
    <row r="5385" s="6" customFormat="1" spans="1:2">
      <c r="A5385" s="12">
        <f>DATE(2012,12,31)-246</f>
        <v>41028</v>
      </c>
      <c r="B5385" s="13">
        <v>11.64</v>
      </c>
    </row>
    <row r="5386" s="6" customFormat="1" spans="1:2">
      <c r="A5386" s="12">
        <f>DATE(2012,12,31)-650</f>
        <v>40624</v>
      </c>
      <c r="B5386" s="13">
        <v>30.1</v>
      </c>
    </row>
    <row r="5387" s="6" customFormat="1" spans="1:2">
      <c r="A5387" s="12">
        <f>DATE(2012,12,31)-611</f>
        <v>40663</v>
      </c>
      <c r="B5387" s="13">
        <v>2561.6705</v>
      </c>
    </row>
    <row r="5388" spans="1:2">
      <c r="A5388" s="14">
        <f>DATE(2012,12,31)-261</f>
        <v>41013</v>
      </c>
      <c r="B5388" s="15">
        <v>62.45</v>
      </c>
    </row>
    <row r="5389" s="6" customFormat="1" spans="1:2">
      <c r="A5389" s="12">
        <f>DATE(2012,12,31)-618</f>
        <v>40656</v>
      </c>
      <c r="B5389" s="13">
        <v>1201.51</v>
      </c>
    </row>
    <row r="5390" s="6" customFormat="1" spans="1:2">
      <c r="A5390" s="12">
        <f>DATE(2012,12,31)-87</f>
        <v>41187</v>
      </c>
      <c r="B5390" s="13">
        <v>91.75</v>
      </c>
    </row>
    <row r="5391" s="6" customFormat="1" spans="1:2">
      <c r="A5391" s="12">
        <f>DATE(2012,12,31)-87</f>
        <v>41187</v>
      </c>
      <c r="B5391" s="13">
        <v>346.57</v>
      </c>
    </row>
    <row r="5392" s="6" customFormat="1" spans="1:2">
      <c r="A5392" s="12">
        <f>DATE(2012,12,31)-792</f>
        <v>40482</v>
      </c>
      <c r="B5392" s="13">
        <v>130.9</v>
      </c>
    </row>
    <row r="5393" s="6" customFormat="1" spans="1:2">
      <c r="A5393" s="12">
        <f>DATE(2012,12,31)-1441</f>
        <v>39833</v>
      </c>
      <c r="B5393" s="13">
        <v>2167.05</v>
      </c>
    </row>
    <row r="5394" s="6" customFormat="1" spans="1:2">
      <c r="A5394" s="12">
        <f>DATE(2012,12,31)-1323</f>
        <v>39951</v>
      </c>
      <c r="B5394" s="13">
        <v>623.1265</v>
      </c>
    </row>
    <row r="5395" s="6" customFormat="1" spans="1:2">
      <c r="A5395" s="12">
        <f>DATE(2012,12,31)-1323</f>
        <v>39951</v>
      </c>
      <c r="B5395" s="13">
        <v>62.62</v>
      </c>
    </row>
    <row r="5396" s="6" customFormat="1" spans="1:2">
      <c r="A5396" s="12">
        <f>DATE(2012,12,31)-1323</f>
        <v>39951</v>
      </c>
      <c r="B5396" s="13">
        <v>64.25</v>
      </c>
    </row>
    <row r="5397" s="6" customFormat="1" spans="1:2">
      <c r="A5397" s="12">
        <f>DATE(2012,12,31)-1084</f>
        <v>40190</v>
      </c>
      <c r="B5397" s="13">
        <v>224.744</v>
      </c>
    </row>
    <row r="5398" spans="1:2">
      <c r="A5398" s="14">
        <f>DATE(2012,12,31)-638</f>
        <v>40636</v>
      </c>
      <c r="B5398" s="15">
        <v>169.13</v>
      </c>
    </row>
    <row r="5399" s="6" customFormat="1" spans="1:2">
      <c r="A5399" s="12">
        <f>DATE(2012,12,31)-1149</f>
        <v>40125</v>
      </c>
      <c r="B5399" s="13">
        <v>2004.4</v>
      </c>
    </row>
    <row r="5400" s="6" customFormat="1" spans="1:2">
      <c r="A5400" s="12">
        <f>DATE(2012,12,31)-961</f>
        <v>40313</v>
      </c>
      <c r="B5400" s="13">
        <v>1053.84</v>
      </c>
    </row>
    <row r="5401" spans="1:2">
      <c r="A5401" s="14">
        <f>DATE(2012,12,31)-961</f>
        <v>40313</v>
      </c>
      <c r="B5401" s="15">
        <v>310.99</v>
      </c>
    </row>
    <row r="5402" s="6" customFormat="1" spans="1:2">
      <c r="A5402" s="12">
        <f>DATE(2012,12,31)-1113</f>
        <v>40161</v>
      </c>
      <c r="B5402" s="13">
        <v>114.73</v>
      </c>
    </row>
    <row r="5403" s="6" customFormat="1" spans="1:2">
      <c r="A5403" s="12">
        <f>DATE(2012,12,31)-590</f>
        <v>40684</v>
      </c>
      <c r="B5403" s="13">
        <v>142.1</v>
      </c>
    </row>
    <row r="5404" s="6" customFormat="1" spans="1:2">
      <c r="A5404" s="12">
        <f>DATE(2012,12,31)-900</f>
        <v>40374</v>
      </c>
      <c r="B5404" s="13">
        <v>208.04</v>
      </c>
    </row>
    <row r="5405" s="6" customFormat="1" spans="1:2">
      <c r="A5405" s="12">
        <f>DATE(2012,12,31)-760</f>
        <v>40514</v>
      </c>
      <c r="B5405" s="13">
        <v>754.94</v>
      </c>
    </row>
    <row r="5406" s="6" customFormat="1" spans="1:2">
      <c r="A5406" s="12">
        <f>DATE(2012,12,31)-237</f>
        <v>41037</v>
      </c>
      <c r="B5406" s="13">
        <v>4201.47</v>
      </c>
    </row>
    <row r="5407" s="6" customFormat="1" spans="1:2">
      <c r="A5407" s="12">
        <f>DATE(2012,12,31)-237</f>
        <v>41037</v>
      </c>
      <c r="B5407" s="13">
        <v>55.66</v>
      </c>
    </row>
    <row r="5408" s="6" customFormat="1" spans="1:2">
      <c r="A5408" s="12">
        <f>DATE(2012,12,31)-580</f>
        <v>40694</v>
      </c>
      <c r="B5408" s="13">
        <v>621.93</v>
      </c>
    </row>
    <row r="5409" s="6" customFormat="1" spans="1:2">
      <c r="A5409" s="12">
        <f>DATE(2012,12,31)-580</f>
        <v>40694</v>
      </c>
      <c r="B5409" s="13">
        <v>121.09</v>
      </c>
    </row>
    <row r="5410" spans="1:2">
      <c r="A5410" s="14">
        <f>DATE(2012,12,31)-502</f>
        <v>40772</v>
      </c>
      <c r="B5410" s="15">
        <v>136.18</v>
      </c>
    </row>
    <row r="5411" spans="1:2">
      <c r="A5411" s="14">
        <f>DATE(2012,12,31)-502</f>
        <v>40772</v>
      </c>
      <c r="B5411" s="15">
        <v>111.37</v>
      </c>
    </row>
    <row r="5412" spans="1:2">
      <c r="A5412" s="14">
        <f>DATE(2012,12,31)-502</f>
        <v>40772</v>
      </c>
      <c r="B5412" s="15">
        <v>105.48</v>
      </c>
    </row>
    <row r="5413" s="6" customFormat="1" spans="1:2">
      <c r="A5413" s="12">
        <f>DATE(2012,12,31)-1045</f>
        <v>40229</v>
      </c>
      <c r="B5413" s="13">
        <v>116.57</v>
      </c>
    </row>
    <row r="5414" s="6" customFormat="1" spans="1:2">
      <c r="A5414" s="12">
        <f>DATE(2012,12,31)-248</f>
        <v>41026</v>
      </c>
      <c r="B5414" s="13">
        <v>3295.15</v>
      </c>
    </row>
    <row r="5415" spans="1:2">
      <c r="A5415" s="14">
        <f>DATE(2012,12,31)-248</f>
        <v>41026</v>
      </c>
      <c r="B5415" s="15">
        <v>43.9</v>
      </c>
    </row>
    <row r="5416" spans="1:2">
      <c r="A5416" s="14">
        <f>DATE(2012,12,31)-1343</f>
        <v>39931</v>
      </c>
      <c r="B5416" s="15">
        <v>78.68</v>
      </c>
    </row>
    <row r="5417" s="6" customFormat="1" spans="1:2">
      <c r="A5417" s="12">
        <f>DATE(2012,12,31)-1336</f>
        <v>39938</v>
      </c>
      <c r="B5417" s="13">
        <v>5567.79</v>
      </c>
    </row>
    <row r="5418" s="6" customFormat="1" spans="1:2">
      <c r="A5418" s="12">
        <f>DATE(2012,12,31)-1336</f>
        <v>39938</v>
      </c>
      <c r="B5418" s="13">
        <v>503.2935</v>
      </c>
    </row>
    <row r="5419" s="6" customFormat="1" spans="1:2">
      <c r="A5419" s="12">
        <f>DATE(2012,12,31)-1336</f>
        <v>39938</v>
      </c>
      <c r="B5419" s="13">
        <v>796.03</v>
      </c>
    </row>
    <row r="5420" s="6" customFormat="1" spans="1:2">
      <c r="A5420" s="12">
        <f>DATE(2012,12,31)-377</f>
        <v>40897</v>
      </c>
      <c r="B5420" s="13">
        <v>70.02</v>
      </c>
    </row>
    <row r="5421" s="6" customFormat="1" spans="1:2">
      <c r="A5421" s="12">
        <f>DATE(2012,12,31)-377</f>
        <v>40897</v>
      </c>
      <c r="B5421" s="13">
        <v>2544.985</v>
      </c>
    </row>
    <row r="5422" s="6" customFormat="1" spans="1:2">
      <c r="A5422" s="12">
        <f>DATE(2012,12,31)-1428</f>
        <v>39846</v>
      </c>
      <c r="B5422" s="13">
        <v>44.85</v>
      </c>
    </row>
    <row r="5423" s="6" customFormat="1" spans="1:2">
      <c r="A5423" s="12">
        <f>DATE(2012,12,31)-624</f>
        <v>40650</v>
      </c>
      <c r="B5423" s="13">
        <v>1980.37</v>
      </c>
    </row>
    <row r="5424" s="6" customFormat="1" spans="1:2">
      <c r="A5424" s="12">
        <f>DATE(2012,12,31)-624</f>
        <v>40650</v>
      </c>
      <c r="B5424" s="13">
        <v>642.66</v>
      </c>
    </row>
    <row r="5425" spans="1:2">
      <c r="A5425" s="14">
        <f>DATE(2012,12,31)-392</f>
        <v>40882</v>
      </c>
      <c r="B5425" s="15">
        <v>118.43</v>
      </c>
    </row>
    <row r="5426" spans="1:2">
      <c r="A5426" s="14">
        <f>DATE(2012,12,31)-167</f>
        <v>41107</v>
      </c>
      <c r="B5426" s="15">
        <v>128.22</v>
      </c>
    </row>
    <row r="5427" s="6" customFormat="1" spans="1:2">
      <c r="A5427" s="12">
        <f>DATE(2012,12,31)-489</f>
        <v>40785</v>
      </c>
      <c r="B5427" s="13">
        <v>169.4</v>
      </c>
    </row>
    <row r="5428" s="6" customFormat="1" spans="1:2">
      <c r="A5428" s="12">
        <f>DATE(2012,12,31)-1155</f>
        <v>40119</v>
      </c>
      <c r="B5428" s="13">
        <v>9517.6</v>
      </c>
    </row>
    <row r="5429" s="6" customFormat="1" spans="1:2">
      <c r="A5429" s="12">
        <f>DATE(2012,12,31)-1155</f>
        <v>40119</v>
      </c>
      <c r="B5429" s="13">
        <v>904.93</v>
      </c>
    </row>
    <row r="5430" spans="1:2">
      <c r="A5430" s="14">
        <f>DATE(2012,12,31)-1155</f>
        <v>40119</v>
      </c>
      <c r="B5430" s="15">
        <v>98.51</v>
      </c>
    </row>
    <row r="5431" s="6" customFormat="1" spans="1:2">
      <c r="A5431" s="12">
        <f>DATE(2012,12,31)-1377</f>
        <v>39897</v>
      </c>
      <c r="B5431" s="13">
        <v>234.09</v>
      </c>
    </row>
    <row r="5432" s="6" customFormat="1" spans="1:2">
      <c r="A5432" s="12">
        <f>DATE(2012,12,31)-1126</f>
        <v>40148</v>
      </c>
      <c r="B5432" s="13">
        <v>1011.9</v>
      </c>
    </row>
    <row r="5433" spans="1:2">
      <c r="A5433" s="14">
        <f>DATE(2012,12,31)-1004</f>
        <v>40270</v>
      </c>
      <c r="B5433" s="15">
        <v>193.7</v>
      </c>
    </row>
    <row r="5434" s="6" customFormat="1" spans="1:2">
      <c r="A5434" s="12">
        <f>DATE(2012,12,31)-1234</f>
        <v>40040</v>
      </c>
      <c r="B5434" s="13">
        <v>14665.15</v>
      </c>
    </row>
    <row r="5435" s="6" customFormat="1" spans="1:2">
      <c r="A5435" s="12">
        <f>DATE(2012,12,31)-1234</f>
        <v>40040</v>
      </c>
      <c r="B5435" s="13">
        <v>324.97</v>
      </c>
    </row>
    <row r="5436" s="6" customFormat="1" spans="1:2">
      <c r="A5436" s="12">
        <f>DATE(2012,12,31)-1234</f>
        <v>40040</v>
      </c>
      <c r="B5436" s="13">
        <v>451.52</v>
      </c>
    </row>
    <row r="5437" s="6" customFormat="1" spans="1:2">
      <c r="A5437" s="12">
        <f>DATE(2012,12,31)-1162</f>
        <v>40112</v>
      </c>
      <c r="B5437" s="13">
        <v>2651.23</v>
      </c>
    </row>
    <row r="5438" s="6" customFormat="1" spans="1:2">
      <c r="A5438" s="12">
        <f>DATE(2012,12,31)-775</f>
        <v>40499</v>
      </c>
      <c r="B5438" s="13">
        <v>2752</v>
      </c>
    </row>
    <row r="5439" s="6" customFormat="1" spans="1:2">
      <c r="A5439" s="12">
        <f>DATE(2012,12,31)-775</f>
        <v>40499</v>
      </c>
      <c r="B5439" s="13">
        <v>72.82</v>
      </c>
    </row>
    <row r="5440" s="6" customFormat="1" spans="1:2">
      <c r="A5440" s="12">
        <f>DATE(2012,12,31)-429</f>
        <v>40845</v>
      </c>
      <c r="B5440" s="13">
        <v>667.998</v>
      </c>
    </row>
    <row r="5441" s="6" customFormat="1" spans="1:2">
      <c r="A5441" s="12">
        <f>DATE(2012,12,31)-989</f>
        <v>40285</v>
      </c>
      <c r="B5441" s="13">
        <v>2175.218</v>
      </c>
    </row>
    <row r="5442" spans="1:2">
      <c r="A5442" s="14">
        <f>DATE(2012,12,31)-143</f>
        <v>41131</v>
      </c>
      <c r="B5442" s="15">
        <v>162.51</v>
      </c>
    </row>
    <row r="5443" s="6" customFormat="1" spans="1:2">
      <c r="A5443" s="12">
        <f>DATE(2012,12,31)-143</f>
        <v>41131</v>
      </c>
      <c r="B5443" s="13">
        <v>561.43</v>
      </c>
    </row>
    <row r="5444" s="6" customFormat="1" spans="1:2">
      <c r="A5444" s="12">
        <f>DATE(2012,12,31)-143</f>
        <v>41131</v>
      </c>
      <c r="B5444" s="13">
        <v>64.46</v>
      </c>
    </row>
    <row r="5445" s="6" customFormat="1" spans="1:2">
      <c r="A5445" s="12">
        <f>DATE(2012,12,31)-948</f>
        <v>40326</v>
      </c>
      <c r="B5445" s="13">
        <v>1279.25</v>
      </c>
    </row>
    <row r="5446" s="6" customFormat="1" spans="1:2">
      <c r="A5446" s="12">
        <f>DATE(2012,12,31)-1007</f>
        <v>40267</v>
      </c>
      <c r="B5446" s="13">
        <v>3982.42</v>
      </c>
    </row>
    <row r="5447" s="6" customFormat="1" spans="1:2">
      <c r="A5447" s="12">
        <f>DATE(2012,12,31)-1007</f>
        <v>40267</v>
      </c>
      <c r="B5447" s="13">
        <v>4025.66</v>
      </c>
    </row>
    <row r="5448" s="6" customFormat="1" spans="1:2">
      <c r="A5448" s="12">
        <f>DATE(2012,12,31)-323</f>
        <v>40951</v>
      </c>
      <c r="B5448" s="13">
        <v>326.1</v>
      </c>
    </row>
    <row r="5449" s="6" customFormat="1" spans="1:2">
      <c r="A5449" s="12">
        <f>DATE(2012,12,31)-323</f>
        <v>40951</v>
      </c>
      <c r="B5449" s="13">
        <v>170.374</v>
      </c>
    </row>
    <row r="5450" s="6" customFormat="1" spans="1:2">
      <c r="A5450" s="12">
        <f>DATE(2012,12,31)-346</f>
        <v>40928</v>
      </c>
      <c r="B5450" s="13">
        <v>697.5</v>
      </c>
    </row>
    <row r="5451" s="6" customFormat="1" spans="1:2">
      <c r="A5451" s="12">
        <f>DATE(2012,12,31)-566</f>
        <v>40708</v>
      </c>
      <c r="B5451" s="13">
        <v>2222.61</v>
      </c>
    </row>
    <row r="5452" s="6" customFormat="1" spans="1:2">
      <c r="A5452" s="12">
        <f>DATE(2012,12,31)-1378</f>
        <v>39896</v>
      </c>
      <c r="B5452" s="13">
        <v>107.56</v>
      </c>
    </row>
    <row r="5453" s="6" customFormat="1" spans="1:2">
      <c r="A5453" s="12">
        <f>DATE(2012,12,31)-1378</f>
        <v>39896</v>
      </c>
      <c r="B5453" s="13">
        <v>1386.69</v>
      </c>
    </row>
    <row r="5454" s="6" customFormat="1" spans="1:2">
      <c r="A5454" s="12">
        <f>DATE(2012,12,31)-102</f>
        <v>41172</v>
      </c>
      <c r="B5454" s="13">
        <v>2617.13</v>
      </c>
    </row>
    <row r="5455" s="6" customFormat="1" spans="1:2">
      <c r="A5455" s="12">
        <f>DATE(2012,12,31)-102</f>
        <v>41172</v>
      </c>
      <c r="B5455" s="13">
        <v>169.27</v>
      </c>
    </row>
    <row r="5456" s="6" customFormat="1" spans="1:2">
      <c r="A5456" s="12">
        <f>DATE(2012,12,31)-1320</f>
        <v>39954</v>
      </c>
      <c r="B5456" s="13">
        <v>92.86</v>
      </c>
    </row>
    <row r="5457" s="6" customFormat="1" spans="1:2">
      <c r="A5457" s="12">
        <f>DATE(2012,12,31)-1334</f>
        <v>39940</v>
      </c>
      <c r="B5457" s="13">
        <v>2251.497</v>
      </c>
    </row>
    <row r="5458" s="6" customFormat="1" spans="1:2">
      <c r="A5458" s="12">
        <f>DATE(2012,12,31)-464</f>
        <v>40810</v>
      </c>
      <c r="B5458" s="13">
        <v>497.2</v>
      </c>
    </row>
    <row r="5459" s="6" customFormat="1" spans="1:2">
      <c r="A5459" s="12">
        <f>DATE(2012,12,31)-697</f>
        <v>40577</v>
      </c>
      <c r="B5459" s="13">
        <v>298.12</v>
      </c>
    </row>
    <row r="5460" s="6" customFormat="1" spans="1:2">
      <c r="A5460" s="12">
        <f>DATE(2012,12,31)-562</f>
        <v>40712</v>
      </c>
      <c r="B5460" s="13">
        <v>236.17</v>
      </c>
    </row>
    <row r="5461" s="6" customFormat="1" spans="1:2">
      <c r="A5461" s="12">
        <f>DATE(2012,12,31)-514</f>
        <v>40760</v>
      </c>
      <c r="B5461" s="13">
        <v>79.04</v>
      </c>
    </row>
    <row r="5462" s="6" customFormat="1" spans="1:2">
      <c r="A5462" s="12">
        <f>DATE(2012,12,31)-778</f>
        <v>40496</v>
      </c>
      <c r="B5462" s="13">
        <v>96.52</v>
      </c>
    </row>
    <row r="5463" s="6" customFormat="1" spans="1:2">
      <c r="A5463" s="12">
        <f>DATE(2012,12,31)-778</f>
        <v>40496</v>
      </c>
      <c r="B5463" s="13">
        <v>115.17</v>
      </c>
    </row>
    <row r="5464" s="6" customFormat="1" spans="1:2">
      <c r="A5464" s="12">
        <f>DATE(2012,12,31)-1023</f>
        <v>40251</v>
      </c>
      <c r="B5464" s="13">
        <v>1457.712</v>
      </c>
    </row>
    <row r="5465" s="6" customFormat="1" spans="1:2">
      <c r="A5465" s="12">
        <f>DATE(2012,12,31)-225</f>
        <v>41049</v>
      </c>
      <c r="B5465" s="13">
        <v>9.7</v>
      </c>
    </row>
    <row r="5466" spans="1:2">
      <c r="A5466" s="14">
        <f>DATE(2012,12,31)-15</f>
        <v>41259</v>
      </c>
      <c r="B5466" s="15">
        <v>259.52</v>
      </c>
    </row>
    <row r="5467" s="6" customFormat="1" spans="1:2">
      <c r="A5467" s="12">
        <f>DATE(2012,12,31)-977</f>
        <v>40297</v>
      </c>
      <c r="B5467" s="13">
        <v>12570.74</v>
      </c>
    </row>
    <row r="5468" s="6" customFormat="1" spans="1:2">
      <c r="A5468" s="12">
        <f>DATE(2012,12,31)-204</f>
        <v>41070</v>
      </c>
      <c r="B5468" s="13">
        <v>8.49</v>
      </c>
    </row>
    <row r="5469" s="6" customFormat="1" spans="1:2">
      <c r="A5469" s="12">
        <f>DATE(2012,12,31)-1156</f>
        <v>40118</v>
      </c>
      <c r="B5469" s="13">
        <v>152.31</v>
      </c>
    </row>
    <row r="5470" s="6" customFormat="1" spans="1:2">
      <c r="A5470" s="12">
        <f>DATE(2012,12,31)-283</f>
        <v>40991</v>
      </c>
      <c r="B5470" s="13">
        <v>728.025</v>
      </c>
    </row>
    <row r="5471" s="6" customFormat="1" spans="1:2">
      <c r="A5471" s="12">
        <f>DATE(2012,12,31)-1113</f>
        <v>40161</v>
      </c>
      <c r="B5471" s="13">
        <v>2169.49</v>
      </c>
    </row>
    <row r="5472" s="6" customFormat="1" spans="1:2">
      <c r="A5472" s="12">
        <f>DATE(2012,12,31)-1113</f>
        <v>40161</v>
      </c>
      <c r="B5472" s="13">
        <v>4411.5</v>
      </c>
    </row>
    <row r="5473" s="6" customFormat="1" spans="1:2">
      <c r="A5473" s="12">
        <f>DATE(2012,12,31)-136</f>
        <v>41138</v>
      </c>
      <c r="B5473" s="13">
        <v>256</v>
      </c>
    </row>
    <row r="5474" s="6" customFormat="1" spans="1:2">
      <c r="A5474" s="12">
        <f>DATE(2012,12,31)-136</f>
        <v>41138</v>
      </c>
      <c r="B5474" s="13">
        <v>6067.76</v>
      </c>
    </row>
    <row r="5475" s="6" customFormat="1" spans="1:2">
      <c r="A5475" s="12">
        <f>DATE(2012,12,31)-1242</f>
        <v>40032</v>
      </c>
      <c r="B5475" s="13">
        <v>172.01</v>
      </c>
    </row>
    <row r="5476" s="6" customFormat="1" spans="1:2">
      <c r="A5476" s="12">
        <f>DATE(2012,12,31)-1164</f>
        <v>40110</v>
      </c>
      <c r="B5476" s="13">
        <v>378.9</v>
      </c>
    </row>
    <row r="5477" s="6" customFormat="1" spans="1:2">
      <c r="A5477" s="12">
        <f>DATE(2012,12,31)-1164</f>
        <v>40110</v>
      </c>
      <c r="B5477" s="13">
        <v>264.05</v>
      </c>
    </row>
    <row r="5478" s="6" customFormat="1" spans="1:2">
      <c r="A5478" s="12">
        <f>DATE(2012,12,31)-64</f>
        <v>41210</v>
      </c>
      <c r="B5478" s="13">
        <v>6943.94</v>
      </c>
    </row>
    <row r="5479" s="6" customFormat="1" spans="1:2">
      <c r="A5479" s="12">
        <f>DATE(2012,12,31)-64</f>
        <v>41210</v>
      </c>
      <c r="B5479" s="13">
        <v>1514.9635</v>
      </c>
    </row>
    <row r="5480" s="6" customFormat="1" spans="1:2">
      <c r="A5480" s="12">
        <f>DATE(2012,12,31)-1212</f>
        <v>40062</v>
      </c>
      <c r="B5480" s="13">
        <v>230.29</v>
      </c>
    </row>
    <row r="5481" s="6" customFormat="1" spans="1:2">
      <c r="A5481" s="12">
        <f>DATE(2012,12,31)-215</f>
        <v>41059</v>
      </c>
      <c r="B5481" s="13">
        <v>447.12</v>
      </c>
    </row>
    <row r="5482" spans="1:2">
      <c r="A5482" s="14">
        <f>DATE(2012,12,31)-1201</f>
        <v>40073</v>
      </c>
      <c r="B5482" s="15">
        <v>96.73</v>
      </c>
    </row>
    <row r="5483" s="6" customFormat="1" spans="1:2">
      <c r="A5483" s="12">
        <f>DATE(2012,12,31)-1201</f>
        <v>40073</v>
      </c>
      <c r="B5483" s="13">
        <v>253.6</v>
      </c>
    </row>
    <row r="5484" s="6" customFormat="1" spans="1:2">
      <c r="A5484" s="12">
        <f>DATE(2012,12,31)-771</f>
        <v>40503</v>
      </c>
      <c r="B5484" s="13">
        <v>618.1965</v>
      </c>
    </row>
    <row r="5485" s="6" customFormat="1" spans="1:2">
      <c r="A5485" s="12">
        <f>DATE(2012,12,31)-986</f>
        <v>40288</v>
      </c>
      <c r="B5485" s="13">
        <v>1873.349</v>
      </c>
    </row>
    <row r="5486" s="6" customFormat="1" spans="1:2">
      <c r="A5486" s="12">
        <f>DATE(2012,12,31)-986</f>
        <v>40288</v>
      </c>
      <c r="B5486" s="13">
        <v>24639.8</v>
      </c>
    </row>
    <row r="5487" s="6" customFormat="1" spans="1:2">
      <c r="A5487" s="12">
        <f>DATE(2012,12,31)-986</f>
        <v>40288</v>
      </c>
      <c r="B5487" s="13">
        <v>921.3</v>
      </c>
    </row>
    <row r="5488" s="6" customFormat="1" spans="1:2">
      <c r="A5488" s="12">
        <f>DATE(2012,12,31)-1128</f>
        <v>40146</v>
      </c>
      <c r="B5488" s="13">
        <v>307.46</v>
      </c>
    </row>
    <row r="5489" s="6" customFormat="1" spans="1:2">
      <c r="A5489" s="12">
        <f>DATE(2012,12,31)-575</f>
        <v>40699</v>
      </c>
      <c r="B5489" s="13">
        <v>1394.28</v>
      </c>
    </row>
    <row r="5490" s="6" customFormat="1" spans="1:2">
      <c r="A5490" s="12">
        <f>DATE(2012,12,31)-575</f>
        <v>40699</v>
      </c>
      <c r="B5490" s="13">
        <v>6862.237</v>
      </c>
    </row>
    <row r="5491" spans="1:2">
      <c r="A5491" s="14">
        <f>DATE(2012,12,31)-548</f>
        <v>40726</v>
      </c>
      <c r="B5491" s="15">
        <v>109.23</v>
      </c>
    </row>
    <row r="5492" spans="1:2">
      <c r="A5492" s="14">
        <f>DATE(2012,12,31)-548</f>
        <v>40726</v>
      </c>
      <c r="B5492" s="15">
        <v>74</v>
      </c>
    </row>
    <row r="5493" spans="1:2">
      <c r="A5493" s="14">
        <f>DATE(2012,12,31)-548</f>
        <v>40726</v>
      </c>
      <c r="B5493" s="15">
        <v>288.45</v>
      </c>
    </row>
    <row r="5494" spans="1:2">
      <c r="A5494" s="14">
        <f>DATE(2012,12,31)-737</f>
        <v>40537</v>
      </c>
      <c r="B5494" s="15">
        <v>944.76</v>
      </c>
    </row>
    <row r="5495" s="6" customFormat="1" spans="1:2">
      <c r="A5495" s="12">
        <f>DATE(2012,12,31)-737</f>
        <v>40537</v>
      </c>
      <c r="B5495" s="13">
        <v>6813.93</v>
      </c>
    </row>
    <row r="5496" s="6" customFormat="1" spans="1:2">
      <c r="A5496" s="12">
        <f>DATE(2012,12,31)-1246</f>
        <v>40028</v>
      </c>
      <c r="B5496" s="13">
        <v>4547.26</v>
      </c>
    </row>
    <row r="5497" s="6" customFormat="1" spans="1:2">
      <c r="A5497" s="12">
        <f>DATE(2012,12,31)-1039</f>
        <v>40235</v>
      </c>
      <c r="B5497" s="13">
        <v>3355.1</v>
      </c>
    </row>
    <row r="5498" s="6" customFormat="1" spans="1:2">
      <c r="A5498" s="12">
        <f>DATE(2012,12,31)-1039</f>
        <v>40235</v>
      </c>
      <c r="B5498" s="13">
        <v>2864.55</v>
      </c>
    </row>
    <row r="5499" s="6" customFormat="1" spans="1:2">
      <c r="A5499" s="12">
        <f>DATE(2012,12,31)-1039</f>
        <v>40235</v>
      </c>
      <c r="B5499" s="13">
        <v>65.61</v>
      </c>
    </row>
    <row r="5500" s="6" customFormat="1" spans="1:2">
      <c r="A5500" s="12">
        <f>DATE(2012,12,31)-1263</f>
        <v>40011</v>
      </c>
      <c r="B5500" s="13">
        <v>1114.42</v>
      </c>
    </row>
    <row r="5501" s="6" customFormat="1" spans="1:2">
      <c r="A5501" s="12">
        <f>DATE(2012,12,31)-613</f>
        <v>40661</v>
      </c>
      <c r="B5501" s="13">
        <v>3582.79</v>
      </c>
    </row>
    <row r="5502" s="6" customFormat="1" spans="1:2">
      <c r="A5502" s="12">
        <f>DATE(2012,12,31)-1121</f>
        <v>40153</v>
      </c>
      <c r="B5502" s="13">
        <v>5236.14</v>
      </c>
    </row>
    <row r="5503" s="6" customFormat="1" spans="1:2">
      <c r="A5503" s="12">
        <f>DATE(2012,12,31)-1121</f>
        <v>40153</v>
      </c>
      <c r="B5503" s="13">
        <v>74.02</v>
      </c>
    </row>
    <row r="5504" s="6" customFormat="1" spans="1:2">
      <c r="A5504" s="12">
        <f>DATE(2012,12,31)-1320</f>
        <v>39954</v>
      </c>
      <c r="B5504" s="13">
        <v>1204.5095</v>
      </c>
    </row>
    <row r="5505" spans="1:2">
      <c r="A5505" s="14">
        <f>DATE(2012,12,31)-1320</f>
        <v>39954</v>
      </c>
      <c r="B5505" s="15">
        <v>19.36</v>
      </c>
    </row>
    <row r="5506" s="6" customFormat="1" spans="1:2">
      <c r="A5506" s="12">
        <f>DATE(2012,12,31)-432</f>
        <v>40842</v>
      </c>
      <c r="B5506" s="13">
        <v>418.03</v>
      </c>
    </row>
    <row r="5507" s="6" customFormat="1" spans="1:2">
      <c r="A5507" s="12">
        <f>DATE(2012,12,31)-432</f>
        <v>40842</v>
      </c>
      <c r="B5507" s="13">
        <v>336.86</v>
      </c>
    </row>
    <row r="5508" s="6" customFormat="1" spans="1:2">
      <c r="A5508" s="12">
        <f>DATE(2012,12,31)-740</f>
        <v>40534</v>
      </c>
      <c r="B5508" s="13">
        <v>50.8</v>
      </c>
    </row>
    <row r="5509" s="6" customFormat="1" spans="1:2">
      <c r="A5509" s="12">
        <f>DATE(2012,12,31)-740</f>
        <v>40534</v>
      </c>
      <c r="B5509" s="13">
        <v>750.89</v>
      </c>
    </row>
    <row r="5510" s="6" customFormat="1" spans="1:2">
      <c r="A5510" s="12">
        <f>DATE(2012,12,31)-1408</f>
        <v>39866</v>
      </c>
      <c r="B5510" s="13">
        <v>1633.37</v>
      </c>
    </row>
    <row r="5511" s="6" customFormat="1" spans="1:2">
      <c r="A5511" s="12">
        <f>DATE(2012,12,31)-316</f>
        <v>40958</v>
      </c>
      <c r="B5511" s="13">
        <v>512.33</v>
      </c>
    </row>
    <row r="5512" s="6" customFormat="1" spans="1:2">
      <c r="A5512" s="12">
        <f>DATE(2012,12,31)-1116</f>
        <v>40158</v>
      </c>
      <c r="B5512" s="13">
        <v>222.65</v>
      </c>
    </row>
    <row r="5513" spans="1:2">
      <c r="A5513" s="14">
        <f>DATE(2012,12,31)-1287</f>
        <v>39987</v>
      </c>
      <c r="B5513" s="15">
        <v>36.91</v>
      </c>
    </row>
    <row r="5514" s="6" customFormat="1" spans="1:2">
      <c r="A5514" s="12">
        <f>DATE(2012,12,31)-1287</f>
        <v>39987</v>
      </c>
      <c r="B5514" s="13">
        <v>2155.84</v>
      </c>
    </row>
    <row r="5515" spans="1:2">
      <c r="A5515" s="14">
        <f>DATE(2012,12,31)-1287</f>
        <v>39987</v>
      </c>
      <c r="B5515" s="15">
        <v>175.27</v>
      </c>
    </row>
    <row r="5516" s="6" customFormat="1" spans="1:2">
      <c r="A5516" s="12">
        <f>DATE(2012,12,31)-481</f>
        <v>40793</v>
      </c>
      <c r="B5516" s="13">
        <v>75.6</v>
      </c>
    </row>
    <row r="5517" s="6" customFormat="1" spans="1:2">
      <c r="A5517" s="12">
        <f>DATE(2012,12,31)-1060</f>
        <v>40214</v>
      </c>
      <c r="B5517" s="13">
        <v>2595.07</v>
      </c>
    </row>
    <row r="5518" s="6" customFormat="1" spans="1:2">
      <c r="A5518" s="12">
        <f>DATE(2012,12,31)-525</f>
        <v>40749</v>
      </c>
      <c r="B5518" s="13">
        <v>182.4</v>
      </c>
    </row>
    <row r="5519" s="6" customFormat="1" spans="1:2">
      <c r="A5519" s="12">
        <f>DATE(2012,12,31)-525</f>
        <v>40749</v>
      </c>
      <c r="B5519" s="13">
        <v>6004.35</v>
      </c>
    </row>
    <row r="5520" s="6" customFormat="1" spans="1:2">
      <c r="A5520" s="12">
        <f>DATE(2012,12,31)-1286</f>
        <v>39988</v>
      </c>
      <c r="B5520" s="13">
        <v>2693.514</v>
      </c>
    </row>
    <row r="5521" s="6" customFormat="1" spans="1:2">
      <c r="A5521" s="12">
        <f>DATE(2012,12,31)-779</f>
        <v>40495</v>
      </c>
      <c r="B5521" s="13">
        <v>627.453</v>
      </c>
    </row>
    <row r="5522" s="6" customFormat="1" spans="1:2">
      <c r="A5522" s="12">
        <f>DATE(2012,12,31)-779</f>
        <v>40495</v>
      </c>
      <c r="B5522" s="13">
        <v>3000.88</v>
      </c>
    </row>
    <row r="5523" s="6" customFormat="1" spans="1:2">
      <c r="A5523" s="12">
        <f>DATE(2012,12,31)-779</f>
        <v>40495</v>
      </c>
      <c r="B5523" s="13">
        <v>6118.38</v>
      </c>
    </row>
    <row r="5524" s="6" customFormat="1" spans="1:2">
      <c r="A5524" s="12">
        <f>DATE(2012,12,31)-826</f>
        <v>40448</v>
      </c>
      <c r="B5524" s="13">
        <v>2268.91</v>
      </c>
    </row>
    <row r="5525" spans="1:2">
      <c r="A5525" s="14">
        <f>DATE(2012,12,31)-1338</f>
        <v>39936</v>
      </c>
      <c r="B5525" s="15">
        <v>1400.91</v>
      </c>
    </row>
    <row r="5526" s="6" customFormat="1" spans="1:2">
      <c r="A5526" s="12">
        <f>DATE(2012,12,31)-1338</f>
        <v>39936</v>
      </c>
      <c r="B5526" s="13">
        <v>2259.66</v>
      </c>
    </row>
    <row r="5527" s="6" customFormat="1" spans="1:2">
      <c r="A5527" s="12">
        <f>DATE(2012,12,31)-269</f>
        <v>41005</v>
      </c>
      <c r="B5527" s="13">
        <v>6730.07</v>
      </c>
    </row>
    <row r="5528" s="6" customFormat="1" spans="1:2">
      <c r="A5528" s="12">
        <f>DATE(2012,12,31)-228</f>
        <v>41046</v>
      </c>
      <c r="B5528" s="13">
        <v>809.91</v>
      </c>
    </row>
    <row r="5529" s="6" customFormat="1" spans="1:2">
      <c r="A5529" s="12">
        <f>DATE(2012,12,31)-228</f>
        <v>41046</v>
      </c>
      <c r="B5529" s="13">
        <v>1027.66</v>
      </c>
    </row>
    <row r="5530" s="6" customFormat="1" spans="1:2">
      <c r="A5530" s="12">
        <f>DATE(2012,12,31)-228</f>
        <v>41046</v>
      </c>
      <c r="B5530" s="13">
        <v>301.38</v>
      </c>
    </row>
    <row r="5531" spans="1:2">
      <c r="A5531" s="14">
        <f>DATE(2012,12,31)-493</f>
        <v>40781</v>
      </c>
      <c r="B5531" s="15">
        <v>24.91</v>
      </c>
    </row>
    <row r="5532" s="6" customFormat="1" spans="1:2">
      <c r="A5532" s="12">
        <f>DATE(2012,12,31)-920</f>
        <v>40354</v>
      </c>
      <c r="B5532" s="13">
        <v>9013.58</v>
      </c>
    </row>
    <row r="5533" s="6" customFormat="1" spans="1:2">
      <c r="A5533" s="12">
        <f>DATE(2012,12,31)-920</f>
        <v>40354</v>
      </c>
      <c r="B5533" s="13">
        <v>175.42</v>
      </c>
    </row>
    <row r="5534" s="6" customFormat="1" spans="1:2">
      <c r="A5534" s="12">
        <f>DATE(2012,12,31)-1445</f>
        <v>39829</v>
      </c>
      <c r="B5534" s="13">
        <v>76.48</v>
      </c>
    </row>
    <row r="5535" s="6" customFormat="1" spans="1:2">
      <c r="A5535" s="12">
        <f>DATE(2012,12,31)-1445</f>
        <v>39829</v>
      </c>
      <c r="B5535" s="13">
        <v>373.27</v>
      </c>
    </row>
    <row r="5536" s="6" customFormat="1" spans="1:2">
      <c r="A5536" s="12">
        <f>DATE(2012,12,31)-538</f>
        <v>40736</v>
      </c>
      <c r="B5536" s="13">
        <v>391.9</v>
      </c>
    </row>
    <row r="5537" s="6" customFormat="1" spans="1:2">
      <c r="A5537" s="12">
        <f>DATE(2012,12,31)-538</f>
        <v>40736</v>
      </c>
      <c r="B5537" s="13">
        <v>1451.59</v>
      </c>
    </row>
    <row r="5538" s="6" customFormat="1" spans="1:2">
      <c r="A5538" s="12">
        <f>DATE(2012,12,31)-901</f>
        <v>40373</v>
      </c>
      <c r="B5538" s="13">
        <v>801.98</v>
      </c>
    </row>
    <row r="5539" spans="1:2">
      <c r="A5539" s="14">
        <f>DATE(2012,12,31)-827</f>
        <v>40447</v>
      </c>
      <c r="B5539" s="15">
        <v>373.48</v>
      </c>
    </row>
    <row r="5540" s="6" customFormat="1" spans="1:2">
      <c r="A5540" s="12">
        <f>DATE(2012,12,31)-969</f>
        <v>40305</v>
      </c>
      <c r="B5540" s="13">
        <v>198.08</v>
      </c>
    </row>
    <row r="5541" s="6" customFormat="1" spans="1:2">
      <c r="A5541" s="12">
        <f>DATE(2012,12,31)-126</f>
        <v>41148</v>
      </c>
      <c r="B5541" s="13">
        <v>64.09</v>
      </c>
    </row>
    <row r="5542" s="6" customFormat="1" spans="1:2">
      <c r="A5542" s="12">
        <f>DATE(2012,12,31)-126</f>
        <v>41148</v>
      </c>
      <c r="B5542" s="13">
        <v>36.41</v>
      </c>
    </row>
    <row r="5543" s="6" customFormat="1" spans="1:2">
      <c r="A5543" s="12">
        <f>DATE(2012,12,31)-126</f>
        <v>41148</v>
      </c>
      <c r="B5543" s="13">
        <v>981.26</v>
      </c>
    </row>
    <row r="5544" s="6" customFormat="1" spans="1:2">
      <c r="A5544" s="12">
        <f>DATE(2012,12,31)-1078</f>
        <v>40196</v>
      </c>
      <c r="B5544" s="13">
        <v>430.33</v>
      </c>
    </row>
    <row r="5545" s="6" customFormat="1" spans="1:2">
      <c r="A5545" s="12">
        <f>DATE(2012,12,31)-1078</f>
        <v>40196</v>
      </c>
      <c r="B5545" s="13">
        <v>1221.47</v>
      </c>
    </row>
    <row r="5546" spans="1:2">
      <c r="A5546" s="14">
        <f>DATE(2012,12,31)-619</f>
        <v>40655</v>
      </c>
      <c r="B5546" s="15">
        <v>324.2</v>
      </c>
    </row>
    <row r="5547" spans="1:2">
      <c r="A5547" s="14">
        <f>DATE(2012,12,31)-619</f>
        <v>40655</v>
      </c>
      <c r="B5547" s="15">
        <v>156.95</v>
      </c>
    </row>
    <row r="5548" s="6" customFormat="1" spans="1:2">
      <c r="A5548" s="12">
        <f>DATE(2012,12,31)-66</f>
        <v>41208</v>
      </c>
      <c r="B5548" s="13">
        <v>464.695</v>
      </c>
    </row>
    <row r="5549" s="6" customFormat="1" spans="1:2">
      <c r="A5549" s="12">
        <f>DATE(2012,12,31)-694</f>
        <v>40580</v>
      </c>
      <c r="B5549" s="13">
        <v>65.78</v>
      </c>
    </row>
    <row r="5550" s="6" customFormat="1" spans="1:2">
      <c r="A5550" s="12">
        <f>DATE(2012,12,31)-253</f>
        <v>41021</v>
      </c>
      <c r="B5550" s="13">
        <v>44.51</v>
      </c>
    </row>
    <row r="5551" s="6" customFormat="1" spans="1:2">
      <c r="A5551" s="12">
        <f>DATE(2012,12,31)-1380</f>
        <v>39894</v>
      </c>
      <c r="B5551" s="13">
        <v>33.54</v>
      </c>
    </row>
    <row r="5552" s="6" customFormat="1" spans="1:2">
      <c r="A5552" s="12">
        <f>DATE(2012,12,31)-1380</f>
        <v>39894</v>
      </c>
      <c r="B5552" s="13">
        <v>2232.66</v>
      </c>
    </row>
    <row r="5553" s="6" customFormat="1" spans="1:2">
      <c r="A5553" s="12">
        <f>DATE(2012,12,31)-898</f>
        <v>40376</v>
      </c>
      <c r="B5553" s="13">
        <v>184.77</v>
      </c>
    </row>
    <row r="5554" s="6" customFormat="1" spans="1:2">
      <c r="A5554" s="12">
        <f>DATE(2012,12,31)-475</f>
        <v>40799</v>
      </c>
      <c r="B5554" s="13">
        <v>149.4</v>
      </c>
    </row>
    <row r="5555" s="6" customFormat="1" spans="1:2">
      <c r="A5555" s="12">
        <f>DATE(2012,12,31)-449</f>
        <v>40825</v>
      </c>
      <c r="B5555" s="13">
        <v>198.72</v>
      </c>
    </row>
    <row r="5556" s="6" customFormat="1" spans="1:2">
      <c r="A5556" s="12">
        <f>DATE(2012,12,31)-1048</f>
        <v>40226</v>
      </c>
      <c r="B5556" s="13">
        <v>8955.34</v>
      </c>
    </row>
    <row r="5557" s="6" customFormat="1" spans="1:2">
      <c r="A5557" s="12">
        <f>DATE(2012,12,31)-1048</f>
        <v>40226</v>
      </c>
      <c r="B5557" s="13">
        <v>95.22</v>
      </c>
    </row>
    <row r="5558" s="6" customFormat="1" spans="1:2">
      <c r="A5558" s="12">
        <f>DATE(2012,12,31)-1316</f>
        <v>39958</v>
      </c>
      <c r="B5558" s="13">
        <v>113.23</v>
      </c>
    </row>
    <row r="5559" s="6" customFormat="1" spans="1:2">
      <c r="A5559" s="12">
        <f>DATE(2012,12,31)-1316</f>
        <v>39958</v>
      </c>
      <c r="B5559" s="13">
        <v>889.84</v>
      </c>
    </row>
    <row r="5560" s="6" customFormat="1" spans="1:2">
      <c r="A5560" s="12">
        <f>DATE(2012,12,31)-52</f>
        <v>41222</v>
      </c>
      <c r="B5560" s="13">
        <v>2754.93</v>
      </c>
    </row>
    <row r="5561" s="6" customFormat="1" spans="1:2">
      <c r="A5561" s="12">
        <f>DATE(2012,12,31)-52</f>
        <v>41222</v>
      </c>
      <c r="B5561" s="13">
        <v>19417.55</v>
      </c>
    </row>
    <row r="5562" s="6" customFormat="1" spans="1:2">
      <c r="A5562" s="12">
        <f>DATE(2012,12,31)-231</f>
        <v>41043</v>
      </c>
      <c r="B5562" s="13">
        <v>931.08</v>
      </c>
    </row>
    <row r="5563" s="6" customFormat="1" spans="1:2">
      <c r="A5563" s="12">
        <f>DATE(2012,12,31)-1243</f>
        <v>40031</v>
      </c>
      <c r="B5563" s="13">
        <v>177.88</v>
      </c>
    </row>
    <row r="5564" s="6" customFormat="1" spans="1:2">
      <c r="A5564" s="12">
        <f>DATE(2012,12,31)-1243</f>
        <v>40031</v>
      </c>
      <c r="B5564" s="13">
        <v>139.59</v>
      </c>
    </row>
    <row r="5565" s="6" customFormat="1" spans="1:2">
      <c r="A5565" s="12">
        <f>DATE(2012,12,31)-775</f>
        <v>40499</v>
      </c>
      <c r="B5565" s="13">
        <v>218.29</v>
      </c>
    </row>
    <row r="5566" s="6" customFormat="1" spans="1:2">
      <c r="A5566" s="12">
        <f>DATE(2012,12,31)-14</f>
        <v>41260</v>
      </c>
      <c r="B5566" s="13">
        <v>303.97</v>
      </c>
    </row>
    <row r="5567" s="6" customFormat="1" spans="1:2">
      <c r="A5567" s="12">
        <f>DATE(2012,12,31)-137</f>
        <v>41137</v>
      </c>
      <c r="B5567" s="13">
        <v>1267.4605</v>
      </c>
    </row>
    <row r="5568" spans="1:2">
      <c r="A5568" s="14">
        <f>DATE(2012,12,31)-1315</f>
        <v>39959</v>
      </c>
      <c r="B5568" s="15">
        <v>56.21</v>
      </c>
    </row>
    <row r="5569" s="6" customFormat="1" spans="1:2">
      <c r="A5569" s="12">
        <f>DATE(2012,12,31)-1297</f>
        <v>39977</v>
      </c>
      <c r="B5569" s="13">
        <v>877.97</v>
      </c>
    </row>
    <row r="5570" s="6" customFormat="1" spans="1:2">
      <c r="A5570" s="12">
        <f>DATE(2012,12,31)-578</f>
        <v>40696</v>
      </c>
      <c r="B5570" s="13">
        <v>4842.21</v>
      </c>
    </row>
    <row r="5571" spans="1:2">
      <c r="A5571" s="14">
        <f>DATE(2012,12,31)-1339</f>
        <v>39935</v>
      </c>
      <c r="B5571" s="15">
        <v>172.42</v>
      </c>
    </row>
    <row r="5572" s="6" customFormat="1" spans="1:2">
      <c r="A5572" s="12">
        <f>DATE(2012,12,31)-1339</f>
        <v>39935</v>
      </c>
      <c r="B5572" s="13">
        <v>2033.9225</v>
      </c>
    </row>
    <row r="5573" spans="1:2">
      <c r="A5573" s="14">
        <f>DATE(2012,12,31)-1288</f>
        <v>39986</v>
      </c>
      <c r="B5573" s="15">
        <v>92.4</v>
      </c>
    </row>
    <row r="5574" s="6" customFormat="1" spans="1:2">
      <c r="A5574" s="12">
        <f>DATE(2012,12,31)-141</f>
        <v>41133</v>
      </c>
      <c r="B5574" s="13">
        <v>456.03</v>
      </c>
    </row>
    <row r="5575" s="6" customFormat="1" spans="1:2">
      <c r="A5575" s="12">
        <f>DATE(2012,12,31)-141</f>
        <v>41133</v>
      </c>
      <c r="B5575" s="13">
        <v>2844.64</v>
      </c>
    </row>
    <row r="5576" s="6" customFormat="1" spans="1:2">
      <c r="A5576" s="12">
        <f>DATE(2012,12,31)-624</f>
        <v>40650</v>
      </c>
      <c r="B5576" s="13">
        <v>1541.92</v>
      </c>
    </row>
    <row r="5577" spans="1:2">
      <c r="A5577" s="14">
        <f>DATE(2012,12,31)-624</f>
        <v>40650</v>
      </c>
      <c r="B5577" s="15">
        <v>169.48</v>
      </c>
    </row>
    <row r="5578" s="6" customFormat="1" spans="1:2">
      <c r="A5578" s="12">
        <f>DATE(2012,12,31)-624</f>
        <v>40650</v>
      </c>
      <c r="B5578" s="13">
        <v>5347.9875</v>
      </c>
    </row>
    <row r="5579" spans="1:2">
      <c r="A5579" s="14">
        <f>DATE(2012,12,31)-1240</f>
        <v>40034</v>
      </c>
      <c r="B5579" s="15">
        <v>112.35</v>
      </c>
    </row>
    <row r="5580" s="6" customFormat="1" spans="1:2">
      <c r="A5580" s="12">
        <f>DATE(2012,12,31)-624</f>
        <v>40650</v>
      </c>
      <c r="B5580" s="13">
        <v>213.35</v>
      </c>
    </row>
    <row r="5581" s="6" customFormat="1" spans="1:2">
      <c r="A5581" s="12">
        <f>DATE(2012,12,31)-118</f>
        <v>41156</v>
      </c>
      <c r="B5581" s="13">
        <v>1112.54</v>
      </c>
    </row>
    <row r="5582" s="6" customFormat="1" spans="1:2">
      <c r="A5582" s="12">
        <f>DATE(2012,12,31)-368</f>
        <v>40906</v>
      </c>
      <c r="B5582" s="13">
        <v>166.17</v>
      </c>
    </row>
    <row r="5583" s="6" customFormat="1" spans="1:2">
      <c r="A5583" s="12">
        <f>DATE(2012,12,31)-592</f>
        <v>40682</v>
      </c>
      <c r="B5583" s="13">
        <v>10.48</v>
      </c>
    </row>
    <row r="5584" s="6" customFormat="1" spans="1:2">
      <c r="A5584" s="12">
        <f>DATE(2012,12,31)-1247</f>
        <v>40027</v>
      </c>
      <c r="B5584" s="13">
        <v>577.42</v>
      </c>
    </row>
    <row r="5585" s="6" customFormat="1" spans="1:2">
      <c r="A5585" s="12">
        <f>DATE(2012,12,31)-1247</f>
        <v>40027</v>
      </c>
      <c r="B5585" s="13">
        <v>95.08</v>
      </c>
    </row>
    <row r="5586" spans="1:2">
      <c r="A5586" s="14">
        <f>DATE(2012,12,31)-597</f>
        <v>40677</v>
      </c>
      <c r="B5586" s="15">
        <v>79.25</v>
      </c>
    </row>
    <row r="5587" s="6" customFormat="1" spans="1:2">
      <c r="A5587" s="12">
        <f>DATE(2012,12,31)-380</f>
        <v>40894</v>
      </c>
      <c r="B5587" s="13">
        <v>1283.68</v>
      </c>
    </row>
    <row r="5588" s="6" customFormat="1" spans="1:2">
      <c r="A5588" s="12">
        <f>DATE(2012,12,31)-380</f>
        <v>40894</v>
      </c>
      <c r="B5588" s="13">
        <v>169.46</v>
      </c>
    </row>
    <row r="5589" s="6" customFormat="1" spans="1:2">
      <c r="A5589" s="12">
        <f>DATE(2012,12,31)-362</f>
        <v>40912</v>
      </c>
      <c r="B5589" s="13">
        <v>742.8</v>
      </c>
    </row>
    <row r="5590" s="6" customFormat="1" spans="1:2">
      <c r="A5590" s="12">
        <f>DATE(2012,12,31)-1169</f>
        <v>40105</v>
      </c>
      <c r="B5590" s="13">
        <v>1351.653</v>
      </c>
    </row>
    <row r="5591" s="6" customFormat="1" spans="1:2">
      <c r="A5591" s="12">
        <f>DATE(2012,12,31)-1169</f>
        <v>40105</v>
      </c>
      <c r="B5591" s="13">
        <v>63</v>
      </c>
    </row>
    <row r="5592" s="6" customFormat="1" spans="1:2">
      <c r="A5592" s="12">
        <f>DATE(2012,12,31)-885</f>
        <v>40389</v>
      </c>
      <c r="B5592" s="13">
        <v>1004.89</v>
      </c>
    </row>
    <row r="5593" s="6" customFormat="1" spans="1:2">
      <c r="A5593" s="12">
        <f>DATE(2012,12,31)-885</f>
        <v>40389</v>
      </c>
      <c r="B5593" s="13">
        <v>329.06</v>
      </c>
    </row>
    <row r="5594" s="6" customFormat="1" spans="1:2">
      <c r="A5594" s="12">
        <f>DATE(2012,12,31)-241</f>
        <v>41033</v>
      </c>
      <c r="B5594" s="13">
        <v>14.61</v>
      </c>
    </row>
    <row r="5595" s="6" customFormat="1" spans="1:2">
      <c r="A5595" s="12">
        <f>DATE(2012,12,31)-241</f>
        <v>41033</v>
      </c>
      <c r="B5595" s="13">
        <v>665.7625</v>
      </c>
    </row>
    <row r="5596" s="6" customFormat="1" spans="1:2">
      <c r="A5596" s="12">
        <f>DATE(2012,12,31)-92</f>
        <v>41182</v>
      </c>
      <c r="B5596" s="13">
        <v>856.15</v>
      </c>
    </row>
    <row r="5597" s="6" customFormat="1" spans="1:2">
      <c r="A5597" s="12">
        <f>DATE(2012,12,31)-283</f>
        <v>40991</v>
      </c>
      <c r="B5597" s="13">
        <v>253.15</v>
      </c>
    </row>
    <row r="5598" s="6" customFormat="1" spans="1:2">
      <c r="A5598" s="12">
        <f>DATE(2012,12,31)-783</f>
        <v>40491</v>
      </c>
      <c r="B5598" s="13">
        <v>2337.89</v>
      </c>
    </row>
    <row r="5599" s="6" customFormat="1" spans="1:2">
      <c r="A5599" s="12">
        <f>DATE(2012,12,31)-509</f>
        <v>40765</v>
      </c>
      <c r="B5599" s="13">
        <v>615.58</v>
      </c>
    </row>
    <row r="5600" s="6" customFormat="1" spans="1:2">
      <c r="A5600" s="12">
        <f>DATE(2012,12,31)-509</f>
        <v>40765</v>
      </c>
      <c r="B5600" s="13">
        <v>8387.1</v>
      </c>
    </row>
    <row r="5601" s="6" customFormat="1" spans="1:2">
      <c r="A5601" s="12">
        <f>DATE(2012,12,31)-509</f>
        <v>40765</v>
      </c>
      <c r="B5601" s="13">
        <v>126.02</v>
      </c>
    </row>
    <row r="5602" s="6" customFormat="1" spans="1:2">
      <c r="A5602" s="12">
        <f>DATE(2012,12,31)-509</f>
        <v>40765</v>
      </c>
      <c r="B5602" s="13">
        <v>68.14</v>
      </c>
    </row>
    <row r="5603" spans="1:2">
      <c r="A5603" s="14">
        <f>DATE(2012,12,31)-206</f>
        <v>41068</v>
      </c>
      <c r="B5603" s="15">
        <v>738.8</v>
      </c>
    </row>
    <row r="5604" s="6" customFormat="1" spans="1:2">
      <c r="A5604" s="12">
        <f>DATE(2012,12,31)-206</f>
        <v>41068</v>
      </c>
      <c r="B5604" s="13">
        <v>2750.7105</v>
      </c>
    </row>
    <row r="5605" s="6" customFormat="1" spans="1:2">
      <c r="A5605" s="12">
        <f>DATE(2012,12,31)-1129</f>
        <v>40145</v>
      </c>
      <c r="B5605" s="13">
        <v>835.48</v>
      </c>
    </row>
    <row r="5606" s="6" customFormat="1" spans="1:2">
      <c r="A5606" s="12">
        <f>DATE(2012,12,31)-1274</f>
        <v>40000</v>
      </c>
      <c r="B5606" s="13">
        <v>63.61</v>
      </c>
    </row>
    <row r="5607" s="6" customFormat="1" spans="1:2">
      <c r="A5607" s="12">
        <f>DATE(2012,12,31)-1274</f>
        <v>40000</v>
      </c>
      <c r="B5607" s="13">
        <v>519.9535</v>
      </c>
    </row>
    <row r="5608" s="6" customFormat="1" spans="1:2">
      <c r="A5608" s="12">
        <f>DATE(2012,12,31)-1274</f>
        <v>40000</v>
      </c>
      <c r="B5608" s="13">
        <v>5636.3075</v>
      </c>
    </row>
    <row r="5609" s="6" customFormat="1" spans="1:2">
      <c r="A5609" s="12">
        <f>DATE(2012,12,31)-607</f>
        <v>40667</v>
      </c>
      <c r="B5609" s="13">
        <v>955.29</v>
      </c>
    </row>
    <row r="5610" s="6" customFormat="1" spans="1:2">
      <c r="A5610" s="12">
        <f>DATE(2012,12,31)-918</f>
        <v>40356</v>
      </c>
      <c r="B5610" s="13">
        <v>125.31</v>
      </c>
    </row>
    <row r="5611" s="6" customFormat="1" spans="1:2">
      <c r="A5611" s="12">
        <f>DATE(2012,12,31)-918</f>
        <v>40356</v>
      </c>
      <c r="B5611" s="13">
        <v>11277.05</v>
      </c>
    </row>
    <row r="5612" s="6" customFormat="1" spans="1:2">
      <c r="A5612" s="12">
        <f>DATE(2012,12,31)-918</f>
        <v>40356</v>
      </c>
      <c r="B5612" s="13">
        <v>110.64</v>
      </c>
    </row>
    <row r="5613" s="6" customFormat="1" spans="1:2">
      <c r="A5613" s="12">
        <f>DATE(2012,12,31)-1375</f>
        <v>39899</v>
      </c>
      <c r="B5613" s="13">
        <v>140.59</v>
      </c>
    </row>
    <row r="5614" spans="1:2">
      <c r="A5614" s="14">
        <f>DATE(2012,12,31)-1303</f>
        <v>39971</v>
      </c>
      <c r="B5614" s="15">
        <v>1683.69</v>
      </c>
    </row>
    <row r="5615" s="6" customFormat="1" spans="1:2">
      <c r="A5615" s="12">
        <f>DATE(2012,12,31)-1303</f>
        <v>39971</v>
      </c>
      <c r="B5615" s="13">
        <v>2208.31</v>
      </c>
    </row>
    <row r="5616" s="6" customFormat="1" spans="1:2">
      <c r="A5616" s="12">
        <f>DATE(2012,12,31)-102</f>
        <v>41172</v>
      </c>
      <c r="B5616" s="13">
        <v>82.43</v>
      </c>
    </row>
    <row r="5617" s="6" customFormat="1" spans="1:2">
      <c r="A5617" s="12">
        <f>DATE(2012,12,31)-102</f>
        <v>41172</v>
      </c>
      <c r="B5617" s="13">
        <v>295.97</v>
      </c>
    </row>
    <row r="5618" s="6" customFormat="1" spans="1:2">
      <c r="A5618" s="12">
        <f>DATE(2012,12,31)-102</f>
        <v>41172</v>
      </c>
      <c r="B5618" s="13">
        <v>94.5</v>
      </c>
    </row>
    <row r="5619" s="6" customFormat="1" spans="1:2">
      <c r="A5619" s="12">
        <f>DATE(2012,12,31)-120</f>
        <v>41154</v>
      </c>
      <c r="B5619" s="13">
        <v>2026.42</v>
      </c>
    </row>
    <row r="5620" s="6" customFormat="1" spans="1:2">
      <c r="A5620" s="12">
        <f>DATE(2012,12,31)-120</f>
        <v>41154</v>
      </c>
      <c r="B5620" s="13">
        <v>3413.4555</v>
      </c>
    </row>
    <row r="5621" s="6" customFormat="1" spans="1:2">
      <c r="A5621" s="12">
        <f>DATE(2012,12,31)-1290</f>
        <v>39984</v>
      </c>
      <c r="B5621" s="13">
        <v>323.63</v>
      </c>
    </row>
    <row r="5622" s="6" customFormat="1" spans="1:2">
      <c r="A5622" s="12">
        <f>DATE(2012,12,31)-333</f>
        <v>40941</v>
      </c>
      <c r="B5622" s="13">
        <v>314.34</v>
      </c>
    </row>
    <row r="5623" s="6" customFormat="1" spans="1:2">
      <c r="A5623" s="12">
        <f>DATE(2012,12,31)-1362</f>
        <v>39912</v>
      </c>
      <c r="B5623" s="13">
        <v>4075.376</v>
      </c>
    </row>
    <row r="5624" s="6" customFormat="1" spans="1:2">
      <c r="A5624" s="12">
        <f>DATE(2012,12,31)-1095</f>
        <v>40179</v>
      </c>
      <c r="B5624" s="13">
        <v>294.13</v>
      </c>
    </row>
    <row r="5625" s="6" customFormat="1" spans="1:2">
      <c r="A5625" s="12">
        <f>DATE(2012,12,31)-743</f>
        <v>40531</v>
      </c>
      <c r="B5625" s="13">
        <v>1554.21</v>
      </c>
    </row>
    <row r="5626" s="6" customFormat="1" spans="1:2">
      <c r="A5626" s="12">
        <f>DATE(2012,12,31)-743</f>
        <v>40531</v>
      </c>
      <c r="B5626" s="13">
        <v>1295.502</v>
      </c>
    </row>
    <row r="5627" spans="1:2">
      <c r="A5627" s="14">
        <f>DATE(2012,12,31)-1126</f>
        <v>40148</v>
      </c>
      <c r="B5627" s="15">
        <v>4387.24</v>
      </c>
    </row>
    <row r="5628" s="6" customFormat="1" spans="1:2">
      <c r="A5628" s="12">
        <f>DATE(2012,12,31)-1212</f>
        <v>40062</v>
      </c>
      <c r="B5628" s="13">
        <v>447.42</v>
      </c>
    </row>
    <row r="5629" s="6" customFormat="1" spans="1:2">
      <c r="A5629" s="12">
        <f>DATE(2012,12,31)-1403</f>
        <v>39871</v>
      </c>
      <c r="B5629" s="13">
        <v>71.47</v>
      </c>
    </row>
    <row r="5630" s="6" customFormat="1" spans="1:2">
      <c r="A5630" s="12">
        <f>DATE(2012,12,31)-1403</f>
        <v>39871</v>
      </c>
      <c r="B5630" s="13">
        <v>1372.14</v>
      </c>
    </row>
    <row r="5631" s="6" customFormat="1" spans="1:2">
      <c r="A5631" s="12">
        <f>DATE(2012,12,31)-1002</f>
        <v>40272</v>
      </c>
      <c r="B5631" s="13">
        <v>125.41</v>
      </c>
    </row>
    <row r="5632" s="6" customFormat="1" spans="1:2">
      <c r="A5632" s="12">
        <f>DATE(2012,12,31)-1002</f>
        <v>40272</v>
      </c>
      <c r="B5632" s="13">
        <v>3170.52</v>
      </c>
    </row>
    <row r="5633" s="6" customFormat="1" spans="1:2">
      <c r="A5633" s="12">
        <f>DATE(2012,12,31)-1002</f>
        <v>40272</v>
      </c>
      <c r="B5633" s="13">
        <v>2488.477</v>
      </c>
    </row>
    <row r="5634" s="6" customFormat="1" spans="1:2">
      <c r="A5634" s="12">
        <f>DATE(2012,12,31)-1043</f>
        <v>40231</v>
      </c>
      <c r="B5634" s="13">
        <v>16.24</v>
      </c>
    </row>
    <row r="5635" s="6" customFormat="1" spans="1:2">
      <c r="A5635" s="12">
        <f>DATE(2012,12,31)-262</f>
        <v>41012</v>
      </c>
      <c r="B5635" s="13">
        <v>16269.82</v>
      </c>
    </row>
    <row r="5636" s="6" customFormat="1" spans="1:2">
      <c r="A5636" s="12">
        <f>DATE(2012,12,31)-262</f>
        <v>41012</v>
      </c>
      <c r="B5636" s="13">
        <v>876.59</v>
      </c>
    </row>
    <row r="5637" s="6" customFormat="1" spans="1:2">
      <c r="A5637" s="12">
        <f>DATE(2012,12,31)-262</f>
        <v>41012</v>
      </c>
      <c r="B5637" s="13">
        <v>5000.87</v>
      </c>
    </row>
    <row r="5638" s="6" customFormat="1" spans="1:2">
      <c r="A5638" s="12">
        <f>DATE(2012,12,31)-137</f>
        <v>41137</v>
      </c>
      <c r="B5638" s="13">
        <v>90.88</v>
      </c>
    </row>
    <row r="5639" s="6" customFormat="1" spans="1:2">
      <c r="A5639" s="12">
        <f>DATE(2012,12,31)-667</f>
        <v>40607</v>
      </c>
      <c r="B5639" s="13">
        <v>7663.74</v>
      </c>
    </row>
    <row r="5640" s="6" customFormat="1" spans="1:2">
      <c r="A5640" s="12">
        <f>DATE(2012,12,31)-1428</f>
        <v>39846</v>
      </c>
      <c r="B5640" s="13">
        <v>363.92</v>
      </c>
    </row>
    <row r="5641" s="6" customFormat="1" spans="1:2">
      <c r="A5641" s="12">
        <f>DATE(2012,12,31)-1385</f>
        <v>39889</v>
      </c>
      <c r="B5641" s="13">
        <v>82.21</v>
      </c>
    </row>
    <row r="5642" s="6" customFormat="1" spans="1:2">
      <c r="A5642" s="12">
        <f>DATE(2012,12,31)-855</f>
        <v>40419</v>
      </c>
      <c r="B5642" s="13">
        <v>378.84</v>
      </c>
    </row>
    <row r="5643" s="6" customFormat="1" spans="1:2">
      <c r="A5643" s="12">
        <f>DATE(2012,12,31)-1331</f>
        <v>39943</v>
      </c>
      <c r="B5643" s="13">
        <v>753.75</v>
      </c>
    </row>
    <row r="5644" s="6" customFormat="1" spans="1:2">
      <c r="A5644" s="12">
        <f>DATE(2012,12,31)-676</f>
        <v>40598</v>
      </c>
      <c r="B5644" s="13">
        <v>7778.758</v>
      </c>
    </row>
    <row r="5645" s="6" customFormat="1" spans="1:2">
      <c r="A5645" s="12">
        <f>DATE(2012,12,31)-588</f>
        <v>40686</v>
      </c>
      <c r="B5645" s="13">
        <v>113.33</v>
      </c>
    </row>
    <row r="5646" s="6" customFormat="1" spans="1:2">
      <c r="A5646" s="12">
        <f>DATE(2012,12,31)-204</f>
        <v>41070</v>
      </c>
      <c r="B5646" s="13">
        <v>169.27</v>
      </c>
    </row>
    <row r="5647" s="6" customFormat="1" spans="1:2">
      <c r="A5647" s="12">
        <f>DATE(2012,12,31)-207</f>
        <v>41067</v>
      </c>
      <c r="B5647" s="13">
        <v>28.65</v>
      </c>
    </row>
    <row r="5648" s="6" customFormat="1" spans="1:2">
      <c r="A5648" s="12">
        <f>DATE(2012,12,31)-207</f>
        <v>41067</v>
      </c>
      <c r="B5648" s="13">
        <v>201.535</v>
      </c>
    </row>
    <row r="5649" s="6" customFormat="1" spans="1:2">
      <c r="A5649" s="12">
        <f>DATE(2012,12,31)-97</f>
        <v>41177</v>
      </c>
      <c r="B5649" s="13">
        <v>224.58</v>
      </c>
    </row>
    <row r="5650" s="6" customFormat="1" spans="1:2">
      <c r="A5650" s="12">
        <f>DATE(2012,12,31)-97</f>
        <v>41177</v>
      </c>
      <c r="B5650" s="13">
        <v>138.59</v>
      </c>
    </row>
    <row r="5651" s="6" customFormat="1" spans="1:2">
      <c r="A5651" s="12">
        <f>DATE(2012,12,31)-97</f>
        <v>41177</v>
      </c>
      <c r="B5651" s="13">
        <v>97.06</v>
      </c>
    </row>
    <row r="5652" s="6" customFormat="1" spans="1:2">
      <c r="A5652" s="12">
        <f>DATE(2012,12,31)-676</f>
        <v>40598</v>
      </c>
      <c r="B5652" s="13">
        <v>1736.53</v>
      </c>
    </row>
    <row r="5653" s="6" customFormat="1" spans="1:2">
      <c r="A5653" s="12">
        <f>DATE(2012,12,31)-890</f>
        <v>40384</v>
      </c>
      <c r="B5653" s="13">
        <v>873.82</v>
      </c>
    </row>
    <row r="5654" spans="1:2">
      <c r="A5654" s="14">
        <f>DATE(2012,12,31)-890</f>
        <v>40384</v>
      </c>
      <c r="B5654" s="15">
        <v>130.43</v>
      </c>
    </row>
    <row r="5655" s="6" customFormat="1" spans="1:2">
      <c r="A5655" s="12">
        <f>DATE(2012,12,31)-1295</f>
        <v>39979</v>
      </c>
      <c r="B5655" s="13">
        <v>157.99</v>
      </c>
    </row>
    <row r="5656" s="6" customFormat="1" spans="1:2">
      <c r="A5656" s="12">
        <f>DATE(2012,12,31)-1295</f>
        <v>39979</v>
      </c>
      <c r="B5656" s="13">
        <v>141.59</v>
      </c>
    </row>
    <row r="5657" s="6" customFormat="1" spans="1:2">
      <c r="A5657" s="12">
        <f>DATE(2012,12,31)-123</f>
        <v>41151</v>
      </c>
      <c r="B5657" s="13">
        <v>188.77</v>
      </c>
    </row>
    <row r="5658" s="6" customFormat="1" spans="1:2">
      <c r="A5658" s="12">
        <f>DATE(2012,12,31)-31</f>
        <v>41243</v>
      </c>
      <c r="B5658" s="13">
        <v>23300.12</v>
      </c>
    </row>
    <row r="5659" s="6" customFormat="1" spans="1:2">
      <c r="A5659" s="12">
        <f>DATE(2012,12,31)-662</f>
        <v>40612</v>
      </c>
      <c r="B5659" s="13">
        <v>603.69</v>
      </c>
    </row>
    <row r="5660" s="6" customFormat="1" spans="1:2">
      <c r="A5660" s="12">
        <f>DATE(2012,12,31)-938</f>
        <v>40336</v>
      </c>
      <c r="B5660" s="13">
        <v>568.3355</v>
      </c>
    </row>
    <row r="5661" s="6" customFormat="1" spans="1:2">
      <c r="A5661" s="12">
        <f>DATE(2012,12,31)-318</f>
        <v>40956</v>
      </c>
      <c r="B5661" s="13">
        <v>21141.07</v>
      </c>
    </row>
    <row r="5662" s="6" customFormat="1" spans="1:2">
      <c r="A5662" s="12">
        <f>DATE(2012,12,31)-318</f>
        <v>40956</v>
      </c>
      <c r="B5662" s="13">
        <v>76.8655</v>
      </c>
    </row>
    <row r="5663" s="6" customFormat="1" spans="1:2">
      <c r="A5663" s="12">
        <f>DATE(2012,12,31)-318</f>
        <v>40956</v>
      </c>
      <c r="B5663" s="13">
        <v>2157.3085</v>
      </c>
    </row>
    <row r="5664" s="6" customFormat="1" spans="1:2">
      <c r="A5664" s="12">
        <f>DATE(2012,12,31)-986</f>
        <v>40288</v>
      </c>
      <c r="B5664" s="13">
        <v>200.38</v>
      </c>
    </row>
    <row r="5665" s="6" customFormat="1" spans="1:2">
      <c r="A5665" s="12">
        <f>DATE(2012,12,31)-986</f>
        <v>40288</v>
      </c>
      <c r="B5665" s="13">
        <v>128.52</v>
      </c>
    </row>
    <row r="5666" s="6" customFormat="1" spans="1:2">
      <c r="A5666" s="12">
        <f>DATE(2012,12,31)-986</f>
        <v>40288</v>
      </c>
      <c r="B5666" s="13">
        <v>6717.784</v>
      </c>
    </row>
    <row r="5667" s="6" customFormat="1" spans="1:2">
      <c r="A5667" s="12">
        <f>DATE(2012,12,31)-1452</f>
        <v>39822</v>
      </c>
      <c r="B5667" s="13">
        <v>117.88</v>
      </c>
    </row>
    <row r="5668" s="6" customFormat="1" spans="1:2">
      <c r="A5668" s="12">
        <f>DATE(2012,12,31)-330</f>
        <v>40944</v>
      </c>
      <c r="B5668" s="13">
        <v>557.35</v>
      </c>
    </row>
    <row r="5669" s="6" customFormat="1" spans="1:2">
      <c r="A5669" s="12">
        <f>DATE(2012,12,31)-330</f>
        <v>40944</v>
      </c>
      <c r="B5669" s="13">
        <v>490.87</v>
      </c>
    </row>
    <row r="5670" spans="1:2">
      <c r="A5670" s="14">
        <f>DATE(2012,12,31)-331</f>
        <v>40943</v>
      </c>
      <c r="B5670" s="15">
        <v>1001.17</v>
      </c>
    </row>
    <row r="5671" s="6" customFormat="1" spans="1:2">
      <c r="A5671" s="12">
        <f>DATE(2012,12,31)-1430</f>
        <v>39844</v>
      </c>
      <c r="B5671" s="13">
        <v>2188.06</v>
      </c>
    </row>
    <row r="5672" s="6" customFormat="1" spans="1:2">
      <c r="A5672" s="12">
        <f>DATE(2012,12,31)-697</f>
        <v>40577</v>
      </c>
      <c r="B5672" s="13">
        <v>412.37</v>
      </c>
    </row>
    <row r="5673" s="6" customFormat="1" spans="1:2">
      <c r="A5673" s="12">
        <f>DATE(2012,12,31)-829</f>
        <v>40445</v>
      </c>
      <c r="B5673" s="13">
        <v>353.02</v>
      </c>
    </row>
    <row r="5674" s="6" customFormat="1" spans="1:2">
      <c r="A5674" s="12">
        <f>DATE(2012,12,31)-1421</f>
        <v>39853</v>
      </c>
      <c r="B5674" s="13">
        <v>10318.72</v>
      </c>
    </row>
    <row r="5675" s="6" customFormat="1" spans="1:2">
      <c r="A5675" s="12">
        <f>DATE(2012,12,31)-243</f>
        <v>41031</v>
      </c>
      <c r="B5675" s="13">
        <v>222.43</v>
      </c>
    </row>
    <row r="5676" s="6" customFormat="1" spans="1:2">
      <c r="A5676" s="12">
        <f>DATE(2012,12,31)-312</f>
        <v>40962</v>
      </c>
      <c r="B5676" s="13">
        <v>1363</v>
      </c>
    </row>
    <row r="5677" s="6" customFormat="1" spans="1:2">
      <c r="A5677" s="12">
        <f>DATE(2012,12,31)-312</f>
        <v>40962</v>
      </c>
      <c r="B5677" s="13">
        <v>4698.5</v>
      </c>
    </row>
    <row r="5678" s="6" customFormat="1" spans="1:2">
      <c r="A5678" s="12">
        <f>DATE(2012,12,31)-312</f>
        <v>40962</v>
      </c>
      <c r="B5678" s="13">
        <v>347.47</v>
      </c>
    </row>
    <row r="5679" s="6" customFormat="1" spans="1:2">
      <c r="A5679" s="12">
        <f>DATE(2012,12,31)-449</f>
        <v>40825</v>
      </c>
      <c r="B5679" s="13">
        <v>109.37</v>
      </c>
    </row>
    <row r="5680" s="6" customFormat="1" spans="1:2">
      <c r="A5680" s="12">
        <f>DATE(2012,12,31)-449</f>
        <v>40825</v>
      </c>
      <c r="B5680" s="13">
        <v>1461.1</v>
      </c>
    </row>
    <row r="5681" s="6" customFormat="1" spans="1:2">
      <c r="A5681" s="12">
        <f>DATE(2012,12,31)-449</f>
        <v>40825</v>
      </c>
      <c r="B5681" s="13">
        <v>9.75</v>
      </c>
    </row>
    <row r="5682" s="6" customFormat="1" spans="1:2">
      <c r="A5682" s="12">
        <f>DATE(2012,12,31)-1173</f>
        <v>40101</v>
      </c>
      <c r="B5682" s="13">
        <v>1404.22</v>
      </c>
    </row>
    <row r="5683" s="6" customFormat="1" spans="1:2">
      <c r="A5683" s="12">
        <f>DATE(2012,12,31)-1072</f>
        <v>40202</v>
      </c>
      <c r="B5683" s="13">
        <v>1581.23</v>
      </c>
    </row>
    <row r="5684" s="6" customFormat="1" spans="1:2">
      <c r="A5684" s="12">
        <f>DATE(2012,12,31)-996</f>
        <v>40278</v>
      </c>
      <c r="B5684" s="13">
        <v>184.07</v>
      </c>
    </row>
    <row r="5685" s="6" customFormat="1" spans="1:2">
      <c r="A5685" s="12">
        <f>DATE(2012,12,31)-670</f>
        <v>40604</v>
      </c>
      <c r="B5685" s="13">
        <v>421.36</v>
      </c>
    </row>
    <row r="5686" s="6" customFormat="1" spans="1:2">
      <c r="A5686" s="12">
        <f>DATE(2012,12,31)-120</f>
        <v>41154</v>
      </c>
      <c r="B5686" s="13">
        <v>3130.2015</v>
      </c>
    </row>
    <row r="5687" s="6" customFormat="1" spans="1:2">
      <c r="A5687" s="12">
        <f>DATE(2012,12,31)-817</f>
        <v>40457</v>
      </c>
      <c r="B5687" s="13">
        <v>4506.85</v>
      </c>
    </row>
    <row r="5688" s="6" customFormat="1" spans="1:2">
      <c r="A5688" s="12">
        <f>DATE(2012,12,31)-817</f>
        <v>40457</v>
      </c>
      <c r="B5688" s="13">
        <v>2110.37</v>
      </c>
    </row>
    <row r="5689" s="6" customFormat="1" spans="1:2">
      <c r="A5689" s="12">
        <f>DATE(2012,12,31)-817</f>
        <v>40457</v>
      </c>
      <c r="B5689" s="13">
        <v>1094.9105</v>
      </c>
    </row>
    <row r="5690" s="6" customFormat="1" spans="1:2">
      <c r="A5690" s="12">
        <f>DATE(2012,12,31)-1280</f>
        <v>39994</v>
      </c>
      <c r="B5690" s="13">
        <v>890.9</v>
      </c>
    </row>
    <row r="5691" s="6" customFormat="1" spans="1:2">
      <c r="A5691" s="12">
        <f>DATE(2012,12,31)-722</f>
        <v>40552</v>
      </c>
      <c r="B5691" s="13">
        <v>839.07</v>
      </c>
    </row>
    <row r="5692" s="6" customFormat="1" spans="1:2">
      <c r="A5692" s="12">
        <f>DATE(2012,12,31)-722</f>
        <v>40552</v>
      </c>
      <c r="B5692" s="13">
        <v>5643.49</v>
      </c>
    </row>
    <row r="5693" s="6" customFormat="1" spans="1:2">
      <c r="A5693" s="12">
        <f>DATE(2012,12,31)-863</f>
        <v>40411</v>
      </c>
      <c r="B5693" s="13">
        <v>3201.16</v>
      </c>
    </row>
    <row r="5694" s="6" customFormat="1" spans="1:2">
      <c r="A5694" s="12">
        <f>DATE(2012,12,31)-1362</f>
        <v>39912</v>
      </c>
      <c r="B5694" s="13">
        <v>449.47</v>
      </c>
    </row>
    <row r="5695" s="6" customFormat="1" spans="1:2">
      <c r="A5695" s="12">
        <f>DATE(2012,12,31)-1362</f>
        <v>39912</v>
      </c>
      <c r="B5695" s="13">
        <v>80.61</v>
      </c>
    </row>
    <row r="5696" s="6" customFormat="1" spans="1:2">
      <c r="A5696" s="12">
        <f>DATE(2012,12,31)-811</f>
        <v>40463</v>
      </c>
      <c r="B5696" s="13">
        <v>29.05</v>
      </c>
    </row>
    <row r="5697" s="6" customFormat="1" spans="1:2">
      <c r="A5697" s="12">
        <f>DATE(2012,12,31)-1153</f>
        <v>40121</v>
      </c>
      <c r="B5697" s="13">
        <v>331.37</v>
      </c>
    </row>
    <row r="5698" s="6" customFormat="1" spans="1:2">
      <c r="A5698" s="12">
        <f>DATE(2012,12,31)-1153</f>
        <v>40121</v>
      </c>
      <c r="B5698" s="13">
        <v>78.03</v>
      </c>
    </row>
    <row r="5699" spans="1:2">
      <c r="A5699" s="14">
        <f>DATE(2012,12,31)-35</f>
        <v>41239</v>
      </c>
      <c r="B5699" s="15">
        <v>78.09</v>
      </c>
    </row>
    <row r="5700" spans="1:2">
      <c r="A5700" s="14">
        <f>DATE(2012,12,31)-35</f>
        <v>41239</v>
      </c>
      <c r="B5700" s="15">
        <v>42.77</v>
      </c>
    </row>
    <row r="5701" s="6" customFormat="1" spans="1:2">
      <c r="A5701" s="12">
        <f>DATE(2012,12,31)-922</f>
        <v>40352</v>
      </c>
      <c r="B5701" s="13">
        <v>1484.49</v>
      </c>
    </row>
    <row r="5702" s="6" customFormat="1" spans="1:2">
      <c r="A5702" s="12">
        <f>DATE(2012,12,31)-922</f>
        <v>40352</v>
      </c>
      <c r="B5702" s="13">
        <v>740.49</v>
      </c>
    </row>
    <row r="5703" spans="1:2">
      <c r="A5703" s="14">
        <f>DATE(2012,12,31)-598</f>
        <v>40676</v>
      </c>
      <c r="B5703" s="15">
        <v>152.55</v>
      </c>
    </row>
    <row r="5704" spans="1:2">
      <c r="A5704" s="14">
        <f>DATE(2012,12,31)-598</f>
        <v>40676</v>
      </c>
      <c r="B5704" s="15">
        <v>152.96</v>
      </c>
    </row>
    <row r="5705" spans="1:2">
      <c r="A5705" s="14">
        <f>DATE(2012,12,31)-1458</f>
        <v>39816</v>
      </c>
      <c r="B5705" s="15">
        <v>172.51</v>
      </c>
    </row>
    <row r="5706" s="6" customFormat="1" spans="1:2">
      <c r="A5706" s="12">
        <f>DATE(2012,12,31)-1458</f>
        <v>39816</v>
      </c>
      <c r="B5706" s="13">
        <v>698</v>
      </c>
    </row>
    <row r="5707" s="6" customFormat="1" spans="1:2">
      <c r="A5707" s="12">
        <f>DATE(2012,12,31)-1108</f>
        <v>40166</v>
      </c>
      <c r="B5707" s="13">
        <v>201.98</v>
      </c>
    </row>
    <row r="5708" s="6" customFormat="1" spans="1:2">
      <c r="A5708" s="12">
        <f>DATE(2012,12,31)-163</f>
        <v>41111</v>
      </c>
      <c r="B5708" s="13">
        <v>240.49</v>
      </c>
    </row>
    <row r="5709" s="6" customFormat="1" spans="1:2">
      <c r="A5709" s="12">
        <f>DATE(2012,12,31)-682</f>
        <v>40592</v>
      </c>
      <c r="B5709" s="13">
        <v>2905.3</v>
      </c>
    </row>
    <row r="5710" s="6" customFormat="1" spans="1:2">
      <c r="A5710" s="12">
        <f>DATE(2012,12,31)-160</f>
        <v>41114</v>
      </c>
      <c r="B5710" s="13">
        <v>67.73</v>
      </c>
    </row>
    <row r="5711" s="6" customFormat="1" spans="1:2">
      <c r="A5711" s="12">
        <f>DATE(2012,12,31)-721</f>
        <v>40553</v>
      </c>
      <c r="B5711" s="13">
        <v>59.08</v>
      </c>
    </row>
    <row r="5712" s="6" customFormat="1" spans="1:2">
      <c r="A5712" s="12">
        <f>DATE(2012,12,31)-721</f>
        <v>40553</v>
      </c>
      <c r="B5712" s="13">
        <v>886.363</v>
      </c>
    </row>
    <row r="5713" s="6" customFormat="1" spans="1:2">
      <c r="A5713" s="12">
        <f>DATE(2012,12,31)-532</f>
        <v>40742</v>
      </c>
      <c r="B5713" s="13">
        <v>2192.439</v>
      </c>
    </row>
    <row r="5714" s="6" customFormat="1" spans="1:2">
      <c r="A5714" s="12">
        <f>DATE(2012,12,31)-620</f>
        <v>40654</v>
      </c>
      <c r="B5714" s="13">
        <v>1243.88</v>
      </c>
    </row>
    <row r="5715" spans="1:2">
      <c r="A5715" s="14">
        <f>DATE(2012,12,31)-390</f>
        <v>40884</v>
      </c>
      <c r="B5715" s="15">
        <v>7608.88</v>
      </c>
    </row>
    <row r="5716" s="6" customFormat="1" spans="1:2">
      <c r="A5716" s="12">
        <f>DATE(2012,12,31)-390</f>
        <v>40884</v>
      </c>
      <c r="B5716" s="13">
        <v>1270.03</v>
      </c>
    </row>
    <row r="5717" s="6" customFormat="1" spans="1:2">
      <c r="A5717" s="12">
        <f>DATE(2012,12,31)-1100</f>
        <v>40174</v>
      </c>
      <c r="B5717" s="13">
        <v>222.25</v>
      </c>
    </row>
    <row r="5718" s="6" customFormat="1" spans="1:2">
      <c r="A5718" s="12">
        <f>DATE(2012,12,31)-1100</f>
        <v>40174</v>
      </c>
      <c r="B5718" s="13">
        <v>388.7135</v>
      </c>
    </row>
    <row r="5719" s="6" customFormat="1" spans="1:2">
      <c r="A5719" s="12">
        <f>DATE(2012,12,31)-836</f>
        <v>40438</v>
      </c>
      <c r="B5719" s="13">
        <v>405.83</v>
      </c>
    </row>
    <row r="5720" s="6" customFormat="1" spans="1:2">
      <c r="A5720" s="12">
        <f>DATE(2012,12,31)-1389</f>
        <v>39885</v>
      </c>
      <c r="B5720" s="13">
        <v>17.52</v>
      </c>
    </row>
    <row r="5721" s="6" customFormat="1" spans="1:2">
      <c r="A5721" s="12">
        <f>DATE(2012,12,31)-741</f>
        <v>40533</v>
      </c>
      <c r="B5721" s="13">
        <v>82.93</v>
      </c>
    </row>
    <row r="5722" s="6" customFormat="1" spans="1:2">
      <c r="A5722" s="12">
        <f>DATE(2012,12,31)-1365</f>
        <v>39909</v>
      </c>
      <c r="B5722" s="13">
        <v>2413.53</v>
      </c>
    </row>
    <row r="5723" s="6" customFormat="1" spans="1:2">
      <c r="A5723" s="12">
        <f>DATE(2012,12,31)-1271</f>
        <v>40003</v>
      </c>
      <c r="B5723" s="13">
        <v>6944.092</v>
      </c>
    </row>
    <row r="5724" s="6" customFormat="1" spans="1:2">
      <c r="A5724" s="12">
        <f>DATE(2012,12,31)-134</f>
        <v>41140</v>
      </c>
      <c r="B5724" s="13">
        <v>573.97</v>
      </c>
    </row>
    <row r="5725" s="6" customFormat="1" spans="1:2">
      <c r="A5725" s="12">
        <f>DATE(2012,12,31)-134</f>
        <v>41140</v>
      </c>
      <c r="B5725" s="13">
        <v>223.79</v>
      </c>
    </row>
    <row r="5726" s="6" customFormat="1" spans="1:2">
      <c r="A5726" s="12">
        <f>DATE(2012,12,31)-278</f>
        <v>40996</v>
      </c>
      <c r="B5726" s="13">
        <v>66.83</v>
      </c>
    </row>
    <row r="5727" s="6" customFormat="1" spans="1:2">
      <c r="A5727" s="12">
        <f>DATE(2012,12,31)-278</f>
        <v>40996</v>
      </c>
      <c r="B5727" s="13">
        <v>1407.515</v>
      </c>
    </row>
    <row r="5728" s="6" customFormat="1" spans="1:2">
      <c r="A5728" s="12">
        <f>DATE(2012,12,31)-672</f>
        <v>40602</v>
      </c>
      <c r="B5728" s="13">
        <v>19.2</v>
      </c>
    </row>
    <row r="5729" s="6" customFormat="1" spans="1:2">
      <c r="A5729" s="12">
        <f>DATE(2012,12,31)-636</f>
        <v>40638</v>
      </c>
      <c r="B5729" s="13">
        <v>258.74</v>
      </c>
    </row>
    <row r="5730" s="6" customFormat="1" spans="1:2">
      <c r="A5730" s="12">
        <f>DATE(2012,12,31)-1232</f>
        <v>40042</v>
      </c>
      <c r="B5730" s="13">
        <v>1982.16</v>
      </c>
    </row>
    <row r="5731" s="6" customFormat="1" spans="1:2">
      <c r="A5731" s="12">
        <f>DATE(2012,12,31)-63</f>
        <v>41211</v>
      </c>
      <c r="B5731" s="13">
        <v>1617.91</v>
      </c>
    </row>
    <row r="5732" s="6" customFormat="1" spans="1:2">
      <c r="A5732" s="12">
        <f>DATE(2012,12,31)-318</f>
        <v>40956</v>
      </c>
      <c r="B5732" s="13">
        <v>157.49</v>
      </c>
    </row>
    <row r="5733" s="6" customFormat="1" spans="1:2">
      <c r="A5733" s="12">
        <f>DATE(2012,12,31)-978</f>
        <v>40296</v>
      </c>
      <c r="B5733" s="13">
        <v>2753.07</v>
      </c>
    </row>
    <row r="5734" s="6" customFormat="1" spans="1:2">
      <c r="A5734" s="12">
        <f>DATE(2012,12,31)-1454</f>
        <v>39820</v>
      </c>
      <c r="B5734" s="13">
        <v>11.57</v>
      </c>
    </row>
    <row r="5735" s="6" customFormat="1" spans="1:2">
      <c r="A5735" s="12">
        <f>DATE(2012,12,31)-345</f>
        <v>40929</v>
      </c>
      <c r="B5735" s="13">
        <v>111.04</v>
      </c>
    </row>
    <row r="5736" s="6" customFormat="1" spans="1:2">
      <c r="A5736" s="12">
        <f>DATE(2012,12,31)-1299</f>
        <v>39975</v>
      </c>
      <c r="B5736" s="13">
        <v>1495.184</v>
      </c>
    </row>
    <row r="5737" s="6" customFormat="1" spans="1:2">
      <c r="A5737" s="12">
        <f>DATE(2012,12,31)-1176</f>
        <v>40098</v>
      </c>
      <c r="B5737" s="13">
        <v>103.55</v>
      </c>
    </row>
    <row r="5738" s="6" customFormat="1" spans="1:2">
      <c r="A5738" s="12">
        <f>DATE(2012,12,31)-625</f>
        <v>40649</v>
      </c>
      <c r="B5738" s="13">
        <v>217.69</v>
      </c>
    </row>
    <row r="5739" s="6" customFormat="1" spans="1:2">
      <c r="A5739" s="12">
        <f>DATE(2012,12,31)-322</f>
        <v>40952</v>
      </c>
      <c r="B5739" s="13">
        <v>128.27</v>
      </c>
    </row>
    <row r="5740" s="6" customFormat="1" spans="1:2">
      <c r="A5740" s="12">
        <f>DATE(2012,12,31)-775</f>
        <v>40499</v>
      </c>
      <c r="B5740" s="13">
        <v>279.63</v>
      </c>
    </row>
    <row r="5741" spans="1:2">
      <c r="A5741" s="14">
        <f>DATE(2012,12,31)-758</f>
        <v>40516</v>
      </c>
      <c r="B5741" s="15">
        <v>260.31</v>
      </c>
    </row>
    <row r="5742" spans="1:2">
      <c r="A5742" s="14">
        <f>DATE(2012,12,31)-758</f>
        <v>40516</v>
      </c>
      <c r="B5742" s="15">
        <v>101.34</v>
      </c>
    </row>
    <row r="5743" s="6" customFormat="1" spans="1:2">
      <c r="A5743" s="12">
        <f>DATE(2012,12,31)-183</f>
        <v>41091</v>
      </c>
      <c r="B5743" s="13">
        <v>129.16</v>
      </c>
    </row>
    <row r="5744" s="6" customFormat="1" spans="1:2">
      <c r="A5744" s="12">
        <f>DATE(2012,12,31)-119</f>
        <v>41155</v>
      </c>
      <c r="B5744" s="13">
        <v>3361.02</v>
      </c>
    </row>
    <row r="5745" s="6" customFormat="1" spans="1:2">
      <c r="A5745" s="12">
        <f>DATE(2012,12,31)-628</f>
        <v>40646</v>
      </c>
      <c r="B5745" s="13">
        <v>83.02</v>
      </c>
    </row>
    <row r="5746" s="6" customFormat="1" spans="1:2">
      <c r="A5746" s="12">
        <f>DATE(2012,12,31)-628</f>
        <v>40646</v>
      </c>
      <c r="B5746" s="13">
        <v>10278.79</v>
      </c>
    </row>
    <row r="5747" s="6" customFormat="1" spans="1:2">
      <c r="A5747" s="12">
        <f>DATE(2012,12,31)-1025</f>
        <v>40249</v>
      </c>
      <c r="B5747" s="13">
        <v>4273.8</v>
      </c>
    </row>
    <row r="5748" s="6" customFormat="1" spans="1:2">
      <c r="A5748" s="12">
        <f>DATE(2012,12,31)-482</f>
        <v>40792</v>
      </c>
      <c r="B5748" s="13">
        <v>53.14</v>
      </c>
    </row>
    <row r="5749" s="6" customFormat="1" spans="1:2">
      <c r="A5749" s="12">
        <f>DATE(2012,12,31)-1008</f>
        <v>40266</v>
      </c>
      <c r="B5749" s="13">
        <v>447.23</v>
      </c>
    </row>
    <row r="5750" s="6" customFormat="1" spans="1:2">
      <c r="A5750" s="12">
        <f>DATE(2012,12,31)-900</f>
        <v>40374</v>
      </c>
      <c r="B5750" s="13">
        <v>2688.0825</v>
      </c>
    </row>
    <row r="5751" spans="1:2">
      <c r="A5751" s="14">
        <f>DATE(2012,12,31)-1133</f>
        <v>40141</v>
      </c>
      <c r="B5751" s="15">
        <v>393.59</v>
      </c>
    </row>
    <row r="5752" s="6" customFormat="1" spans="1:2">
      <c r="A5752" s="12">
        <f>DATE(2012,12,31)-1133</f>
        <v>40141</v>
      </c>
      <c r="B5752" s="13">
        <v>551.18</v>
      </c>
    </row>
    <row r="5753" spans="1:2">
      <c r="A5753" s="14">
        <f>DATE(2012,12,31)-1133</f>
        <v>40141</v>
      </c>
      <c r="B5753" s="15">
        <v>18.73</v>
      </c>
    </row>
    <row r="5754" s="6" customFormat="1" spans="1:2">
      <c r="A5754" s="12">
        <f>DATE(2012,12,31)-35</f>
        <v>41239</v>
      </c>
      <c r="B5754" s="13">
        <v>323.96</v>
      </c>
    </row>
    <row r="5755" s="6" customFormat="1" spans="1:2">
      <c r="A5755" s="12">
        <f>DATE(2012,12,31)-35</f>
        <v>41239</v>
      </c>
      <c r="B5755" s="13">
        <v>175.8565</v>
      </c>
    </row>
    <row r="5756" s="6" customFormat="1" spans="1:2">
      <c r="A5756" s="12">
        <f>DATE(2012,12,31)-275</f>
        <v>40999</v>
      </c>
      <c r="B5756" s="13">
        <v>2732.01</v>
      </c>
    </row>
    <row r="5757" s="6" customFormat="1" spans="1:2">
      <c r="A5757" s="12">
        <f>DATE(2012,12,31)-953</f>
        <v>40321</v>
      </c>
      <c r="B5757" s="13">
        <v>907.18</v>
      </c>
    </row>
    <row r="5758" s="6" customFormat="1" spans="1:2">
      <c r="A5758" s="12">
        <f>DATE(2012,12,31)-386</f>
        <v>40888</v>
      </c>
      <c r="B5758" s="13">
        <v>12858.88</v>
      </c>
    </row>
    <row r="5759" s="6" customFormat="1" spans="1:2">
      <c r="A5759" s="12">
        <f>DATE(2012,12,31)-386</f>
        <v>40888</v>
      </c>
      <c r="B5759" s="13">
        <v>146.69</v>
      </c>
    </row>
    <row r="5760" spans="1:2">
      <c r="A5760" s="14">
        <f>DATE(2012,12,31)-475</f>
        <v>40799</v>
      </c>
      <c r="B5760" s="15">
        <v>294.04</v>
      </c>
    </row>
    <row r="5761" s="6" customFormat="1" spans="1:2">
      <c r="A5761" s="12">
        <f>DATE(2012,12,31)-475</f>
        <v>40799</v>
      </c>
      <c r="B5761" s="13">
        <v>2022.65</v>
      </c>
    </row>
    <row r="5762" spans="1:2">
      <c r="A5762" s="14">
        <f>DATE(2012,12,31)-486</f>
        <v>40788</v>
      </c>
      <c r="B5762" s="15">
        <v>155.73</v>
      </c>
    </row>
    <row r="5763" s="6" customFormat="1" spans="1:2">
      <c r="A5763" s="12">
        <f>DATE(2012,12,31)-155</f>
        <v>41119</v>
      </c>
      <c r="B5763" s="13">
        <v>273.14</v>
      </c>
    </row>
    <row r="5764" s="6" customFormat="1" spans="1:2">
      <c r="A5764" s="12">
        <f>DATE(2012,12,31)-155</f>
        <v>41119</v>
      </c>
      <c r="B5764" s="13">
        <v>3100.1115</v>
      </c>
    </row>
    <row r="5765" s="6" customFormat="1" spans="1:2">
      <c r="A5765" s="12">
        <f>DATE(2012,12,31)-1273</f>
        <v>40001</v>
      </c>
      <c r="B5765" s="13">
        <v>192.18</v>
      </c>
    </row>
    <row r="5766" s="6" customFormat="1" spans="1:2">
      <c r="A5766" s="12">
        <f>DATE(2012,12,31)-1206</f>
        <v>40068</v>
      </c>
      <c r="B5766" s="13">
        <v>292.3405</v>
      </c>
    </row>
    <row r="5767" s="6" customFormat="1" spans="1:2">
      <c r="A5767" s="12">
        <f>DATE(2012,12,31)-218</f>
        <v>41056</v>
      </c>
      <c r="B5767" s="13">
        <v>95.43</v>
      </c>
    </row>
    <row r="5768" s="6" customFormat="1" spans="1:2">
      <c r="A5768" s="12">
        <f>DATE(2012,12,31)-414</f>
        <v>40860</v>
      </c>
      <c r="B5768" s="13">
        <v>49.49</v>
      </c>
    </row>
    <row r="5769" s="6" customFormat="1" spans="1:2">
      <c r="A5769" s="12">
        <f>DATE(2012,12,31)-414</f>
        <v>40860</v>
      </c>
      <c r="B5769" s="13">
        <v>404.1495</v>
      </c>
    </row>
    <row r="5770" spans="1:2">
      <c r="A5770" s="14">
        <f>DATE(2012,12,31)-642</f>
        <v>40632</v>
      </c>
      <c r="B5770" s="15">
        <v>23.84</v>
      </c>
    </row>
    <row r="5771" s="6" customFormat="1" spans="1:2">
      <c r="A5771" s="12">
        <f>DATE(2012,12,31)-680</f>
        <v>40594</v>
      </c>
      <c r="B5771" s="13">
        <v>1553.66</v>
      </c>
    </row>
    <row r="5772" s="6" customFormat="1" spans="1:2">
      <c r="A5772" s="12">
        <f>DATE(2012,12,31)-680</f>
        <v>40594</v>
      </c>
      <c r="B5772" s="13">
        <v>3276.9965</v>
      </c>
    </row>
    <row r="5773" s="6" customFormat="1" spans="1:2">
      <c r="A5773" s="12">
        <f>DATE(2012,12,31)-588</f>
        <v>40686</v>
      </c>
      <c r="B5773" s="13">
        <v>301.12</v>
      </c>
    </row>
    <row r="5774" s="6" customFormat="1" spans="1:2">
      <c r="A5774" s="12">
        <f>DATE(2012,12,31)-1137</f>
        <v>40137</v>
      </c>
      <c r="B5774" s="13">
        <v>7227.42</v>
      </c>
    </row>
    <row r="5775" s="6" customFormat="1" spans="1:2">
      <c r="A5775" s="12">
        <f>DATE(2012,12,31)-1137</f>
        <v>40137</v>
      </c>
      <c r="B5775" s="13">
        <v>1836.187</v>
      </c>
    </row>
    <row r="5776" s="6" customFormat="1" spans="1:2">
      <c r="A5776" s="12">
        <f>DATE(2012,12,31)-1137</f>
        <v>40137</v>
      </c>
      <c r="B5776" s="13">
        <v>843.55</v>
      </c>
    </row>
    <row r="5777" spans="1:2">
      <c r="A5777" s="14">
        <f>DATE(2012,12,31)-83</f>
        <v>41191</v>
      </c>
      <c r="B5777" s="15">
        <v>793.04</v>
      </c>
    </row>
    <row r="5778" spans="1:2">
      <c r="A5778" s="14">
        <f>DATE(2012,12,31)-1350</f>
        <v>39924</v>
      </c>
      <c r="B5778" s="15">
        <v>382.29</v>
      </c>
    </row>
    <row r="5779" spans="1:2">
      <c r="A5779" s="14">
        <f>DATE(2012,12,31)-1350</f>
        <v>39924</v>
      </c>
      <c r="B5779" s="15">
        <v>881.74</v>
      </c>
    </row>
    <row r="5780" spans="1:2">
      <c r="A5780" s="14">
        <f>DATE(2012,12,31)-1350</f>
        <v>39924</v>
      </c>
      <c r="B5780" s="15">
        <v>22.61</v>
      </c>
    </row>
    <row r="5781" s="6" customFormat="1" spans="1:2">
      <c r="A5781" s="12">
        <f>DATE(2012,12,31)-1350</f>
        <v>39924</v>
      </c>
      <c r="B5781" s="13">
        <v>7384.18</v>
      </c>
    </row>
    <row r="5782" s="6" customFormat="1" spans="1:2">
      <c r="A5782" s="12">
        <f>DATE(2012,12,31)-1339</f>
        <v>39935</v>
      </c>
      <c r="B5782" s="13">
        <v>1233.22</v>
      </c>
    </row>
    <row r="5783" s="6" customFormat="1" spans="1:2">
      <c r="A5783" s="12">
        <f>DATE(2012,12,31)-1339</f>
        <v>39935</v>
      </c>
      <c r="B5783" s="13">
        <v>144.82</v>
      </c>
    </row>
    <row r="5784" s="6" customFormat="1" spans="1:2">
      <c r="A5784" s="12">
        <f>DATE(2012,12,31)-622</f>
        <v>40652</v>
      </c>
      <c r="B5784" s="13">
        <v>709.37</v>
      </c>
    </row>
    <row r="5785" spans="1:2">
      <c r="A5785" s="14">
        <f>DATE(2012,12,31)-622</f>
        <v>40652</v>
      </c>
      <c r="B5785" s="15">
        <v>59.76</v>
      </c>
    </row>
    <row r="5786" s="6" customFormat="1" spans="1:2">
      <c r="A5786" s="12">
        <f>DATE(2012,12,31)-280</f>
        <v>40994</v>
      </c>
      <c r="B5786" s="13">
        <v>137.54</v>
      </c>
    </row>
    <row r="5787" s="6" customFormat="1" spans="1:2">
      <c r="A5787" s="12">
        <f>DATE(2012,12,31)-839</f>
        <v>40435</v>
      </c>
      <c r="B5787" s="13">
        <v>363.16</v>
      </c>
    </row>
    <row r="5788" s="6" customFormat="1" spans="1:2">
      <c r="A5788" s="12">
        <f>DATE(2012,12,31)-839</f>
        <v>40435</v>
      </c>
      <c r="B5788" s="13">
        <v>12571.63</v>
      </c>
    </row>
    <row r="5789" s="6" customFormat="1" spans="1:2">
      <c r="A5789" s="12">
        <f>DATE(2012,12,31)-839</f>
        <v>40435</v>
      </c>
      <c r="B5789" s="13">
        <v>128.86</v>
      </c>
    </row>
    <row r="5790" s="6" customFormat="1" spans="1:2">
      <c r="A5790" s="12">
        <f>DATE(2012,12,31)-839</f>
        <v>40435</v>
      </c>
      <c r="B5790" s="13">
        <v>17884.53</v>
      </c>
    </row>
    <row r="5791" s="6" customFormat="1" spans="1:2">
      <c r="A5791" s="12">
        <f>DATE(2012,12,31)-40</f>
        <v>41234</v>
      </c>
      <c r="B5791" s="13">
        <v>483.96</v>
      </c>
    </row>
    <row r="5792" s="6" customFormat="1" spans="1:2">
      <c r="A5792" s="12">
        <f>DATE(2012,12,31)-40</f>
        <v>41234</v>
      </c>
      <c r="B5792" s="13">
        <v>308.363</v>
      </c>
    </row>
    <row r="5793" s="6" customFormat="1" spans="1:2">
      <c r="A5793" s="12">
        <f>DATE(2012,12,31)-40</f>
        <v>41234</v>
      </c>
      <c r="B5793" s="13">
        <v>1911.4035</v>
      </c>
    </row>
    <row r="5794" s="6" customFormat="1" spans="1:2">
      <c r="A5794" s="12">
        <f>DATE(2012,12,31)-1317</f>
        <v>39957</v>
      </c>
      <c r="B5794" s="13">
        <v>6310.69</v>
      </c>
    </row>
    <row r="5795" spans="1:2">
      <c r="A5795" s="14">
        <f>DATE(2012,12,31)-1455</f>
        <v>39819</v>
      </c>
      <c r="B5795" s="15">
        <v>298.97</v>
      </c>
    </row>
    <row r="5796" spans="1:2">
      <c r="A5796" s="14">
        <f>DATE(2012,12,31)-1455</f>
        <v>39819</v>
      </c>
      <c r="B5796" s="15">
        <v>159.05</v>
      </c>
    </row>
    <row r="5797" s="6" customFormat="1" spans="1:2">
      <c r="A5797" s="12">
        <f>DATE(2012,12,31)-177</f>
        <v>41097</v>
      </c>
      <c r="B5797" s="13">
        <v>870.75</v>
      </c>
    </row>
    <row r="5798" s="6" customFormat="1" spans="1:2">
      <c r="A5798" s="12">
        <f>DATE(2012,12,31)-177</f>
        <v>41097</v>
      </c>
      <c r="B5798" s="13">
        <v>43.37</v>
      </c>
    </row>
    <row r="5799" s="6" customFormat="1" spans="1:2">
      <c r="A5799" s="12">
        <f>DATE(2012,12,31)-1044</f>
        <v>40230</v>
      </c>
      <c r="B5799" s="13">
        <v>61.22</v>
      </c>
    </row>
    <row r="5800" s="6" customFormat="1" spans="1:2">
      <c r="A5800" s="12">
        <f>DATE(2012,12,31)-756</f>
        <v>40518</v>
      </c>
      <c r="B5800" s="13">
        <v>322.46</v>
      </c>
    </row>
    <row r="5801" s="6" customFormat="1" spans="1:2">
      <c r="A5801" s="12">
        <f>DATE(2012,12,31)-485</f>
        <v>40789</v>
      </c>
      <c r="B5801" s="13">
        <v>3702.92</v>
      </c>
    </row>
    <row r="5802" s="6" customFormat="1" spans="1:2">
      <c r="A5802" s="12">
        <f>DATE(2012,12,31)-485</f>
        <v>40789</v>
      </c>
      <c r="B5802" s="13">
        <v>53.99</v>
      </c>
    </row>
    <row r="5803" s="6" customFormat="1" spans="1:2">
      <c r="A5803" s="12">
        <f>DATE(2012,12,31)-1400</f>
        <v>39874</v>
      </c>
      <c r="B5803" s="13">
        <v>862.2</v>
      </c>
    </row>
    <row r="5804" s="6" customFormat="1" spans="1:2">
      <c r="A5804" s="12">
        <f>DATE(2012,12,31)-1341</f>
        <v>39933</v>
      </c>
      <c r="B5804" s="13">
        <v>938.37</v>
      </c>
    </row>
    <row r="5805" s="6" customFormat="1" spans="1:2">
      <c r="A5805" s="12">
        <f>DATE(2012,12,31)-625</f>
        <v>40649</v>
      </c>
      <c r="B5805" s="13">
        <v>3854.4</v>
      </c>
    </row>
    <row r="5806" s="6" customFormat="1" spans="1:2">
      <c r="A5806" s="12">
        <f>DATE(2012,12,31)-466</f>
        <v>40808</v>
      </c>
      <c r="B5806" s="13">
        <v>120.03</v>
      </c>
    </row>
    <row r="5807" spans="1:2">
      <c r="A5807" s="14">
        <f>DATE(2012,12,31)-1121</f>
        <v>40153</v>
      </c>
      <c r="B5807" s="15">
        <v>18.81</v>
      </c>
    </row>
    <row r="5808" s="6" customFormat="1" spans="1:2">
      <c r="A5808" s="12">
        <f>DATE(2012,12,31)-770</f>
        <v>40504</v>
      </c>
      <c r="B5808" s="13">
        <v>553.3415</v>
      </c>
    </row>
    <row r="5809" spans="1:2">
      <c r="A5809" s="14">
        <f>DATE(2012,12,31)-770</f>
        <v>40504</v>
      </c>
      <c r="B5809" s="15">
        <v>142.12</v>
      </c>
    </row>
    <row r="5810" s="6" customFormat="1" spans="1:2">
      <c r="A5810" s="12">
        <f>DATE(2012,12,31)-823</f>
        <v>40451</v>
      </c>
      <c r="B5810" s="13">
        <v>52.93</v>
      </c>
    </row>
    <row r="5811" s="6" customFormat="1" spans="1:2">
      <c r="A5811" s="12">
        <f>DATE(2012,12,31)-823</f>
        <v>40451</v>
      </c>
      <c r="B5811" s="13">
        <v>145.13</v>
      </c>
    </row>
    <row r="5812" s="6" customFormat="1" spans="1:2">
      <c r="A5812" s="12">
        <f>DATE(2012,12,31)-1266</f>
        <v>40008</v>
      </c>
      <c r="B5812" s="13">
        <v>189.04</v>
      </c>
    </row>
    <row r="5813" s="6" customFormat="1" spans="1:2">
      <c r="A5813" s="12">
        <f>DATE(2012,12,31)-1279</f>
        <v>39995</v>
      </c>
      <c r="B5813" s="13">
        <v>253.26</v>
      </c>
    </row>
    <row r="5814" s="6" customFormat="1" spans="1:2">
      <c r="A5814" s="12">
        <f>DATE(2012,12,31)-1279</f>
        <v>39995</v>
      </c>
      <c r="B5814" s="13">
        <v>6865.072</v>
      </c>
    </row>
    <row r="5815" s="6" customFormat="1" spans="1:2">
      <c r="A5815" s="12">
        <f>DATE(2012,12,31)-537</f>
        <v>40737</v>
      </c>
      <c r="B5815" s="13">
        <v>1314.64</v>
      </c>
    </row>
    <row r="5816" s="6" customFormat="1" spans="1:2">
      <c r="A5816" s="12">
        <f>DATE(2012,12,31)-1206</f>
        <v>40068</v>
      </c>
      <c r="B5816" s="13">
        <v>345.57</v>
      </c>
    </row>
    <row r="5817" s="6" customFormat="1" spans="1:2">
      <c r="A5817" s="12">
        <f>DATE(2012,12,31)-1334</f>
        <v>39940</v>
      </c>
      <c r="B5817" s="13">
        <v>1455.49</v>
      </c>
    </row>
    <row r="5818" s="6" customFormat="1" spans="1:2">
      <c r="A5818" s="12">
        <f>DATE(2012,12,31)-721</f>
        <v>40553</v>
      </c>
      <c r="B5818" s="13">
        <v>1782.68</v>
      </c>
    </row>
    <row r="5819" s="6" customFormat="1" spans="1:2">
      <c r="A5819" s="12">
        <f>DATE(2012,12,31)-1170</f>
        <v>40104</v>
      </c>
      <c r="B5819" s="13">
        <v>1333.19</v>
      </c>
    </row>
    <row r="5820" s="6" customFormat="1" spans="1:2">
      <c r="A5820" s="12">
        <f>DATE(2012,12,31)-1276</f>
        <v>39998</v>
      </c>
      <c r="B5820" s="13">
        <v>916.05</v>
      </c>
    </row>
    <row r="5821" s="6" customFormat="1" spans="1:2">
      <c r="A5821" s="12">
        <f>DATE(2012,12,31)-106</f>
        <v>41168</v>
      </c>
      <c r="B5821" s="13">
        <v>260.96</v>
      </c>
    </row>
    <row r="5822" s="6" customFormat="1" spans="1:2">
      <c r="A5822" s="12">
        <f>DATE(2012,12,31)-335</f>
        <v>40939</v>
      </c>
      <c r="B5822" s="13">
        <v>787.63</v>
      </c>
    </row>
    <row r="5823" spans="1:2">
      <c r="A5823" s="14">
        <f>DATE(2012,12,31)-1259</f>
        <v>40015</v>
      </c>
      <c r="B5823" s="15">
        <v>121.74</v>
      </c>
    </row>
    <row r="5824" s="6" customFormat="1" spans="1:2">
      <c r="A5824" s="12">
        <f>DATE(2012,12,31)-1259</f>
        <v>40015</v>
      </c>
      <c r="B5824" s="13">
        <v>700.366</v>
      </c>
    </row>
    <row r="5825" s="6" customFormat="1" spans="1:2">
      <c r="A5825" s="12">
        <f>DATE(2012,12,31)-449</f>
        <v>40825</v>
      </c>
      <c r="B5825" s="13">
        <v>1223.11</v>
      </c>
    </row>
    <row r="5826" s="6" customFormat="1" spans="1:2">
      <c r="A5826" s="12">
        <f>DATE(2012,12,31)-333</f>
        <v>40941</v>
      </c>
      <c r="B5826" s="13">
        <v>66.41</v>
      </c>
    </row>
    <row r="5827" s="6" customFormat="1" spans="1:2">
      <c r="A5827" s="12">
        <f>DATE(2012,12,31)-380</f>
        <v>40894</v>
      </c>
      <c r="B5827" s="13">
        <v>346.2</v>
      </c>
    </row>
    <row r="5828" s="6" customFormat="1" spans="1:2">
      <c r="A5828" s="12">
        <f>DATE(2012,12,31)-380</f>
        <v>40894</v>
      </c>
      <c r="B5828" s="13">
        <v>85.96</v>
      </c>
    </row>
    <row r="5829" s="6" customFormat="1" spans="1:2">
      <c r="A5829" s="12">
        <f>DATE(2012,12,31)-380</f>
        <v>40894</v>
      </c>
      <c r="B5829" s="13">
        <v>475.52</v>
      </c>
    </row>
    <row r="5830" spans="1:2">
      <c r="A5830" s="14">
        <f>DATE(2012,12,31)-968</f>
        <v>40306</v>
      </c>
      <c r="B5830" s="15">
        <v>423.3</v>
      </c>
    </row>
    <row r="5831" s="6" customFormat="1" spans="1:2">
      <c r="A5831" s="12">
        <f>DATE(2012,12,31)-830</f>
        <v>40444</v>
      </c>
      <c r="B5831" s="13">
        <v>8273.2795</v>
      </c>
    </row>
    <row r="5832" s="6" customFormat="1" spans="1:2">
      <c r="A5832" s="12">
        <f>DATE(2012,12,31)-63</f>
        <v>41211</v>
      </c>
      <c r="B5832" s="13">
        <v>5454.51</v>
      </c>
    </row>
    <row r="5833" s="6" customFormat="1" spans="1:2">
      <c r="A5833" s="12">
        <f>DATE(2012,12,31)-63</f>
        <v>41211</v>
      </c>
      <c r="B5833" s="13">
        <v>1264.17</v>
      </c>
    </row>
    <row r="5834" s="6" customFormat="1" spans="1:2">
      <c r="A5834" s="12">
        <f>DATE(2012,12,31)-964</f>
        <v>40310</v>
      </c>
      <c r="B5834" s="13">
        <v>1449.45</v>
      </c>
    </row>
    <row r="5835" s="6" customFormat="1" spans="1:2">
      <c r="A5835" s="12">
        <f>DATE(2012,12,31)-964</f>
        <v>40310</v>
      </c>
      <c r="B5835" s="13">
        <v>2702.3</v>
      </c>
    </row>
    <row r="5836" s="6" customFormat="1" spans="1:2">
      <c r="A5836" s="12">
        <f>DATE(2012,12,31)-529</f>
        <v>40745</v>
      </c>
      <c r="B5836" s="13">
        <v>18.92</v>
      </c>
    </row>
    <row r="5837" s="6" customFormat="1" spans="1:2">
      <c r="A5837" s="12">
        <f>DATE(2012,12,31)-1201</f>
        <v>40073</v>
      </c>
      <c r="B5837" s="13">
        <v>263.81</v>
      </c>
    </row>
    <row r="5838" s="6" customFormat="1" spans="1:2">
      <c r="A5838" s="12">
        <f>DATE(2012,12,31)-411</f>
        <v>40863</v>
      </c>
      <c r="B5838" s="13">
        <v>10134.55</v>
      </c>
    </row>
    <row r="5839" s="6" customFormat="1" spans="1:2">
      <c r="A5839" s="12">
        <f>DATE(2012,12,31)-411</f>
        <v>40863</v>
      </c>
      <c r="B5839" s="13">
        <v>1765.64</v>
      </c>
    </row>
    <row r="5840" s="6" customFormat="1" spans="1:2">
      <c r="A5840" s="12">
        <f>DATE(2012,12,31)-411</f>
        <v>40863</v>
      </c>
      <c r="B5840" s="13">
        <v>156.5</v>
      </c>
    </row>
    <row r="5841" s="6" customFormat="1" spans="1:2">
      <c r="A5841" s="12">
        <f>DATE(2012,12,31)-1147</f>
        <v>40127</v>
      </c>
      <c r="B5841" s="13">
        <v>80.92</v>
      </c>
    </row>
    <row r="5842" s="6" customFormat="1" spans="1:2">
      <c r="A5842" s="12">
        <f>DATE(2012,12,31)-1196</f>
        <v>40078</v>
      </c>
      <c r="B5842" s="13">
        <v>92.94</v>
      </c>
    </row>
    <row r="5843" s="6" customFormat="1" spans="1:2">
      <c r="A5843" s="12">
        <f>DATE(2012,12,31)-1196</f>
        <v>40078</v>
      </c>
      <c r="B5843" s="13">
        <v>6070.96</v>
      </c>
    </row>
    <row r="5844" s="6" customFormat="1" spans="1:2">
      <c r="A5844" s="12">
        <f>DATE(2012,12,31)-343</f>
        <v>40931</v>
      </c>
      <c r="B5844" s="13">
        <v>221.08</v>
      </c>
    </row>
    <row r="5845" s="6" customFormat="1" spans="1:2">
      <c r="A5845" s="12">
        <f>DATE(2012,12,31)-1073</f>
        <v>40201</v>
      </c>
      <c r="B5845" s="13">
        <v>280.87</v>
      </c>
    </row>
    <row r="5846" s="6" customFormat="1" spans="1:2">
      <c r="A5846" s="12">
        <f>DATE(2012,12,31)-1351</f>
        <v>39923</v>
      </c>
      <c r="B5846" s="13">
        <v>3640.83</v>
      </c>
    </row>
    <row r="5847" s="6" customFormat="1" spans="1:2">
      <c r="A5847" s="12">
        <f>DATE(2012,12,31)-1351</f>
        <v>39923</v>
      </c>
      <c r="B5847" s="13">
        <v>225.94</v>
      </c>
    </row>
    <row r="5848" spans="1:2">
      <c r="A5848" s="14">
        <f>DATE(2012,12,31)-945</f>
        <v>40329</v>
      </c>
      <c r="B5848" s="15">
        <v>92.25</v>
      </c>
    </row>
    <row r="5849" s="6" customFormat="1" spans="1:2">
      <c r="A5849" s="12">
        <f>DATE(2012,12,31)-64</f>
        <v>41210</v>
      </c>
      <c r="B5849" s="13">
        <v>302.94</v>
      </c>
    </row>
    <row r="5850" s="6" customFormat="1" spans="1:2">
      <c r="A5850" s="12">
        <f>DATE(2012,12,31)-829</f>
        <v>40445</v>
      </c>
      <c r="B5850" s="13">
        <v>18561.31</v>
      </c>
    </row>
    <row r="5851" s="6" customFormat="1" spans="1:2">
      <c r="A5851" s="12">
        <f>DATE(2012,12,31)-608</f>
        <v>40666</v>
      </c>
      <c r="B5851" s="13">
        <v>41.85</v>
      </c>
    </row>
    <row r="5852" s="6" customFormat="1" spans="1:2">
      <c r="A5852" s="12">
        <f>DATE(2012,12,31)-608</f>
        <v>40666</v>
      </c>
      <c r="B5852" s="13">
        <v>2303.7125</v>
      </c>
    </row>
    <row r="5853" s="6" customFormat="1" spans="1:2">
      <c r="A5853" s="12">
        <f>DATE(2012,12,31)-1192</f>
        <v>40082</v>
      </c>
      <c r="B5853" s="13">
        <v>6181.48</v>
      </c>
    </row>
    <row r="5854" s="6" customFormat="1" spans="1:2">
      <c r="A5854" s="12">
        <f>DATE(2012,12,31)-1424</f>
        <v>39850</v>
      </c>
      <c r="B5854" s="13">
        <v>7548.65</v>
      </c>
    </row>
    <row r="5855" s="6" customFormat="1" spans="1:2">
      <c r="A5855" s="12">
        <f>DATE(2012,12,31)-1424</f>
        <v>39850</v>
      </c>
      <c r="B5855" s="13">
        <v>1318.8685</v>
      </c>
    </row>
    <row r="5856" spans="1:2">
      <c r="A5856" s="14">
        <f>DATE(2012,12,31)-894</f>
        <v>40380</v>
      </c>
      <c r="B5856" s="15">
        <v>617.34</v>
      </c>
    </row>
    <row r="5857" s="6" customFormat="1" spans="1:2">
      <c r="A5857" s="12">
        <f>DATE(2012,12,31)-894</f>
        <v>40380</v>
      </c>
      <c r="B5857" s="13">
        <v>60.76</v>
      </c>
    </row>
    <row r="5858" spans="1:2">
      <c r="A5858" s="14">
        <f>DATE(2012,12,31)-759</f>
        <v>40515</v>
      </c>
      <c r="B5858" s="15">
        <v>2289.92</v>
      </c>
    </row>
    <row r="5859" spans="1:2">
      <c r="A5859" s="14">
        <f>DATE(2012,12,31)-574</f>
        <v>40700</v>
      </c>
      <c r="B5859" s="15">
        <v>906.07</v>
      </c>
    </row>
    <row r="5860" s="6" customFormat="1" spans="1:2">
      <c r="A5860" s="12">
        <f>DATE(2012,12,31)-833</f>
        <v>40441</v>
      </c>
      <c r="B5860" s="13">
        <v>283.82</v>
      </c>
    </row>
    <row r="5861" s="6" customFormat="1" spans="1:2">
      <c r="A5861" s="12">
        <f>DATE(2012,12,31)-1420</f>
        <v>39854</v>
      </c>
      <c r="B5861" s="13">
        <v>138.24</v>
      </c>
    </row>
    <row r="5862" spans="1:2">
      <c r="A5862" s="14">
        <f>DATE(2012,12,31)-737</f>
        <v>40537</v>
      </c>
      <c r="B5862" s="15">
        <v>114.57</v>
      </c>
    </row>
    <row r="5863" s="6" customFormat="1" spans="1:2">
      <c r="A5863" s="12">
        <f>DATE(2012,12,31)-1287</f>
        <v>39987</v>
      </c>
      <c r="B5863" s="13">
        <v>4514.86</v>
      </c>
    </row>
    <row r="5864" spans="1:2">
      <c r="A5864" s="14">
        <f>DATE(2012,12,31)-1287</f>
        <v>39987</v>
      </c>
      <c r="B5864" s="15">
        <v>79.14</v>
      </c>
    </row>
    <row r="5865" spans="1:2">
      <c r="A5865" s="14">
        <f>DATE(2012,12,31)-1108</f>
        <v>40166</v>
      </c>
      <c r="B5865" s="15">
        <v>4115.74</v>
      </c>
    </row>
    <row r="5866" s="6" customFormat="1" spans="1:2">
      <c r="A5866" s="12">
        <f>DATE(2012,12,31)-761</f>
        <v>40513</v>
      </c>
      <c r="B5866" s="13">
        <v>1541.458</v>
      </c>
    </row>
    <row r="5867" s="6" customFormat="1" spans="1:2">
      <c r="A5867" s="12">
        <f>DATE(2012,12,31)-783</f>
        <v>40491</v>
      </c>
      <c r="B5867" s="13">
        <v>3636.91</v>
      </c>
    </row>
    <row r="5868" s="6" customFormat="1" spans="1:2">
      <c r="A5868" s="12">
        <f>DATE(2012,12,31)-23</f>
        <v>41251</v>
      </c>
      <c r="B5868" s="13">
        <v>57.35</v>
      </c>
    </row>
    <row r="5869" s="6" customFormat="1" spans="1:2">
      <c r="A5869" s="12">
        <f>DATE(2012,12,31)-23</f>
        <v>41251</v>
      </c>
      <c r="B5869" s="13">
        <v>371.45</v>
      </c>
    </row>
    <row r="5870" s="6" customFormat="1" spans="1:2">
      <c r="A5870" s="12">
        <f>DATE(2012,12,31)-1235</f>
        <v>40039</v>
      </c>
      <c r="B5870" s="13">
        <v>5294.48</v>
      </c>
    </row>
    <row r="5871" s="6" customFormat="1" spans="1:2">
      <c r="A5871" s="12">
        <f>DATE(2012,12,31)-1235</f>
        <v>40039</v>
      </c>
      <c r="B5871" s="13">
        <v>423.15</v>
      </c>
    </row>
    <row r="5872" s="6" customFormat="1" spans="1:2">
      <c r="A5872" s="12">
        <f>DATE(2012,12,31)-1235</f>
        <v>40039</v>
      </c>
      <c r="B5872" s="13">
        <v>2762.857</v>
      </c>
    </row>
    <row r="5873" s="6" customFormat="1" spans="1:2">
      <c r="A5873" s="12">
        <f>DATE(2012,12,31)-393</f>
        <v>40881</v>
      </c>
      <c r="B5873" s="13">
        <v>54.8</v>
      </c>
    </row>
    <row r="5874" s="6" customFormat="1" spans="1:2">
      <c r="A5874" s="12">
        <f>DATE(2012,12,31)-393</f>
        <v>40881</v>
      </c>
      <c r="B5874" s="13">
        <v>1038.19</v>
      </c>
    </row>
    <row r="5875" s="6" customFormat="1" spans="1:2">
      <c r="A5875" s="12">
        <f>DATE(2012,12,31)-303</f>
        <v>40971</v>
      </c>
      <c r="B5875" s="13">
        <v>596.156</v>
      </c>
    </row>
    <row r="5876" s="6" customFormat="1" spans="1:2">
      <c r="A5876" s="12">
        <f>DATE(2012,12,31)-194</f>
        <v>41080</v>
      </c>
      <c r="B5876" s="13">
        <v>1062.2195</v>
      </c>
    </row>
    <row r="5877" s="6" customFormat="1" spans="1:2">
      <c r="A5877" s="12">
        <f>DATE(2012,12,31)-28</f>
        <v>41246</v>
      </c>
      <c r="B5877" s="13">
        <v>638.91</v>
      </c>
    </row>
    <row r="5878" s="6" customFormat="1" spans="1:2">
      <c r="A5878" s="12">
        <f>DATE(2012,12,31)-1267</f>
        <v>40007</v>
      </c>
      <c r="B5878" s="13">
        <v>237.28</v>
      </c>
    </row>
    <row r="5879" s="6" customFormat="1" spans="1:2">
      <c r="A5879" s="12">
        <f>DATE(2012,12,31)-740</f>
        <v>40534</v>
      </c>
      <c r="B5879" s="13">
        <v>3323.44</v>
      </c>
    </row>
    <row r="5880" s="6" customFormat="1" spans="1:2">
      <c r="A5880" s="12">
        <f>DATE(2012,12,31)-740</f>
        <v>40534</v>
      </c>
      <c r="B5880" s="13">
        <v>27.9</v>
      </c>
    </row>
    <row r="5881" spans="1:2">
      <c r="A5881" s="14">
        <f>DATE(2012,12,31)-1188</f>
        <v>40086</v>
      </c>
      <c r="B5881" s="15">
        <v>23106.46</v>
      </c>
    </row>
    <row r="5882" s="6" customFormat="1" spans="1:2">
      <c r="A5882" s="12">
        <f>DATE(2012,12,31)-1188</f>
        <v>40086</v>
      </c>
      <c r="B5882" s="13">
        <v>2549.58</v>
      </c>
    </row>
    <row r="5883" s="6" customFormat="1" spans="1:2">
      <c r="A5883" s="12">
        <f>DATE(2012,12,31)-339</f>
        <v>40935</v>
      </c>
      <c r="B5883" s="13">
        <v>6688.66</v>
      </c>
    </row>
    <row r="5884" s="6" customFormat="1" spans="1:2">
      <c r="A5884" s="12">
        <f>DATE(2012,12,31)-339</f>
        <v>40935</v>
      </c>
      <c r="B5884" s="13">
        <v>247.45</v>
      </c>
    </row>
    <row r="5885" s="6" customFormat="1" spans="1:2">
      <c r="A5885" s="12">
        <f>DATE(2012,12,31)-339</f>
        <v>40935</v>
      </c>
      <c r="B5885" s="13">
        <v>685.7205</v>
      </c>
    </row>
    <row r="5886" s="6" customFormat="1" spans="1:2">
      <c r="A5886" s="12">
        <f>DATE(2012,12,31)-339</f>
        <v>40935</v>
      </c>
      <c r="B5886" s="13">
        <v>3232.1335</v>
      </c>
    </row>
    <row r="5887" s="6" customFormat="1" spans="1:2">
      <c r="A5887" s="12">
        <f>DATE(2012,12,31)-1183</f>
        <v>40091</v>
      </c>
      <c r="B5887" s="13">
        <v>5105.06</v>
      </c>
    </row>
    <row r="5888" s="6" customFormat="1" spans="1:2">
      <c r="A5888" s="12">
        <f>DATE(2012,12,31)-1118</f>
        <v>40156</v>
      </c>
      <c r="B5888" s="13">
        <v>204.99</v>
      </c>
    </row>
    <row r="5889" s="6" customFormat="1" spans="1:2">
      <c r="A5889" s="12">
        <f>DATE(2012,12,31)-111</f>
        <v>41163</v>
      </c>
      <c r="B5889" s="13">
        <v>273.42</v>
      </c>
    </row>
    <row r="5890" s="6" customFormat="1" spans="1:2">
      <c r="A5890" s="12">
        <f>DATE(2012,12,31)-111</f>
        <v>41163</v>
      </c>
      <c r="B5890" s="13">
        <v>5158.09</v>
      </c>
    </row>
    <row r="5891" s="6" customFormat="1" spans="1:2">
      <c r="A5891" s="12">
        <f>DATE(2012,12,31)-584</f>
        <v>40690</v>
      </c>
      <c r="B5891" s="13">
        <v>836.59</v>
      </c>
    </row>
    <row r="5892" s="6" customFormat="1" spans="1:2">
      <c r="A5892" s="12">
        <f>DATE(2012,12,31)-584</f>
        <v>40690</v>
      </c>
      <c r="B5892" s="13">
        <v>58.14</v>
      </c>
    </row>
    <row r="5893" s="6" customFormat="1" spans="1:2">
      <c r="A5893" s="12">
        <f>DATE(2012,12,31)-584</f>
        <v>40690</v>
      </c>
      <c r="B5893" s="13">
        <v>891.6075</v>
      </c>
    </row>
    <row r="5894" s="6" customFormat="1" spans="1:2">
      <c r="A5894" s="12">
        <f>DATE(2012,12,31)-1287</f>
        <v>39987</v>
      </c>
      <c r="B5894" s="13">
        <v>1130.806</v>
      </c>
    </row>
    <row r="5895" s="6" customFormat="1" spans="1:2">
      <c r="A5895" s="12">
        <f>DATE(2012,12,31)-911</f>
        <v>40363</v>
      </c>
      <c r="B5895" s="13">
        <v>157.51</v>
      </c>
    </row>
    <row r="5896" s="6" customFormat="1" spans="1:2">
      <c r="A5896" s="12">
        <f>DATE(2012,12,31)-911</f>
        <v>40363</v>
      </c>
      <c r="B5896" s="13">
        <v>97.78</v>
      </c>
    </row>
    <row r="5897" s="6" customFormat="1" spans="1:2">
      <c r="A5897" s="12">
        <f>DATE(2012,12,31)-1227</f>
        <v>40047</v>
      </c>
      <c r="B5897" s="13">
        <v>3277.39</v>
      </c>
    </row>
    <row r="5898" s="6" customFormat="1" spans="1:2">
      <c r="A5898" s="12">
        <f>DATE(2012,12,31)-1227</f>
        <v>40047</v>
      </c>
      <c r="B5898" s="13">
        <v>7817.45</v>
      </c>
    </row>
    <row r="5899" s="6" customFormat="1" spans="1:2">
      <c r="A5899" s="12">
        <f>DATE(2012,12,31)-807</f>
        <v>40467</v>
      </c>
      <c r="B5899" s="13">
        <v>63.93</v>
      </c>
    </row>
    <row r="5900" s="6" customFormat="1" spans="1:2">
      <c r="A5900" s="12">
        <f>DATE(2012,12,31)-807</f>
        <v>40467</v>
      </c>
      <c r="B5900" s="13">
        <v>570.98</v>
      </c>
    </row>
    <row r="5901" s="6" customFormat="1" spans="1:2">
      <c r="A5901" s="12">
        <f>DATE(2012,12,31)-318</f>
        <v>40956</v>
      </c>
      <c r="B5901" s="13">
        <v>5361.08</v>
      </c>
    </row>
    <row r="5902" s="6" customFormat="1" spans="1:2">
      <c r="A5902" s="12">
        <f>DATE(2012,12,31)-163</f>
        <v>41111</v>
      </c>
      <c r="B5902" s="13">
        <v>3441.09</v>
      </c>
    </row>
    <row r="5903" s="6" customFormat="1" spans="1:2">
      <c r="A5903" s="12">
        <f>DATE(2012,12,31)-163</f>
        <v>41111</v>
      </c>
      <c r="B5903" s="13">
        <v>209.61</v>
      </c>
    </row>
    <row r="5904" s="6" customFormat="1" spans="1:2">
      <c r="A5904" s="12">
        <f>DATE(2012,12,31)-605</f>
        <v>40669</v>
      </c>
      <c r="B5904" s="13">
        <v>461.05</v>
      </c>
    </row>
    <row r="5905" s="6" customFormat="1" spans="1:2">
      <c r="A5905" s="12">
        <f>DATE(2012,12,31)-766</f>
        <v>40508</v>
      </c>
      <c r="B5905" s="13">
        <v>475.9</v>
      </c>
    </row>
    <row r="5906" spans="1:2">
      <c r="A5906" s="14">
        <f>DATE(2012,12,31)-1402</f>
        <v>39872</v>
      </c>
      <c r="B5906" s="15">
        <v>1979.47</v>
      </c>
    </row>
    <row r="5907" s="6" customFormat="1" spans="1:2">
      <c r="A5907" s="12">
        <f>DATE(2012,12,31)-1402</f>
        <v>39872</v>
      </c>
      <c r="B5907" s="13">
        <v>187.8</v>
      </c>
    </row>
    <row r="5908" s="6" customFormat="1" spans="1:2">
      <c r="A5908" s="12">
        <f>DATE(2012,12,31)-1402</f>
        <v>39872</v>
      </c>
      <c r="B5908" s="13">
        <v>2823.037</v>
      </c>
    </row>
    <row r="5909" s="6" customFormat="1" spans="1:2">
      <c r="A5909" s="12">
        <f>DATE(2012,12,31)-589</f>
        <v>40685</v>
      </c>
      <c r="B5909" s="13">
        <v>846.59</v>
      </c>
    </row>
    <row r="5910" s="6" customFormat="1" spans="1:2">
      <c r="A5910" s="12">
        <f>DATE(2012,12,31)-721</f>
        <v>40553</v>
      </c>
      <c r="B5910" s="13">
        <v>27663.92</v>
      </c>
    </row>
    <row r="5911" s="6" customFormat="1" spans="1:2">
      <c r="A5911" s="12">
        <f>DATE(2012,12,31)-312</f>
        <v>40962</v>
      </c>
      <c r="B5911" s="13">
        <v>16313.51</v>
      </c>
    </row>
    <row r="5912" s="6" customFormat="1" spans="1:2">
      <c r="A5912" s="12">
        <f>DATE(2012,12,31)-312</f>
        <v>40962</v>
      </c>
      <c r="B5912" s="13">
        <v>337.38</v>
      </c>
    </row>
    <row r="5913" s="6" customFormat="1" spans="1:2">
      <c r="A5913" s="12">
        <f>DATE(2012,12,31)-695</f>
        <v>40579</v>
      </c>
      <c r="B5913" s="13">
        <v>112.57</v>
      </c>
    </row>
    <row r="5914" spans="1:2">
      <c r="A5914" s="14">
        <f>DATE(2012,12,31)-695</f>
        <v>40579</v>
      </c>
      <c r="B5914" s="15">
        <v>1562.69</v>
      </c>
    </row>
    <row r="5915" spans="1:2">
      <c r="A5915" s="14">
        <f>DATE(2012,12,31)-171</f>
        <v>41103</v>
      </c>
      <c r="B5915" s="15">
        <v>2332.23</v>
      </c>
    </row>
    <row r="5916" s="6" customFormat="1" spans="1:2">
      <c r="A5916" s="12">
        <f>DATE(2012,12,31)-385</f>
        <v>40889</v>
      </c>
      <c r="B5916" s="13">
        <v>364.69</v>
      </c>
    </row>
    <row r="5917" s="6" customFormat="1" spans="1:2">
      <c r="A5917" s="12">
        <f>DATE(2012,12,31)-385</f>
        <v>40889</v>
      </c>
      <c r="B5917" s="13">
        <v>86.3</v>
      </c>
    </row>
    <row r="5918" s="6" customFormat="1" spans="1:2">
      <c r="A5918" s="12">
        <f>DATE(2012,12,31)-437</f>
        <v>40837</v>
      </c>
      <c r="B5918" s="13">
        <v>6481.048</v>
      </c>
    </row>
    <row r="5919" s="6" customFormat="1" spans="1:2">
      <c r="A5919" s="12">
        <f>DATE(2012,12,31)-1426</f>
        <v>39848</v>
      </c>
      <c r="B5919" s="13">
        <v>4610.35</v>
      </c>
    </row>
    <row r="5920" s="6" customFormat="1" spans="1:2">
      <c r="A5920" s="12">
        <f>DATE(2012,12,31)-1426</f>
        <v>39848</v>
      </c>
      <c r="B5920" s="13">
        <v>610.07</v>
      </c>
    </row>
    <row r="5921" s="6" customFormat="1" spans="1:2">
      <c r="A5921" s="12">
        <f>DATE(2012,12,31)-1426</f>
        <v>39848</v>
      </c>
      <c r="B5921" s="13">
        <v>181.49</v>
      </c>
    </row>
    <row r="5922" s="6" customFormat="1" spans="1:2">
      <c r="A5922" s="12">
        <f>DATE(2012,12,31)-379</f>
        <v>40895</v>
      </c>
      <c r="B5922" s="13">
        <v>1773.86</v>
      </c>
    </row>
    <row r="5923" s="6" customFormat="1" spans="1:2">
      <c r="A5923" s="12">
        <f>DATE(2012,12,31)-379</f>
        <v>40895</v>
      </c>
      <c r="B5923" s="13">
        <v>543.22</v>
      </c>
    </row>
    <row r="5924" s="6" customFormat="1" spans="1:2">
      <c r="A5924" s="12">
        <f>DATE(2012,12,31)-379</f>
        <v>40895</v>
      </c>
      <c r="B5924" s="13">
        <v>813.9</v>
      </c>
    </row>
    <row r="5925" spans="1:2">
      <c r="A5925" s="14">
        <f>DATE(2012,12,31)-1194</f>
        <v>40080</v>
      </c>
      <c r="B5925" s="15">
        <v>338.85</v>
      </c>
    </row>
    <row r="5926" s="6" customFormat="1" spans="1:2">
      <c r="A5926" s="12">
        <f>DATE(2012,12,31)-1194</f>
        <v>40080</v>
      </c>
      <c r="B5926" s="13">
        <v>43.25</v>
      </c>
    </row>
    <row r="5927" s="6" customFormat="1" spans="1:2">
      <c r="A5927" s="12">
        <f>DATE(2012,12,31)-108</f>
        <v>41166</v>
      </c>
      <c r="B5927" s="13">
        <v>94.55</v>
      </c>
    </row>
    <row r="5928" s="6" customFormat="1" spans="1:2">
      <c r="A5928" s="12">
        <f>DATE(2012,12,31)-721</f>
        <v>40553</v>
      </c>
      <c r="B5928" s="13">
        <v>188.34</v>
      </c>
    </row>
    <row r="5929" s="6" customFormat="1" spans="1:2">
      <c r="A5929" s="12">
        <f>DATE(2012,12,31)-721</f>
        <v>40553</v>
      </c>
      <c r="B5929" s="13">
        <v>32.49</v>
      </c>
    </row>
    <row r="5930" s="6" customFormat="1" spans="1:2">
      <c r="A5930" s="12">
        <f>DATE(2012,12,31)-721</f>
        <v>40553</v>
      </c>
      <c r="B5930" s="13">
        <v>1493.858</v>
      </c>
    </row>
    <row r="5931" s="6" customFormat="1" spans="1:2">
      <c r="A5931" s="12">
        <f>DATE(2012,12,31)-379</f>
        <v>40895</v>
      </c>
      <c r="B5931" s="13">
        <v>76.42</v>
      </c>
    </row>
    <row r="5932" s="6" customFormat="1" spans="1:2">
      <c r="A5932" s="12">
        <f>DATE(2012,12,31)-386</f>
        <v>40888</v>
      </c>
      <c r="B5932" s="13">
        <v>5526.16</v>
      </c>
    </row>
    <row r="5933" s="6" customFormat="1" spans="1:2">
      <c r="A5933" s="12">
        <f>DATE(2012,12,31)-386</f>
        <v>40888</v>
      </c>
      <c r="B5933" s="13">
        <v>236.89</v>
      </c>
    </row>
    <row r="5934" s="6" customFormat="1" spans="1:2">
      <c r="A5934" s="12">
        <f>DATE(2012,12,31)-386</f>
        <v>40888</v>
      </c>
      <c r="B5934" s="13">
        <v>68.42</v>
      </c>
    </row>
    <row r="5935" s="6" customFormat="1" spans="1:2">
      <c r="A5935" s="12">
        <f>DATE(2012,12,31)-893</f>
        <v>40381</v>
      </c>
      <c r="B5935" s="13">
        <v>50.15</v>
      </c>
    </row>
    <row r="5936" s="6" customFormat="1" spans="1:2">
      <c r="A5936" s="12">
        <f>DATE(2012,12,31)-738</f>
        <v>40536</v>
      </c>
      <c r="B5936" s="13">
        <v>2744.361</v>
      </c>
    </row>
    <row r="5937" s="6" customFormat="1" spans="1:2">
      <c r="A5937" s="12">
        <f>DATE(2012,12,31)-317</f>
        <v>40957</v>
      </c>
      <c r="B5937" s="13">
        <v>673.92</v>
      </c>
    </row>
    <row r="5938" s="6" customFormat="1" spans="1:2">
      <c r="A5938" s="12">
        <f>DATE(2012,12,31)-317</f>
        <v>40957</v>
      </c>
      <c r="B5938" s="13">
        <v>540.56</v>
      </c>
    </row>
    <row r="5939" s="6" customFormat="1" spans="1:2">
      <c r="A5939" s="12">
        <f>DATE(2012,12,31)-1145</f>
        <v>40129</v>
      </c>
      <c r="B5939" s="13">
        <v>670.03</v>
      </c>
    </row>
    <row r="5940" s="6" customFormat="1" spans="1:2">
      <c r="A5940" s="12">
        <f>DATE(2012,12,31)-438</f>
        <v>40836</v>
      </c>
      <c r="B5940" s="13">
        <v>45.31</v>
      </c>
    </row>
    <row r="5941" s="6" customFormat="1" spans="1:2">
      <c r="A5941" s="12">
        <f>DATE(2012,12,31)-747</f>
        <v>40527</v>
      </c>
      <c r="B5941" s="13">
        <v>4408.6695</v>
      </c>
    </row>
    <row r="5942" s="6" customFormat="1" spans="1:2">
      <c r="A5942" s="12">
        <f>DATE(2012,12,31)-215</f>
        <v>41059</v>
      </c>
      <c r="B5942" s="13">
        <v>1201.934</v>
      </c>
    </row>
    <row r="5943" s="6" customFormat="1" spans="1:2">
      <c r="A5943" s="12">
        <f>DATE(2012,12,31)-215</f>
        <v>41059</v>
      </c>
      <c r="B5943" s="13">
        <v>395.84</v>
      </c>
    </row>
    <row r="5944" s="6" customFormat="1" spans="1:2">
      <c r="A5944" s="12">
        <f>DATE(2012,12,31)-1008</f>
        <v>40266</v>
      </c>
      <c r="B5944" s="13">
        <v>324.55</v>
      </c>
    </row>
    <row r="5945" s="6" customFormat="1" spans="1:2">
      <c r="A5945" s="12">
        <f>DATE(2012,12,31)-1008</f>
        <v>40266</v>
      </c>
      <c r="B5945" s="13">
        <v>8901.78</v>
      </c>
    </row>
    <row r="5946" s="6" customFormat="1" spans="1:2">
      <c r="A5946" s="12">
        <f>DATE(2012,12,31)-651</f>
        <v>40623</v>
      </c>
      <c r="B5946" s="13">
        <v>110.96</v>
      </c>
    </row>
    <row r="5947" s="6" customFormat="1" spans="1:2">
      <c r="A5947" s="12">
        <f>DATE(2012,12,31)-587</f>
        <v>40687</v>
      </c>
      <c r="B5947" s="13">
        <v>569.92</v>
      </c>
    </row>
    <row r="5948" s="6" customFormat="1" spans="1:2">
      <c r="A5948" s="12">
        <f>DATE(2012,12,31)-587</f>
        <v>40687</v>
      </c>
      <c r="B5948" s="13">
        <v>183.65</v>
      </c>
    </row>
    <row r="5949" s="6" customFormat="1" spans="1:2">
      <c r="A5949" s="12">
        <f>DATE(2012,12,31)-1370</f>
        <v>39904</v>
      </c>
      <c r="B5949" s="13">
        <v>265.31</v>
      </c>
    </row>
    <row r="5950" s="6" customFormat="1" spans="1:2">
      <c r="A5950" s="12">
        <f>DATE(2012,12,31)-1370</f>
        <v>39904</v>
      </c>
      <c r="B5950" s="13">
        <v>1444.88</v>
      </c>
    </row>
    <row r="5951" s="6" customFormat="1" spans="1:2">
      <c r="A5951" s="12">
        <f>DATE(2012,12,31)-1370</f>
        <v>39904</v>
      </c>
      <c r="B5951" s="13">
        <v>2287.1</v>
      </c>
    </row>
    <row r="5952" s="6" customFormat="1" spans="1:2">
      <c r="A5952" s="12">
        <f>DATE(2012,12,31)-295</f>
        <v>40979</v>
      </c>
      <c r="B5952" s="13">
        <v>1876.09</v>
      </c>
    </row>
    <row r="5953" s="6" customFormat="1" spans="1:2">
      <c r="A5953" s="12">
        <f>DATE(2012,12,31)-295</f>
        <v>40979</v>
      </c>
      <c r="B5953" s="13">
        <v>145.26</v>
      </c>
    </row>
    <row r="5954" s="6" customFormat="1" spans="1:2">
      <c r="A5954" s="12">
        <f>DATE(2012,12,31)-249</f>
        <v>41025</v>
      </c>
      <c r="B5954" s="13">
        <v>3060.37</v>
      </c>
    </row>
    <row r="5955" s="6" customFormat="1" spans="1:2">
      <c r="A5955" s="12">
        <f>DATE(2012,12,31)-249</f>
        <v>41025</v>
      </c>
      <c r="B5955" s="13">
        <v>25.31</v>
      </c>
    </row>
    <row r="5956" s="6" customFormat="1" spans="1:2">
      <c r="A5956" s="12">
        <f>DATE(2012,12,31)-485</f>
        <v>40789</v>
      </c>
      <c r="B5956" s="13">
        <v>2296.76</v>
      </c>
    </row>
    <row r="5957" s="6" customFormat="1" spans="1:2">
      <c r="A5957" s="12">
        <f>DATE(2012,12,31)-485</f>
        <v>40789</v>
      </c>
      <c r="B5957" s="13">
        <v>508.49</v>
      </c>
    </row>
    <row r="5958" s="6" customFormat="1" spans="1:2">
      <c r="A5958" s="12">
        <f>DATE(2012,12,31)-1280</f>
        <v>39994</v>
      </c>
      <c r="B5958" s="13">
        <v>1431</v>
      </c>
    </row>
    <row r="5959" spans="1:2">
      <c r="A5959" s="14">
        <f>DATE(2012,12,31)-108</f>
        <v>41166</v>
      </c>
      <c r="B5959" s="15">
        <v>36.46</v>
      </c>
    </row>
    <row r="5960" s="6" customFormat="1" spans="1:2">
      <c r="A5960" s="12">
        <f>DATE(2012,12,31)-108</f>
        <v>41166</v>
      </c>
      <c r="B5960" s="13">
        <v>773.83</v>
      </c>
    </row>
    <row r="5961" s="6" customFormat="1" spans="1:2">
      <c r="A5961" s="12">
        <f>DATE(2012,12,31)-108</f>
        <v>41166</v>
      </c>
      <c r="B5961" s="13">
        <v>47.4</v>
      </c>
    </row>
    <row r="5962" s="6" customFormat="1" spans="1:2">
      <c r="A5962" s="12">
        <f>DATE(2012,12,31)-1298</f>
        <v>39976</v>
      </c>
      <c r="B5962" s="13">
        <v>79.98</v>
      </c>
    </row>
    <row r="5963" spans="1:2">
      <c r="A5963" s="14">
        <f>DATE(2012,12,31)-1243</f>
        <v>40031</v>
      </c>
      <c r="B5963" s="15">
        <v>854.23</v>
      </c>
    </row>
    <row r="5964" s="6" customFormat="1" spans="1:2">
      <c r="A5964" s="12">
        <f>DATE(2012,12,31)-1243</f>
        <v>40031</v>
      </c>
      <c r="B5964" s="13">
        <v>47.91</v>
      </c>
    </row>
    <row r="5965" s="6" customFormat="1" spans="1:2">
      <c r="A5965" s="12">
        <f>DATE(2012,12,31)-1243</f>
        <v>40031</v>
      </c>
      <c r="B5965" s="13">
        <v>6427.258</v>
      </c>
    </row>
    <row r="5966" s="6" customFormat="1" spans="1:2">
      <c r="A5966" s="12">
        <f>DATE(2012,12,31)-1259</f>
        <v>40015</v>
      </c>
      <c r="B5966" s="13">
        <v>3361.7585</v>
      </c>
    </row>
    <row r="5967" s="6" customFormat="1" spans="1:2">
      <c r="A5967" s="12">
        <f>DATE(2012,12,31)-1155</f>
        <v>40119</v>
      </c>
      <c r="B5967" s="13">
        <v>63.91</v>
      </c>
    </row>
    <row r="5968" s="6" customFormat="1" spans="1:2">
      <c r="A5968" s="12">
        <f>DATE(2012,12,31)-1155</f>
        <v>40119</v>
      </c>
      <c r="B5968" s="13">
        <v>1909.0065</v>
      </c>
    </row>
    <row r="5969" s="6" customFormat="1" spans="1:2">
      <c r="A5969" s="12">
        <f>DATE(2012,12,31)-1418</f>
        <v>39856</v>
      </c>
      <c r="B5969" s="13">
        <v>206.54</v>
      </c>
    </row>
    <row r="5970" s="6" customFormat="1" spans="1:2">
      <c r="A5970" s="12">
        <f>DATE(2012,12,31)-1214</f>
        <v>40060</v>
      </c>
      <c r="B5970" s="13">
        <v>9501.624</v>
      </c>
    </row>
    <row r="5971" s="6" customFormat="1" spans="1:2">
      <c r="A5971" s="12">
        <f>DATE(2012,12,31)-1214</f>
        <v>40060</v>
      </c>
      <c r="B5971" s="13">
        <v>318.14</v>
      </c>
    </row>
    <row r="5972" s="6" customFormat="1" spans="1:2">
      <c r="A5972" s="12">
        <f>DATE(2012,12,31)-1235</f>
        <v>40039</v>
      </c>
      <c r="B5972" s="13">
        <v>3412.08</v>
      </c>
    </row>
    <row r="5973" s="6" customFormat="1" spans="1:2">
      <c r="A5973" s="12">
        <f>DATE(2012,12,31)-1235</f>
        <v>40039</v>
      </c>
      <c r="B5973" s="13">
        <v>1311.68</v>
      </c>
    </row>
    <row r="5974" s="6" customFormat="1" spans="1:2">
      <c r="A5974" s="12">
        <f>DATE(2012,12,31)-879</f>
        <v>40395</v>
      </c>
      <c r="B5974" s="13">
        <v>786.26</v>
      </c>
    </row>
    <row r="5975" s="6" customFormat="1" spans="1:2">
      <c r="A5975" s="12">
        <f>DATE(2012,12,31)-406</f>
        <v>40868</v>
      </c>
      <c r="B5975" s="13">
        <v>125.27</v>
      </c>
    </row>
    <row r="5976" s="6" customFormat="1" spans="1:2">
      <c r="A5976" s="12">
        <f>DATE(2012,12,31)-502</f>
        <v>40772</v>
      </c>
      <c r="B5976" s="13">
        <v>127.32</v>
      </c>
    </row>
    <row r="5977" s="6" customFormat="1" spans="1:2">
      <c r="A5977" s="12">
        <f>DATE(2012,12,31)-167</f>
        <v>41107</v>
      </c>
      <c r="B5977" s="13">
        <v>205.32</v>
      </c>
    </row>
    <row r="5978" s="6" customFormat="1" spans="1:2">
      <c r="A5978" s="12">
        <f>DATE(2012,12,31)-167</f>
        <v>41107</v>
      </c>
      <c r="B5978" s="13">
        <v>807.6</v>
      </c>
    </row>
    <row r="5979" s="6" customFormat="1" spans="1:2">
      <c r="A5979" s="12">
        <f>DATE(2012,12,31)-167</f>
        <v>41107</v>
      </c>
      <c r="B5979" s="13">
        <v>694.17</v>
      </c>
    </row>
    <row r="5980" s="6" customFormat="1" spans="1:2">
      <c r="A5980" s="12">
        <f>DATE(2012,12,31)-822</f>
        <v>40452</v>
      </c>
      <c r="B5980" s="13">
        <v>138.45</v>
      </c>
    </row>
    <row r="5981" s="6" customFormat="1" spans="1:2">
      <c r="A5981" s="12">
        <f>DATE(2012,12,31)-144</f>
        <v>41130</v>
      </c>
      <c r="B5981" s="13">
        <v>865.27</v>
      </c>
    </row>
    <row r="5982" s="6" customFormat="1" spans="1:2">
      <c r="A5982" s="12">
        <f>DATE(2012,12,31)-144</f>
        <v>41130</v>
      </c>
      <c r="B5982" s="13">
        <v>429.28</v>
      </c>
    </row>
    <row r="5983" spans="1:2">
      <c r="A5983" s="14">
        <f>DATE(2012,12,31)-1290</f>
        <v>39984</v>
      </c>
      <c r="B5983" s="15">
        <v>117.84</v>
      </c>
    </row>
    <row r="5984" s="6" customFormat="1" spans="1:2">
      <c r="A5984" s="12">
        <f>DATE(2012,12,31)-1290</f>
        <v>39984</v>
      </c>
      <c r="B5984" s="13">
        <v>121.2</v>
      </c>
    </row>
    <row r="5985" s="6" customFormat="1" spans="1:2">
      <c r="A5985" s="12">
        <f>DATE(2012,12,31)-1075</f>
        <v>40199</v>
      </c>
      <c r="B5985" s="13">
        <v>81.68</v>
      </c>
    </row>
    <row r="5986" s="6" customFormat="1" spans="1:2">
      <c r="A5986" s="12">
        <f>DATE(2012,12,31)-144</f>
        <v>41130</v>
      </c>
      <c r="B5986" s="13">
        <v>10994.74</v>
      </c>
    </row>
    <row r="5987" s="6" customFormat="1" spans="1:2">
      <c r="A5987" s="12">
        <f>DATE(2012,12,31)-301</f>
        <v>40973</v>
      </c>
      <c r="B5987" s="13">
        <v>19461.8</v>
      </c>
    </row>
    <row r="5988" s="6" customFormat="1" spans="1:2">
      <c r="A5988" s="12">
        <f>DATE(2012,12,31)-301</f>
        <v>40973</v>
      </c>
      <c r="B5988" s="13">
        <v>313.85</v>
      </c>
    </row>
    <row r="5989" s="6" customFormat="1" spans="1:2">
      <c r="A5989" s="12">
        <f>DATE(2012,12,31)-926</f>
        <v>40348</v>
      </c>
      <c r="B5989" s="13">
        <v>164.5</v>
      </c>
    </row>
    <row r="5990" s="6" customFormat="1" spans="1:2">
      <c r="A5990" s="12">
        <f>DATE(2012,12,31)-741</f>
        <v>40533</v>
      </c>
      <c r="B5990" s="13">
        <v>102.32</v>
      </c>
    </row>
    <row r="5991" s="6" customFormat="1" spans="1:2">
      <c r="A5991" s="12">
        <f>DATE(2012,12,31)-809</f>
        <v>40465</v>
      </c>
      <c r="B5991" s="13">
        <v>238.88</v>
      </c>
    </row>
    <row r="5992" s="6" customFormat="1" spans="1:2">
      <c r="A5992" s="12">
        <f>DATE(2012,12,31)-809</f>
        <v>40465</v>
      </c>
      <c r="B5992" s="13">
        <v>1235.29</v>
      </c>
    </row>
    <row r="5993" s="6" customFormat="1" spans="1:2">
      <c r="A5993" s="12">
        <f>DATE(2012,12,31)-809</f>
        <v>40465</v>
      </c>
      <c r="B5993" s="13">
        <v>1928.327</v>
      </c>
    </row>
    <row r="5994" s="6" customFormat="1" spans="1:2">
      <c r="A5994" s="12">
        <f>DATE(2012,12,31)-53</f>
        <v>41221</v>
      </c>
      <c r="B5994" s="13">
        <v>934.87</v>
      </c>
    </row>
    <row r="5995" spans="1:2">
      <c r="A5995" s="14">
        <f>DATE(2012,12,31)-53</f>
        <v>41221</v>
      </c>
      <c r="B5995" s="15">
        <v>2130.82</v>
      </c>
    </row>
    <row r="5996" s="6" customFormat="1" spans="1:2">
      <c r="A5996" s="12">
        <f>DATE(2012,12,31)-297</f>
        <v>40977</v>
      </c>
      <c r="B5996" s="13">
        <v>44.89</v>
      </c>
    </row>
    <row r="5997" spans="1:2">
      <c r="A5997" s="14">
        <f>DATE(2012,12,31)-1060</f>
        <v>40214</v>
      </c>
      <c r="B5997" s="15">
        <v>1836.06</v>
      </c>
    </row>
    <row r="5998" s="6" customFormat="1" spans="1:2">
      <c r="A5998" s="12">
        <f>DATE(2012,12,31)-1060</f>
        <v>40214</v>
      </c>
      <c r="B5998" s="13">
        <v>21.03</v>
      </c>
    </row>
    <row r="5999" s="6" customFormat="1" spans="1:2">
      <c r="A5999" s="12">
        <f>DATE(2012,12,31)-1042</f>
        <v>40232</v>
      </c>
      <c r="B5999" s="13">
        <v>1356.45</v>
      </c>
    </row>
    <row r="6000" s="6" customFormat="1" spans="1:2">
      <c r="A6000" s="12">
        <f>DATE(2012,12,31)-1042</f>
        <v>40232</v>
      </c>
      <c r="B6000" s="13">
        <v>250.75</v>
      </c>
    </row>
    <row r="6001" s="6" customFormat="1" spans="1:2">
      <c r="A6001" s="12">
        <f>DATE(2012,12,31)-1042</f>
        <v>40232</v>
      </c>
      <c r="B6001" s="13">
        <v>313.05</v>
      </c>
    </row>
    <row r="6002" s="6" customFormat="1" spans="1:2">
      <c r="A6002" s="12">
        <f>DATE(2012,12,31)-1042</f>
        <v>40232</v>
      </c>
      <c r="B6002" s="13">
        <v>161.28</v>
      </c>
    </row>
    <row r="6003" spans="1:2">
      <c r="A6003" s="14">
        <f>DATE(2012,12,31)-1042</f>
        <v>40232</v>
      </c>
      <c r="B6003" s="15">
        <v>200.7</v>
      </c>
    </row>
    <row r="6004" spans="1:2">
      <c r="A6004" s="14">
        <f>DATE(2012,12,31)-813</f>
        <v>40461</v>
      </c>
      <c r="B6004" s="15">
        <v>6.34</v>
      </c>
    </row>
    <row r="6005" spans="1:2">
      <c r="A6005" s="14">
        <f>DATE(2012,12,31)-813</f>
        <v>40461</v>
      </c>
      <c r="B6005" s="15">
        <v>57.15</v>
      </c>
    </row>
    <row r="6006" s="6" customFormat="1" spans="1:2">
      <c r="A6006" s="12">
        <f>DATE(2012,12,31)-813</f>
        <v>40461</v>
      </c>
      <c r="B6006" s="13">
        <v>2996.93</v>
      </c>
    </row>
    <row r="6007" s="6" customFormat="1" spans="1:2">
      <c r="A6007" s="12">
        <f>DATE(2012,12,31)-1059</f>
        <v>40215</v>
      </c>
      <c r="B6007" s="13">
        <v>1062.959</v>
      </c>
    </row>
    <row r="6008" s="6" customFormat="1" spans="1:2">
      <c r="A6008" s="12">
        <f>DATE(2012,12,31)-872</f>
        <v>40402</v>
      </c>
      <c r="B6008" s="13">
        <v>44.25</v>
      </c>
    </row>
    <row r="6009" s="6" customFormat="1" spans="1:2">
      <c r="A6009" s="12">
        <f>DATE(2012,12,31)-110</f>
        <v>41164</v>
      </c>
      <c r="B6009" s="13">
        <v>7468.86</v>
      </c>
    </row>
    <row r="6010" s="6" customFormat="1" spans="1:2">
      <c r="A6010" s="12">
        <f>DATE(2012,12,31)-831</f>
        <v>40443</v>
      </c>
      <c r="B6010" s="13">
        <v>283.8</v>
      </c>
    </row>
    <row r="6011" s="6" customFormat="1" spans="1:2">
      <c r="A6011" s="12">
        <f>DATE(2012,12,31)-1085</f>
        <v>40189</v>
      </c>
      <c r="B6011" s="13">
        <v>1940.32</v>
      </c>
    </row>
    <row r="6012" s="6" customFormat="1" spans="1:2">
      <c r="A6012" s="12">
        <f>DATE(2012,12,31)-139</f>
        <v>41135</v>
      </c>
      <c r="B6012" s="13">
        <v>51.75</v>
      </c>
    </row>
    <row r="6013" s="6" customFormat="1" spans="1:2">
      <c r="A6013" s="12">
        <f>DATE(2012,12,31)-1012</f>
        <v>40262</v>
      </c>
      <c r="B6013" s="13">
        <v>29.66</v>
      </c>
    </row>
    <row r="6014" s="6" customFormat="1" spans="1:2">
      <c r="A6014" s="12">
        <f>DATE(2012,12,31)-1365</f>
        <v>39909</v>
      </c>
      <c r="B6014" s="13">
        <v>9459.94</v>
      </c>
    </row>
    <row r="6015" s="6" customFormat="1" spans="1:2">
      <c r="A6015" s="12">
        <f>DATE(2012,12,31)-606</f>
        <v>40668</v>
      </c>
      <c r="B6015" s="13">
        <v>1199.336</v>
      </c>
    </row>
    <row r="6016" s="6" customFormat="1" spans="1:2">
      <c r="A6016" s="12">
        <f>DATE(2012,12,31)-1332</f>
        <v>39942</v>
      </c>
      <c r="B6016" s="13">
        <v>257.66</v>
      </c>
    </row>
    <row r="6017" s="6" customFormat="1" spans="1:2">
      <c r="A6017" s="12">
        <f>DATE(2012,12,31)-1332</f>
        <v>39942</v>
      </c>
      <c r="B6017" s="13">
        <v>211.4</v>
      </c>
    </row>
    <row r="6018" s="6" customFormat="1" spans="1:2">
      <c r="A6018" s="12">
        <f>DATE(2012,12,31)-1332</f>
        <v>39942</v>
      </c>
      <c r="B6018" s="13">
        <v>287.22</v>
      </c>
    </row>
    <row r="6019" s="6" customFormat="1" spans="1:2">
      <c r="A6019" s="12">
        <f>DATE(2012,12,31)-1332</f>
        <v>39942</v>
      </c>
      <c r="B6019" s="13">
        <v>1148.0355</v>
      </c>
    </row>
    <row r="6020" s="6" customFormat="1" spans="1:2">
      <c r="A6020" s="12">
        <f>DATE(2012,12,31)-455</f>
        <v>40819</v>
      </c>
      <c r="B6020" s="13">
        <v>945.54</v>
      </c>
    </row>
    <row r="6021" s="6" customFormat="1" spans="1:2">
      <c r="A6021" s="12">
        <f>DATE(2012,12,31)-930</f>
        <v>40344</v>
      </c>
      <c r="B6021" s="13">
        <v>146.68</v>
      </c>
    </row>
    <row r="6022" s="6" customFormat="1" spans="1:2">
      <c r="A6022" s="12">
        <f>DATE(2012,12,31)-825</f>
        <v>40449</v>
      </c>
      <c r="B6022" s="13">
        <v>18697.24</v>
      </c>
    </row>
    <row r="6023" s="6" customFormat="1" spans="1:2">
      <c r="A6023" s="12">
        <f>DATE(2012,12,31)-825</f>
        <v>40449</v>
      </c>
      <c r="B6023" s="13">
        <v>786.13</v>
      </c>
    </row>
    <row r="6024" s="6" customFormat="1" spans="1:2">
      <c r="A6024" s="12">
        <f>DATE(2012,12,31)-952</f>
        <v>40322</v>
      </c>
      <c r="B6024" s="13">
        <v>2447.65</v>
      </c>
    </row>
    <row r="6025" s="6" customFormat="1" spans="1:2">
      <c r="A6025" s="12">
        <f>DATE(2012,12,31)-952</f>
        <v>40322</v>
      </c>
      <c r="B6025" s="13">
        <v>1069.64</v>
      </c>
    </row>
    <row r="6026" s="6" customFormat="1" spans="1:2">
      <c r="A6026" s="12">
        <f>DATE(2012,12,31)-377</f>
        <v>40897</v>
      </c>
      <c r="B6026" s="13">
        <v>248.86</v>
      </c>
    </row>
    <row r="6027" s="6" customFormat="1" spans="1:2">
      <c r="A6027" s="12">
        <f>DATE(2012,12,31)-377</f>
        <v>40897</v>
      </c>
      <c r="B6027" s="13">
        <v>278.01</v>
      </c>
    </row>
    <row r="6028" s="6" customFormat="1" spans="1:2">
      <c r="A6028" s="12">
        <f>DATE(2012,12,31)-740</f>
        <v>40534</v>
      </c>
      <c r="B6028" s="13">
        <v>710.328</v>
      </c>
    </row>
    <row r="6029" s="6" customFormat="1" spans="1:2">
      <c r="A6029" s="12">
        <f>DATE(2012,12,31)-85</f>
        <v>41189</v>
      </c>
      <c r="B6029" s="13">
        <v>1152.16</v>
      </c>
    </row>
    <row r="6030" s="6" customFormat="1" spans="1:2">
      <c r="A6030" s="12">
        <f>DATE(2012,12,31)-85</f>
        <v>41189</v>
      </c>
      <c r="B6030" s="13">
        <v>19.9</v>
      </c>
    </row>
    <row r="6031" s="6" customFormat="1" spans="1:2">
      <c r="A6031" s="12">
        <f>DATE(2012,12,31)-609</f>
        <v>40665</v>
      </c>
      <c r="B6031" s="13">
        <v>231.06</v>
      </c>
    </row>
    <row r="6032" s="6" customFormat="1" spans="1:2">
      <c r="A6032" s="12">
        <f>DATE(2012,12,31)-612</f>
        <v>40662</v>
      </c>
      <c r="B6032" s="13">
        <v>5510.23</v>
      </c>
    </row>
    <row r="6033" s="6" customFormat="1" spans="1:2">
      <c r="A6033" s="12">
        <f>DATE(2012,12,31)-612</f>
        <v>40662</v>
      </c>
      <c r="B6033" s="13">
        <v>177.06</v>
      </c>
    </row>
    <row r="6034" s="6" customFormat="1" spans="1:2">
      <c r="A6034" s="12">
        <f>DATE(2012,12,31)-348</f>
        <v>40926</v>
      </c>
      <c r="B6034" s="13">
        <v>4072.8175</v>
      </c>
    </row>
    <row r="6035" s="6" customFormat="1" spans="1:2">
      <c r="A6035" s="12">
        <f>DATE(2012,12,31)-860</f>
        <v>40414</v>
      </c>
      <c r="B6035" s="13">
        <v>341.71</v>
      </c>
    </row>
    <row r="6036" s="6" customFormat="1" spans="1:2">
      <c r="A6036" s="12">
        <f>DATE(2012,12,31)-51</f>
        <v>41223</v>
      </c>
      <c r="B6036" s="13">
        <v>1769.74</v>
      </c>
    </row>
    <row r="6037" s="6" customFormat="1" spans="1:2">
      <c r="A6037" s="12">
        <f>DATE(2012,12,31)-51</f>
        <v>41223</v>
      </c>
      <c r="B6037" s="13">
        <v>638.07</v>
      </c>
    </row>
    <row r="6038" s="6" customFormat="1" spans="1:2">
      <c r="A6038" s="12">
        <f>DATE(2012,12,31)-445</f>
        <v>40829</v>
      </c>
      <c r="B6038" s="13">
        <v>241.92</v>
      </c>
    </row>
    <row r="6039" s="6" customFormat="1" spans="1:2">
      <c r="A6039" s="12">
        <f>DATE(2012,12,31)-1049</f>
        <v>40225</v>
      </c>
      <c r="B6039" s="13">
        <v>141.56</v>
      </c>
    </row>
    <row r="6040" s="6" customFormat="1" spans="1:2">
      <c r="A6040" s="12">
        <f>DATE(2012,12,31)-920</f>
        <v>40354</v>
      </c>
      <c r="B6040" s="13">
        <v>49.14</v>
      </c>
    </row>
    <row r="6041" s="6" customFormat="1" spans="1:2">
      <c r="A6041" s="12">
        <f>DATE(2012,12,31)-86</f>
        <v>41188</v>
      </c>
      <c r="B6041" s="13">
        <v>387.79</v>
      </c>
    </row>
    <row r="6042" s="6" customFormat="1" spans="1:2">
      <c r="A6042" s="12">
        <f>DATE(2012,12,31)-1309</f>
        <v>39965</v>
      </c>
      <c r="B6042" s="13">
        <v>24.32</v>
      </c>
    </row>
    <row r="6043" s="6" customFormat="1" spans="1:2">
      <c r="A6043" s="12">
        <f>DATE(2012,12,31)-1309</f>
        <v>39965</v>
      </c>
      <c r="B6043" s="13">
        <v>344.301</v>
      </c>
    </row>
    <row r="6044" spans="1:2">
      <c r="A6044" s="14">
        <f>DATE(2012,12,31)-1107</f>
        <v>40167</v>
      </c>
      <c r="B6044" s="15">
        <v>129.9</v>
      </c>
    </row>
    <row r="6045" s="6" customFormat="1" spans="1:2">
      <c r="A6045" s="12">
        <f>DATE(2012,12,31)-542</f>
        <v>40732</v>
      </c>
      <c r="B6045" s="13">
        <v>135.38</v>
      </c>
    </row>
    <row r="6046" s="6" customFormat="1" spans="1:2">
      <c r="A6046" s="12">
        <f>DATE(2012,12,31)-796</f>
        <v>40478</v>
      </c>
      <c r="B6046" s="13">
        <v>204.07</v>
      </c>
    </row>
    <row r="6047" s="6" customFormat="1" spans="1:2">
      <c r="A6047" s="12">
        <f>DATE(2012,12,31)-1025</f>
        <v>40249</v>
      </c>
      <c r="B6047" s="13">
        <v>12098.87</v>
      </c>
    </row>
    <row r="6048" spans="1:2">
      <c r="A6048" s="14">
        <f>DATE(2012,12,31)-358</f>
        <v>40916</v>
      </c>
      <c r="B6048" s="15">
        <v>162.57</v>
      </c>
    </row>
    <row r="6049" s="6" customFormat="1" spans="1:2">
      <c r="A6049" s="12">
        <f>DATE(2012,12,31)-204</f>
        <v>41070</v>
      </c>
      <c r="B6049" s="13">
        <v>35.68</v>
      </c>
    </row>
    <row r="6050" s="6" customFormat="1" spans="1:2">
      <c r="A6050" s="12">
        <f>DATE(2012,12,31)-204</f>
        <v>41070</v>
      </c>
      <c r="B6050" s="13">
        <v>234.76</v>
      </c>
    </row>
    <row r="6051" s="6" customFormat="1" spans="1:2">
      <c r="A6051" s="12">
        <f>DATE(2012,12,31)-204</f>
        <v>41070</v>
      </c>
      <c r="B6051" s="13">
        <v>498.49</v>
      </c>
    </row>
    <row r="6052" s="6" customFormat="1" spans="1:2">
      <c r="A6052" s="12">
        <f>DATE(2012,12,31)-972</f>
        <v>40302</v>
      </c>
      <c r="B6052" s="13">
        <v>52.59</v>
      </c>
    </row>
    <row r="6053" s="6" customFormat="1" spans="1:2">
      <c r="A6053" s="12">
        <f>DATE(2012,12,31)-589</f>
        <v>40685</v>
      </c>
      <c r="B6053" s="13">
        <v>648.26</v>
      </c>
    </row>
    <row r="6054" s="6" customFormat="1" spans="1:2">
      <c r="A6054" s="12">
        <f>DATE(2012,12,31)-589</f>
        <v>40685</v>
      </c>
      <c r="B6054" s="13">
        <v>410.43</v>
      </c>
    </row>
    <row r="6055" spans="1:2">
      <c r="A6055" s="14">
        <f>DATE(2012,12,31)-589</f>
        <v>40685</v>
      </c>
      <c r="B6055" s="15">
        <v>468.95</v>
      </c>
    </row>
    <row r="6056" s="6" customFormat="1" spans="1:2">
      <c r="A6056" s="12">
        <f>DATE(2012,12,31)-452</f>
        <v>40822</v>
      </c>
      <c r="B6056" s="13">
        <v>1143.4285</v>
      </c>
    </row>
    <row r="6057" s="6" customFormat="1" spans="1:2">
      <c r="A6057" s="12">
        <f>DATE(2012,12,31)-43</f>
        <v>41231</v>
      </c>
      <c r="B6057" s="13">
        <v>9750.55</v>
      </c>
    </row>
    <row r="6058" spans="1:2">
      <c r="A6058" s="14">
        <f>DATE(2012,12,31)-2</f>
        <v>41272</v>
      </c>
      <c r="B6058" s="15">
        <v>178.7</v>
      </c>
    </row>
    <row r="6059" s="6" customFormat="1" spans="1:2">
      <c r="A6059" s="12">
        <f>DATE(2012,12,31)-106</f>
        <v>41168</v>
      </c>
      <c r="B6059" s="13">
        <v>2104.991</v>
      </c>
    </row>
    <row r="6060" s="6" customFormat="1" spans="1:2">
      <c r="A6060" s="12">
        <f>DATE(2012,12,31)-610</f>
        <v>40664</v>
      </c>
      <c r="B6060" s="13">
        <v>2770.79</v>
      </c>
    </row>
    <row r="6061" s="6" customFormat="1" spans="1:2">
      <c r="A6061" s="12">
        <f>DATE(2012,12,31)-1311</f>
        <v>39963</v>
      </c>
      <c r="B6061" s="13">
        <v>3510.82</v>
      </c>
    </row>
    <row r="6062" s="6" customFormat="1" spans="1:2">
      <c r="A6062" s="12">
        <f>DATE(2012,12,31)-157</f>
        <v>41117</v>
      </c>
      <c r="B6062" s="13">
        <v>1318.34</v>
      </c>
    </row>
    <row r="6063" s="6" customFormat="1" spans="1:2">
      <c r="A6063" s="12">
        <f>DATE(2012,12,31)-157</f>
        <v>41117</v>
      </c>
      <c r="B6063" s="13">
        <v>1587.59</v>
      </c>
    </row>
    <row r="6064" s="6" customFormat="1" spans="1:2">
      <c r="A6064" s="12">
        <f>DATE(2012,12,31)-83</f>
        <v>41191</v>
      </c>
      <c r="B6064" s="13">
        <v>233.2</v>
      </c>
    </row>
    <row r="6065" s="6" customFormat="1" spans="1:2">
      <c r="A6065" s="12">
        <f>DATE(2012,12,31)-83</f>
        <v>41191</v>
      </c>
      <c r="B6065" s="13">
        <v>245.53</v>
      </c>
    </row>
    <row r="6066" s="6" customFormat="1" spans="1:2">
      <c r="A6066" s="12">
        <f>DATE(2012,12,31)-619</f>
        <v>40655</v>
      </c>
      <c r="B6066" s="13">
        <v>2437.67</v>
      </c>
    </row>
    <row r="6067" s="6" customFormat="1" spans="1:2">
      <c r="A6067" s="12">
        <f>DATE(2012,12,31)-619</f>
        <v>40655</v>
      </c>
      <c r="B6067" s="13">
        <v>1438.33</v>
      </c>
    </row>
    <row r="6068" s="6" customFormat="1" spans="1:2">
      <c r="A6068" s="12">
        <f>DATE(2012,12,31)-261</f>
        <v>41013</v>
      </c>
      <c r="B6068" s="13">
        <v>904.12</v>
      </c>
    </row>
    <row r="6069" s="6" customFormat="1" spans="1:2">
      <c r="A6069" s="12">
        <f>DATE(2012,12,31)-200</f>
        <v>41074</v>
      </c>
      <c r="B6069" s="13">
        <v>5301.2</v>
      </c>
    </row>
    <row r="6070" s="6" customFormat="1" spans="1:2">
      <c r="A6070" s="12">
        <f>DATE(2012,12,31)-200</f>
        <v>41074</v>
      </c>
      <c r="B6070" s="13">
        <v>418.44</v>
      </c>
    </row>
    <row r="6071" s="6" customFormat="1" spans="1:2">
      <c r="A6071" s="12">
        <f>DATE(2012,12,31)-929</f>
        <v>40345</v>
      </c>
      <c r="B6071" s="13">
        <v>3636.37</v>
      </c>
    </row>
    <row r="6072" s="6" customFormat="1" spans="1:2">
      <c r="A6072" s="12">
        <f>DATE(2012,12,31)-1259</f>
        <v>40015</v>
      </c>
      <c r="B6072" s="13">
        <v>1184.03</v>
      </c>
    </row>
    <row r="6073" s="6" customFormat="1" spans="1:2">
      <c r="A6073" s="12">
        <f>DATE(2012,12,31)-64</f>
        <v>41210</v>
      </c>
      <c r="B6073" s="13">
        <v>4648.52</v>
      </c>
    </row>
    <row r="6074" s="6" customFormat="1" spans="1:2">
      <c r="A6074" s="12">
        <f>DATE(2012,12,31)-10</f>
        <v>41264</v>
      </c>
      <c r="B6074" s="13">
        <v>281.84</v>
      </c>
    </row>
    <row r="6075" s="6" customFormat="1" spans="1:2">
      <c r="A6075" s="12">
        <f>DATE(2012,12,31)-10</f>
        <v>41264</v>
      </c>
      <c r="B6075" s="13">
        <v>509.52</v>
      </c>
    </row>
    <row r="6076" s="6" customFormat="1" spans="1:2">
      <c r="A6076" s="12">
        <f>DATE(2012,12,31)-10</f>
        <v>41264</v>
      </c>
      <c r="B6076" s="13">
        <v>97.02</v>
      </c>
    </row>
    <row r="6077" s="6" customFormat="1" spans="1:2">
      <c r="A6077" s="12">
        <f>DATE(2012,12,31)-694</f>
        <v>40580</v>
      </c>
      <c r="B6077" s="13">
        <v>21.01</v>
      </c>
    </row>
    <row r="6078" s="6" customFormat="1" spans="1:2">
      <c r="A6078" s="12">
        <f>DATE(2012,12,31)-694</f>
        <v>40580</v>
      </c>
      <c r="B6078" s="13">
        <v>3457.99</v>
      </c>
    </row>
    <row r="6079" s="6" customFormat="1" spans="1:2">
      <c r="A6079" s="12">
        <f>DATE(2012,12,31)-476</f>
        <v>40798</v>
      </c>
      <c r="B6079" s="13">
        <v>4722.83</v>
      </c>
    </row>
    <row r="6080" s="6" customFormat="1" spans="1:2">
      <c r="A6080" s="12">
        <f>DATE(2012,12,31)-674</f>
        <v>40600</v>
      </c>
      <c r="B6080" s="13">
        <v>6069.05</v>
      </c>
    </row>
    <row r="6081" s="6" customFormat="1" spans="1:2">
      <c r="A6081" s="12">
        <f>DATE(2012,12,31)-292</f>
        <v>40982</v>
      </c>
      <c r="B6081" s="13">
        <v>1334.05</v>
      </c>
    </row>
    <row r="6082" s="6" customFormat="1" spans="1:2">
      <c r="A6082" s="12">
        <f>DATE(2012,12,31)-292</f>
        <v>40982</v>
      </c>
      <c r="B6082" s="13">
        <v>6552.86</v>
      </c>
    </row>
    <row r="6083" s="6" customFormat="1" spans="1:2">
      <c r="A6083" s="12">
        <f>DATE(2012,12,31)-1384</f>
        <v>39890</v>
      </c>
      <c r="B6083" s="13">
        <v>130.16</v>
      </c>
    </row>
    <row r="6084" s="6" customFormat="1" spans="1:2">
      <c r="A6084" s="12">
        <f>DATE(2012,12,31)-963</f>
        <v>40311</v>
      </c>
      <c r="B6084" s="13">
        <v>7667.78</v>
      </c>
    </row>
    <row r="6085" s="6" customFormat="1" spans="1:2">
      <c r="A6085" s="12">
        <f>DATE(2012,12,31)-963</f>
        <v>40311</v>
      </c>
      <c r="B6085" s="13">
        <v>1305.85</v>
      </c>
    </row>
    <row r="6086" s="6" customFormat="1" spans="1:2">
      <c r="A6086" s="12">
        <f>DATE(2012,12,31)-1277</f>
        <v>39997</v>
      </c>
      <c r="B6086" s="13">
        <v>28.34</v>
      </c>
    </row>
    <row r="6087" s="6" customFormat="1" spans="1:2">
      <c r="A6087" s="12">
        <f>DATE(2012,12,31)-884</f>
        <v>40390</v>
      </c>
      <c r="B6087" s="13">
        <v>554.32</v>
      </c>
    </row>
    <row r="6088" s="6" customFormat="1" spans="1:2">
      <c r="A6088" s="12">
        <f>DATE(2012,12,31)-884</f>
        <v>40390</v>
      </c>
      <c r="B6088" s="13">
        <v>1073.567</v>
      </c>
    </row>
    <row r="6089" spans="1:2">
      <c r="A6089" s="14">
        <f>DATE(2012,12,31)-321</f>
        <v>40953</v>
      </c>
      <c r="B6089" s="15">
        <v>225.16</v>
      </c>
    </row>
    <row r="6090" s="6" customFormat="1" spans="1:2">
      <c r="A6090" s="12">
        <f>DATE(2012,12,31)-1226</f>
        <v>40048</v>
      </c>
      <c r="B6090" s="13">
        <v>587.88</v>
      </c>
    </row>
    <row r="6091" s="6" customFormat="1" spans="1:2">
      <c r="A6091" s="12">
        <f>DATE(2012,12,31)-936</f>
        <v>40338</v>
      </c>
      <c r="B6091" s="13">
        <v>2207.9</v>
      </c>
    </row>
    <row r="6092" s="6" customFormat="1" spans="1:2">
      <c r="A6092" s="12">
        <f>DATE(2012,12,31)-936</f>
        <v>40338</v>
      </c>
      <c r="B6092" s="13">
        <v>139.93</v>
      </c>
    </row>
    <row r="6093" s="6" customFormat="1" spans="1:2">
      <c r="A6093" s="12">
        <f>DATE(2012,12,31)-936</f>
        <v>40338</v>
      </c>
      <c r="B6093" s="13">
        <v>15.45</v>
      </c>
    </row>
    <row r="6094" s="6" customFormat="1" spans="1:2">
      <c r="A6094" s="12">
        <f>DATE(2012,12,31)-926</f>
        <v>40348</v>
      </c>
      <c r="B6094" s="13">
        <v>203.48</v>
      </c>
    </row>
    <row r="6095" s="6" customFormat="1" spans="1:2">
      <c r="A6095" s="12">
        <f>DATE(2012,12,31)-912</f>
        <v>40362</v>
      </c>
      <c r="B6095" s="13">
        <v>205.33</v>
      </c>
    </row>
    <row r="6096" s="6" customFormat="1" spans="1:2">
      <c r="A6096" s="12">
        <f>DATE(2012,12,31)-656</f>
        <v>40618</v>
      </c>
      <c r="B6096" s="13">
        <v>270.25</v>
      </c>
    </row>
    <row r="6097" s="6" customFormat="1" spans="1:2">
      <c r="A6097" s="12">
        <f>DATE(2012,12,31)-595</f>
        <v>40679</v>
      </c>
      <c r="B6097" s="13">
        <v>1368.14</v>
      </c>
    </row>
    <row r="6098" s="6" customFormat="1" spans="1:2">
      <c r="A6098" s="12">
        <f>DATE(2012,12,31)-1361</f>
        <v>39913</v>
      </c>
      <c r="B6098" s="13">
        <v>843.15</v>
      </c>
    </row>
    <row r="6099" s="6" customFormat="1" spans="1:2">
      <c r="A6099" s="12">
        <f>DATE(2012,12,31)-1361</f>
        <v>39913</v>
      </c>
      <c r="B6099" s="13">
        <v>3978.02</v>
      </c>
    </row>
    <row r="6100" s="6" customFormat="1" spans="1:2">
      <c r="A6100" s="12">
        <f>DATE(2012,12,31)-121</f>
        <v>41153</v>
      </c>
      <c r="B6100" s="13">
        <v>343.92</v>
      </c>
    </row>
    <row r="6101" s="6" customFormat="1" spans="1:2">
      <c r="A6101" s="12">
        <f>DATE(2012,12,31)-1034</f>
        <v>40240</v>
      </c>
      <c r="B6101" s="13">
        <v>7.75</v>
      </c>
    </row>
    <row r="6102" s="6" customFormat="1" spans="1:2">
      <c r="A6102" s="12">
        <f>DATE(2012,12,31)-303</f>
        <v>40971</v>
      </c>
      <c r="B6102" s="13">
        <v>1665.81</v>
      </c>
    </row>
    <row r="6103" s="6" customFormat="1" spans="1:2">
      <c r="A6103" s="12">
        <f>DATE(2012,12,31)-540</f>
        <v>40734</v>
      </c>
      <c r="B6103" s="13">
        <v>5964.19</v>
      </c>
    </row>
    <row r="6104" s="6" customFormat="1" spans="1:2">
      <c r="A6104" s="12">
        <f>DATE(2012,12,31)-540</f>
        <v>40734</v>
      </c>
      <c r="B6104" s="13">
        <v>109.2</v>
      </c>
    </row>
    <row r="6105" s="6" customFormat="1" spans="1:2">
      <c r="A6105" s="12">
        <f>DATE(2012,12,31)-1228</f>
        <v>40046</v>
      </c>
      <c r="B6105" s="13">
        <v>3537.84</v>
      </c>
    </row>
    <row r="6106" s="6" customFormat="1" spans="1:2">
      <c r="A6106" s="12">
        <f>DATE(2012,12,31)-1228</f>
        <v>40046</v>
      </c>
      <c r="B6106" s="13">
        <v>2221.2</v>
      </c>
    </row>
    <row r="6107" s="6" customFormat="1" spans="1:2">
      <c r="A6107" s="12">
        <f>DATE(2012,12,31)-496</f>
        <v>40778</v>
      </c>
      <c r="B6107" s="13">
        <v>6888.6635</v>
      </c>
    </row>
    <row r="6108" s="6" customFormat="1" spans="1:2">
      <c r="A6108" s="12">
        <f>DATE(2012,12,31)-496</f>
        <v>40778</v>
      </c>
      <c r="B6108" s="13">
        <v>8.87</v>
      </c>
    </row>
    <row r="6109" s="6" customFormat="1" spans="1:2">
      <c r="A6109" s="12">
        <f>DATE(2012,12,31)-496</f>
        <v>40778</v>
      </c>
      <c r="B6109" s="13">
        <v>720.613</v>
      </c>
    </row>
    <row r="6110" s="6" customFormat="1" spans="1:2">
      <c r="A6110" s="12">
        <f>DATE(2012,12,31)-1030</f>
        <v>40244</v>
      </c>
      <c r="B6110" s="13">
        <v>2475.83</v>
      </c>
    </row>
    <row r="6111" s="6" customFormat="1" spans="1:2">
      <c r="A6111" s="12">
        <f>DATE(2012,12,31)-1344</f>
        <v>39930</v>
      </c>
      <c r="B6111" s="13">
        <v>2205.7585</v>
      </c>
    </row>
    <row r="6112" s="6" customFormat="1" spans="1:2">
      <c r="A6112" s="12">
        <f>DATE(2012,12,31)-112</f>
        <v>41162</v>
      </c>
      <c r="B6112" s="13">
        <v>1750</v>
      </c>
    </row>
    <row r="6113" s="6" customFormat="1" spans="1:2">
      <c r="A6113" s="12">
        <f>DATE(2012,12,31)-1175</f>
        <v>40099</v>
      </c>
      <c r="B6113" s="13">
        <v>112.16</v>
      </c>
    </row>
    <row r="6114" s="6" customFormat="1" spans="1:2">
      <c r="A6114" s="12">
        <f>DATE(2012,12,31)-1449</f>
        <v>39825</v>
      </c>
      <c r="B6114" s="13">
        <v>15963.09</v>
      </c>
    </row>
    <row r="6115" s="6" customFormat="1" spans="1:2">
      <c r="A6115" s="12">
        <f>DATE(2012,12,31)-1449</f>
        <v>39825</v>
      </c>
      <c r="B6115" s="13">
        <v>58.48</v>
      </c>
    </row>
    <row r="6116" s="6" customFormat="1" spans="1:2">
      <c r="A6116" s="12">
        <f>DATE(2012,12,31)-483</f>
        <v>40791</v>
      </c>
      <c r="B6116" s="13">
        <v>12908.4</v>
      </c>
    </row>
    <row r="6117" s="6" customFormat="1" spans="1:2">
      <c r="A6117" s="12">
        <f>DATE(2012,12,31)-268</f>
        <v>41006</v>
      </c>
      <c r="B6117" s="13">
        <v>524.2</v>
      </c>
    </row>
    <row r="6118" s="6" customFormat="1" spans="1:2">
      <c r="A6118" s="12">
        <f>DATE(2012,12,31)-1028</f>
        <v>40246</v>
      </c>
      <c r="B6118" s="13">
        <v>23.38</v>
      </c>
    </row>
    <row r="6119" s="6" customFormat="1" spans="1:2">
      <c r="A6119" s="12">
        <f>DATE(2012,12,31)-1028</f>
        <v>40246</v>
      </c>
      <c r="B6119" s="13">
        <v>139.37</v>
      </c>
    </row>
    <row r="6120" s="6" customFormat="1" spans="1:2">
      <c r="A6120" s="12">
        <f>DATE(2012,12,31)-1028</f>
        <v>40246</v>
      </c>
      <c r="B6120" s="13">
        <v>1221.62</v>
      </c>
    </row>
    <row r="6121" s="6" customFormat="1" spans="1:2">
      <c r="A6121" s="12">
        <f>DATE(2012,12,31)-731</f>
        <v>40543</v>
      </c>
      <c r="B6121" s="13">
        <v>6553.45</v>
      </c>
    </row>
    <row r="6122" s="6" customFormat="1" spans="1:2">
      <c r="A6122" s="12">
        <f>DATE(2012,12,31)-599</f>
        <v>40675</v>
      </c>
      <c r="B6122" s="13">
        <v>2130.31</v>
      </c>
    </row>
    <row r="6123" s="6" customFormat="1" spans="1:2">
      <c r="A6123" s="12">
        <f>DATE(2012,12,31)-617</f>
        <v>40657</v>
      </c>
      <c r="B6123" s="13">
        <v>1600.85</v>
      </c>
    </row>
    <row r="6124" s="6" customFormat="1" spans="1:2">
      <c r="A6124" s="12">
        <f>DATE(2012,12,31)-1250</f>
        <v>40024</v>
      </c>
      <c r="B6124" s="13">
        <v>59.66</v>
      </c>
    </row>
    <row r="6125" s="6" customFormat="1" spans="1:2">
      <c r="A6125" s="12">
        <f>DATE(2012,12,31)-1250</f>
        <v>40024</v>
      </c>
      <c r="B6125" s="13">
        <v>377.016</v>
      </c>
    </row>
    <row r="6126" s="6" customFormat="1" spans="1:2">
      <c r="A6126" s="12">
        <f>DATE(2012,12,31)-1250</f>
        <v>40024</v>
      </c>
      <c r="B6126" s="13">
        <v>124.7</v>
      </c>
    </row>
    <row r="6127" s="6" customFormat="1" spans="1:2">
      <c r="A6127" s="12">
        <f>DATE(2012,12,31)-501</f>
        <v>40773</v>
      </c>
      <c r="B6127" s="13">
        <v>772.56</v>
      </c>
    </row>
    <row r="6128" s="6" customFormat="1" spans="1:2">
      <c r="A6128" s="12">
        <f>DATE(2012,12,31)-420</f>
        <v>40854</v>
      </c>
      <c r="B6128" s="13">
        <v>13905.88</v>
      </c>
    </row>
    <row r="6129" s="6" customFormat="1" spans="1:2">
      <c r="A6129" s="12">
        <f>DATE(2012,12,31)-203</f>
        <v>41071</v>
      </c>
      <c r="B6129" s="13">
        <v>25.09</v>
      </c>
    </row>
    <row r="6130" spans="1:2">
      <c r="A6130" s="14">
        <f>DATE(2012,12,31)-196</f>
        <v>41078</v>
      </c>
      <c r="B6130" s="15">
        <v>2116.2</v>
      </c>
    </row>
    <row r="6131" s="6" customFormat="1" spans="1:2">
      <c r="A6131" s="12">
        <f>DATE(2012,12,31)-196</f>
        <v>41078</v>
      </c>
      <c r="B6131" s="13">
        <v>766.36</v>
      </c>
    </row>
    <row r="6132" s="6" customFormat="1" spans="1:2">
      <c r="A6132" s="12">
        <f>DATE(2012,12,31)-196</f>
        <v>41078</v>
      </c>
      <c r="B6132" s="13">
        <v>547.32</v>
      </c>
    </row>
    <row r="6133" s="6" customFormat="1" spans="1:2">
      <c r="A6133" s="12">
        <f>DATE(2012,12,31)-196</f>
        <v>41078</v>
      </c>
      <c r="B6133" s="13">
        <v>192.44</v>
      </c>
    </row>
    <row r="6134" s="6" customFormat="1" spans="1:2">
      <c r="A6134" s="12">
        <f>DATE(2012,12,31)-196</f>
        <v>41078</v>
      </c>
      <c r="B6134" s="13">
        <v>1294.35</v>
      </c>
    </row>
    <row r="6135" s="6" customFormat="1" spans="1:2">
      <c r="A6135" s="12">
        <f>DATE(2012,12,31)-235</f>
        <v>41039</v>
      </c>
      <c r="B6135" s="13">
        <v>152.52</v>
      </c>
    </row>
    <row r="6136" spans="1:2">
      <c r="A6136" s="14">
        <f>DATE(2012,12,31)-235</f>
        <v>41039</v>
      </c>
      <c r="B6136" s="15">
        <v>71.6</v>
      </c>
    </row>
    <row r="6137" s="6" customFormat="1" spans="1:2">
      <c r="A6137" s="12">
        <f>DATE(2012,12,31)-235</f>
        <v>41039</v>
      </c>
      <c r="B6137" s="13">
        <v>1699.983</v>
      </c>
    </row>
    <row r="6138" s="6" customFormat="1" spans="1:2">
      <c r="A6138" s="12">
        <f>DATE(2012,12,31)-363</f>
        <v>40911</v>
      </c>
      <c r="B6138" s="13">
        <v>3668.28</v>
      </c>
    </row>
    <row r="6139" s="6" customFormat="1" spans="1:2">
      <c r="A6139" s="12">
        <f>DATE(2012,12,31)-222</f>
        <v>41052</v>
      </c>
      <c r="B6139" s="13">
        <v>295.37</v>
      </c>
    </row>
    <row r="6140" s="6" customFormat="1" spans="1:2">
      <c r="A6140" s="12">
        <f>DATE(2012,12,31)-950</f>
        <v>40324</v>
      </c>
      <c r="B6140" s="13">
        <v>561.06</v>
      </c>
    </row>
    <row r="6141" s="6" customFormat="1" spans="1:2">
      <c r="A6141" s="12">
        <f>DATE(2012,12,31)-950</f>
        <v>40324</v>
      </c>
      <c r="B6141" s="13">
        <v>320.03</v>
      </c>
    </row>
    <row r="6142" s="6" customFormat="1" spans="1:2">
      <c r="A6142" s="12">
        <f>DATE(2012,12,31)-1327</f>
        <v>39947</v>
      </c>
      <c r="B6142" s="13">
        <v>143.29</v>
      </c>
    </row>
    <row r="6143" spans="1:2">
      <c r="A6143" s="14">
        <f>DATE(2012,12,31)-1158</f>
        <v>40116</v>
      </c>
      <c r="B6143" s="15">
        <v>34.18</v>
      </c>
    </row>
    <row r="6144" s="6" customFormat="1" spans="1:2">
      <c r="A6144" s="12">
        <f>DATE(2012,12,31)-181</f>
        <v>41093</v>
      </c>
      <c r="B6144" s="13">
        <v>43.54</v>
      </c>
    </row>
    <row r="6145" spans="1:2">
      <c r="A6145" s="14">
        <f>DATE(2012,12,31)-162</f>
        <v>41112</v>
      </c>
      <c r="B6145" s="15">
        <v>477.16</v>
      </c>
    </row>
    <row r="6146" s="6" customFormat="1" spans="1:2">
      <c r="A6146" s="12">
        <f>DATE(2012,12,31)-782</f>
        <v>40492</v>
      </c>
      <c r="B6146" s="13">
        <v>1004.18</v>
      </c>
    </row>
    <row r="6147" s="6" customFormat="1" spans="1:2">
      <c r="A6147" s="12">
        <f>DATE(2012,12,31)-121</f>
        <v>41153</v>
      </c>
      <c r="B6147" s="13">
        <v>3075.752</v>
      </c>
    </row>
    <row r="6148" s="6" customFormat="1" spans="1:2">
      <c r="A6148" s="12">
        <f>DATE(2012,12,31)-1208</f>
        <v>40066</v>
      </c>
      <c r="B6148" s="13">
        <v>3118.6</v>
      </c>
    </row>
    <row r="6149" spans="1:2">
      <c r="A6149" s="14">
        <f>DATE(2012,12,31)-1444</f>
        <v>39830</v>
      </c>
      <c r="B6149" s="15">
        <v>196.22</v>
      </c>
    </row>
    <row r="6150" s="6" customFormat="1" spans="1:2">
      <c r="A6150" s="12">
        <f>DATE(2012,12,31)-1444</f>
        <v>39830</v>
      </c>
      <c r="B6150" s="13">
        <v>49.76</v>
      </c>
    </row>
    <row r="6151" s="6" customFormat="1" spans="1:2">
      <c r="A6151" s="12">
        <f>DATE(2012,12,31)-1379</f>
        <v>39895</v>
      </c>
      <c r="B6151" s="13">
        <v>1759.65</v>
      </c>
    </row>
    <row r="6152" s="6" customFormat="1" spans="1:2">
      <c r="A6152" s="12">
        <f>DATE(2012,12,31)-1379</f>
        <v>39895</v>
      </c>
      <c r="B6152" s="13">
        <v>88.59</v>
      </c>
    </row>
    <row r="6153" s="6" customFormat="1" spans="1:2">
      <c r="A6153" s="12">
        <f>DATE(2012,12,31)-62</f>
        <v>41212</v>
      </c>
      <c r="B6153" s="13">
        <v>10.62</v>
      </c>
    </row>
    <row r="6154" s="6" customFormat="1" spans="1:2">
      <c r="A6154" s="12">
        <f>DATE(2012,12,31)-62</f>
        <v>41212</v>
      </c>
      <c r="B6154" s="13">
        <v>666.4</v>
      </c>
    </row>
    <row r="6155" s="6" customFormat="1" spans="1:2">
      <c r="A6155" s="12">
        <f>DATE(2012,12,31)-62</f>
        <v>41212</v>
      </c>
      <c r="B6155" s="13">
        <v>351.3</v>
      </c>
    </row>
    <row r="6156" s="6" customFormat="1" spans="1:2">
      <c r="A6156" s="12">
        <f>DATE(2012,12,31)-126</f>
        <v>41148</v>
      </c>
      <c r="B6156" s="13">
        <v>1849.6</v>
      </c>
    </row>
    <row r="6157" s="6" customFormat="1" spans="1:2">
      <c r="A6157" s="12">
        <f>DATE(2012,12,31)-604</f>
        <v>40670</v>
      </c>
      <c r="B6157" s="13">
        <v>1313.64</v>
      </c>
    </row>
    <row r="6158" s="6" customFormat="1" spans="1:2">
      <c r="A6158" s="12">
        <f>DATE(2012,12,31)-115</f>
        <v>41159</v>
      </c>
      <c r="B6158" s="13">
        <v>34.41</v>
      </c>
    </row>
    <row r="6159" spans="1:2">
      <c r="A6159" s="14">
        <f t="shared" ref="A6159:A6164" si="1">DATE(2012,12,31)-791</f>
        <v>40483</v>
      </c>
      <c r="B6159" s="15">
        <v>2433.53</v>
      </c>
    </row>
    <row r="6160" s="6" customFormat="1" spans="1:2">
      <c r="A6160" s="12">
        <f t="shared" si="1"/>
        <v>40483</v>
      </c>
      <c r="B6160" s="13">
        <v>1368.03</v>
      </c>
    </row>
    <row r="6161" s="6" customFormat="1" spans="1:2">
      <c r="A6161" s="12">
        <f t="shared" si="1"/>
        <v>40483</v>
      </c>
      <c r="B6161" s="13">
        <v>260.64</v>
      </c>
    </row>
    <row r="6162" s="6" customFormat="1" spans="1:2">
      <c r="A6162" s="12">
        <f t="shared" si="1"/>
        <v>40483</v>
      </c>
      <c r="B6162" s="13">
        <v>1250.4265</v>
      </c>
    </row>
    <row r="6163" s="6" customFormat="1" spans="1:2">
      <c r="A6163" s="12">
        <f t="shared" si="1"/>
        <v>40483</v>
      </c>
      <c r="B6163" s="13">
        <v>128.59</v>
      </c>
    </row>
    <row r="6164" spans="1:2">
      <c r="A6164" s="14">
        <f t="shared" si="1"/>
        <v>40483</v>
      </c>
      <c r="B6164" s="15">
        <v>4.97</v>
      </c>
    </row>
    <row r="6165" spans="1:2">
      <c r="A6165" s="14">
        <f>DATE(2012,12,31)-187</f>
        <v>41087</v>
      </c>
      <c r="B6165" s="15">
        <v>621.44</v>
      </c>
    </row>
    <row r="6166" s="6" customFormat="1" spans="1:2">
      <c r="A6166" s="12">
        <f>DATE(2012,12,31)-1228</f>
        <v>40046</v>
      </c>
      <c r="B6166" s="13">
        <v>3878.49</v>
      </c>
    </row>
    <row r="6167" s="6" customFormat="1" spans="1:2">
      <c r="A6167" s="12">
        <f>DATE(2012,12,31)-1063</f>
        <v>40211</v>
      </c>
      <c r="B6167" s="13">
        <v>497.14</v>
      </c>
    </row>
    <row r="6168" s="6" customFormat="1" spans="1:2">
      <c r="A6168" s="12">
        <f>DATE(2012,12,31)-1063</f>
        <v>40211</v>
      </c>
      <c r="B6168" s="13">
        <v>917.39</v>
      </c>
    </row>
    <row r="6169" s="6" customFormat="1" spans="1:2">
      <c r="A6169" s="12">
        <f>DATE(2012,12,31)-779</f>
        <v>40495</v>
      </c>
      <c r="B6169" s="13">
        <v>194.35</v>
      </c>
    </row>
    <row r="6170" s="6" customFormat="1" spans="1:2">
      <c r="A6170" s="12">
        <f>DATE(2012,12,31)-725</f>
        <v>40549</v>
      </c>
      <c r="B6170" s="13">
        <v>108.73</v>
      </c>
    </row>
    <row r="6171" s="6" customFormat="1" spans="1:2">
      <c r="A6171" s="12">
        <f>DATE(2012,12,31)-1259</f>
        <v>40015</v>
      </c>
      <c r="B6171" s="13">
        <v>384.21</v>
      </c>
    </row>
    <row r="6172" s="6" customFormat="1" spans="1:2">
      <c r="A6172" s="12">
        <f>DATE(2012,12,31)-722</f>
        <v>40552</v>
      </c>
      <c r="B6172" s="13">
        <v>197.1</v>
      </c>
    </row>
    <row r="6173" s="6" customFormat="1" spans="1:2">
      <c r="A6173" s="12">
        <f>DATE(2012,12,31)-722</f>
        <v>40552</v>
      </c>
      <c r="B6173" s="13">
        <v>199.48</v>
      </c>
    </row>
    <row r="6174" s="6" customFormat="1" spans="1:2">
      <c r="A6174" s="12">
        <f>DATE(2012,12,31)-201</f>
        <v>41073</v>
      </c>
      <c r="B6174" s="13">
        <v>635.59</v>
      </c>
    </row>
    <row r="6175" s="6" customFormat="1" spans="1:2">
      <c r="A6175" s="12">
        <f>DATE(2012,12,31)-201</f>
        <v>41073</v>
      </c>
      <c r="B6175" s="13">
        <v>1251.4</v>
      </c>
    </row>
    <row r="6176" s="6" customFormat="1" spans="1:2">
      <c r="A6176" s="12">
        <f>DATE(2012,12,31)-201</f>
        <v>41073</v>
      </c>
      <c r="B6176" s="13">
        <v>3577.81</v>
      </c>
    </row>
    <row r="6177" s="6" customFormat="1" spans="1:2">
      <c r="A6177" s="12">
        <f>DATE(2012,12,31)-792</f>
        <v>40482</v>
      </c>
      <c r="B6177" s="13">
        <v>1009.868</v>
      </c>
    </row>
    <row r="6178" s="6" customFormat="1" spans="1:2">
      <c r="A6178" s="12">
        <f>DATE(2012,12,31)-1404</f>
        <v>39870</v>
      </c>
      <c r="B6178" s="13">
        <v>31.36</v>
      </c>
    </row>
    <row r="6179" s="6" customFormat="1" spans="1:2">
      <c r="A6179" s="12">
        <f>DATE(2012,12,31)-204</f>
        <v>41070</v>
      </c>
      <c r="B6179" s="13">
        <v>153.28</v>
      </c>
    </row>
    <row r="6180" spans="1:2">
      <c r="A6180" s="14">
        <f>DATE(2012,12,31)-390</f>
        <v>40884</v>
      </c>
      <c r="B6180" s="15">
        <v>382.19</v>
      </c>
    </row>
    <row r="6181" s="6" customFormat="1" spans="1:2">
      <c r="A6181" s="12">
        <f>DATE(2012,12,31)-390</f>
        <v>40884</v>
      </c>
      <c r="B6181" s="13">
        <v>2573.92</v>
      </c>
    </row>
    <row r="6182" s="6" customFormat="1" spans="1:2">
      <c r="A6182" s="12">
        <f>DATE(2012,12,31)-390</f>
        <v>40884</v>
      </c>
      <c r="B6182" s="13">
        <v>727.64</v>
      </c>
    </row>
    <row r="6183" s="6" customFormat="1" spans="1:2">
      <c r="A6183" s="12">
        <f>DATE(2012,12,31)-390</f>
        <v>40884</v>
      </c>
      <c r="B6183" s="13">
        <v>2795.004</v>
      </c>
    </row>
    <row r="6184" s="6" customFormat="1" spans="1:2">
      <c r="A6184" s="12">
        <f>DATE(2012,12,31)-390</f>
        <v>40884</v>
      </c>
      <c r="B6184" s="13">
        <v>2564.5775</v>
      </c>
    </row>
    <row r="6185" s="6" customFormat="1" spans="1:2">
      <c r="A6185" s="12">
        <f>DATE(2012,12,31)-1022</f>
        <v>40252</v>
      </c>
      <c r="B6185" s="13">
        <v>580.04</v>
      </c>
    </row>
    <row r="6186" s="6" customFormat="1" spans="1:2">
      <c r="A6186" s="12">
        <f>DATE(2012,12,31)-975</f>
        <v>40299</v>
      </c>
      <c r="B6186" s="13">
        <v>413.83</v>
      </c>
    </row>
    <row r="6187" s="6" customFormat="1" spans="1:2">
      <c r="A6187" s="12">
        <f>DATE(2012,12,31)-975</f>
        <v>40299</v>
      </c>
      <c r="B6187" s="13">
        <v>3339.65</v>
      </c>
    </row>
    <row r="6188" s="6" customFormat="1" spans="1:2">
      <c r="A6188" s="12">
        <f>DATE(2012,12,31)-327</f>
        <v>40947</v>
      </c>
      <c r="B6188" s="13">
        <v>3601.07</v>
      </c>
    </row>
    <row r="6189" s="6" customFormat="1" spans="1:2">
      <c r="A6189" s="12">
        <f>DATE(2012,12,31)-166</f>
        <v>41108</v>
      </c>
      <c r="B6189" s="13">
        <v>1392.77</v>
      </c>
    </row>
    <row r="6190" s="6" customFormat="1" spans="1:2">
      <c r="A6190" s="12">
        <f>DATE(2012,12,31)-1454</f>
        <v>39820</v>
      </c>
      <c r="B6190" s="13">
        <v>737.25</v>
      </c>
    </row>
    <row r="6191" s="6" customFormat="1" spans="1:2">
      <c r="A6191" s="12">
        <f>DATE(2012,12,31)-1447</f>
        <v>39827</v>
      </c>
      <c r="B6191" s="13">
        <v>577.89</v>
      </c>
    </row>
    <row r="6192" s="6" customFormat="1" spans="1:2">
      <c r="A6192" s="12">
        <f>DATE(2012,12,31)-1447</f>
        <v>39827</v>
      </c>
      <c r="B6192" s="13">
        <v>9920.85</v>
      </c>
    </row>
    <row r="6193" s="6" customFormat="1" spans="1:2">
      <c r="A6193" s="12">
        <f>DATE(2012,12,31)-1447</f>
        <v>39827</v>
      </c>
      <c r="B6193" s="13">
        <v>7484.31</v>
      </c>
    </row>
    <row r="6194" s="6" customFormat="1" spans="1:2">
      <c r="A6194" s="12">
        <f>DATE(2012,12,31)-1024</f>
        <v>40250</v>
      </c>
      <c r="B6194" s="13">
        <v>670.65</v>
      </c>
    </row>
    <row r="6195" s="6" customFormat="1" spans="1:2">
      <c r="A6195" s="12">
        <f>DATE(2012,12,31)-1044</f>
        <v>40230</v>
      </c>
      <c r="B6195" s="13">
        <v>1940.21</v>
      </c>
    </row>
    <row r="6196" s="6" customFormat="1" spans="1:2">
      <c r="A6196" s="12">
        <f>DATE(2012,12,31)-1044</f>
        <v>40230</v>
      </c>
      <c r="B6196" s="13">
        <v>1717.21</v>
      </c>
    </row>
    <row r="6197" s="6" customFormat="1" spans="1:2">
      <c r="A6197" s="12">
        <f>DATE(2012,12,31)-1021</f>
        <v>40253</v>
      </c>
      <c r="B6197" s="13">
        <v>714.391</v>
      </c>
    </row>
    <row r="6198" spans="1:2">
      <c r="A6198" s="14">
        <f>DATE(2012,12,31)-1202</f>
        <v>40072</v>
      </c>
      <c r="B6198" s="15">
        <v>64.23</v>
      </c>
    </row>
    <row r="6199" s="6" customFormat="1" spans="1:2">
      <c r="A6199" s="12">
        <f>DATE(2012,12,31)-88</f>
        <v>41186</v>
      </c>
      <c r="B6199" s="13">
        <v>85.03</v>
      </c>
    </row>
    <row r="6200" s="6" customFormat="1" spans="1:2">
      <c r="A6200" s="12">
        <f>DATE(2012,12,31)-88</f>
        <v>41186</v>
      </c>
      <c r="B6200" s="13">
        <v>119.51</v>
      </c>
    </row>
    <row r="6201" s="6" customFormat="1" spans="1:2">
      <c r="A6201" s="12">
        <f>DATE(2012,12,31)-88</f>
        <v>41186</v>
      </c>
      <c r="B6201" s="13">
        <v>332.38</v>
      </c>
    </row>
    <row r="6202" s="6" customFormat="1" spans="1:2">
      <c r="A6202" s="12">
        <f>DATE(2012,12,31)-88</f>
        <v>41186</v>
      </c>
      <c r="B6202" s="13">
        <v>502.8</v>
      </c>
    </row>
    <row r="6203" spans="1:2">
      <c r="A6203" s="14">
        <f>DATE(2012,12,31)-1423</f>
        <v>39851</v>
      </c>
      <c r="B6203" s="15">
        <v>320.93</v>
      </c>
    </row>
    <row r="6204" s="6" customFormat="1" spans="1:2">
      <c r="A6204" s="12">
        <f>DATE(2012,12,31)-1423</f>
        <v>39851</v>
      </c>
      <c r="B6204" s="13">
        <v>261.85</v>
      </c>
    </row>
    <row r="6205" s="6" customFormat="1" spans="1:2">
      <c r="A6205" s="12">
        <f>DATE(2012,12,31)-410</f>
        <v>40864</v>
      </c>
      <c r="B6205" s="13">
        <v>202.42</v>
      </c>
    </row>
    <row r="6206" s="6" customFormat="1" spans="1:2">
      <c r="A6206" s="12">
        <f>DATE(2012,12,31)-850</f>
        <v>40424</v>
      </c>
      <c r="B6206" s="13">
        <v>733.36</v>
      </c>
    </row>
    <row r="6207" s="6" customFormat="1" spans="1:2">
      <c r="A6207" s="12">
        <f>DATE(2012,12,31)-581</f>
        <v>40693</v>
      </c>
      <c r="B6207" s="13">
        <v>281.81</v>
      </c>
    </row>
    <row r="6208" s="6" customFormat="1" spans="1:2">
      <c r="A6208" s="12">
        <f>DATE(2012,12,31)-356</f>
        <v>40918</v>
      </c>
      <c r="B6208" s="13">
        <v>5811.97</v>
      </c>
    </row>
    <row r="6209" spans="1:2">
      <c r="A6209" s="14">
        <f>DATE(2012,12,31)-355</f>
        <v>40919</v>
      </c>
      <c r="B6209" s="15">
        <v>250.13</v>
      </c>
    </row>
    <row r="6210" s="6" customFormat="1" spans="1:2">
      <c r="A6210" s="12">
        <f>DATE(2012,12,31)-186</f>
        <v>41088</v>
      </c>
      <c r="B6210" s="13">
        <v>835.55</v>
      </c>
    </row>
    <row r="6211" s="6" customFormat="1" spans="1:2">
      <c r="A6211" s="12">
        <f>DATE(2012,12,31)-186</f>
        <v>41088</v>
      </c>
      <c r="B6211" s="13">
        <v>1799.6115</v>
      </c>
    </row>
    <row r="6212" spans="1:2">
      <c r="A6212" s="14">
        <f>DATE(2012,12,31)-1034</f>
        <v>40240</v>
      </c>
      <c r="B6212" s="15">
        <v>468.48</v>
      </c>
    </row>
    <row r="6213" s="6" customFormat="1" spans="1:2">
      <c r="A6213" s="12">
        <f>DATE(2012,12,31)-1034</f>
        <v>40240</v>
      </c>
      <c r="B6213" s="13">
        <v>284.14</v>
      </c>
    </row>
    <row r="6214" s="6" customFormat="1" spans="1:2">
      <c r="A6214" s="12">
        <f>DATE(2012,12,31)-912</f>
        <v>40362</v>
      </c>
      <c r="B6214" s="13">
        <v>1914.16</v>
      </c>
    </row>
    <row r="6215" spans="1:2">
      <c r="A6215" s="14">
        <f>DATE(2012,12,31)-1459</f>
        <v>39815</v>
      </c>
      <c r="B6215" s="15">
        <v>137.63</v>
      </c>
    </row>
    <row r="6216" s="6" customFormat="1" spans="1:2">
      <c r="A6216" s="12">
        <f>DATE(2012,12,31)-1459</f>
        <v>39815</v>
      </c>
      <c r="B6216" s="13">
        <v>614.8</v>
      </c>
    </row>
    <row r="6217" s="6" customFormat="1" spans="1:2">
      <c r="A6217" s="12">
        <f>DATE(2012,12,31)-260</f>
        <v>41014</v>
      </c>
      <c r="B6217" s="13">
        <v>110.67</v>
      </c>
    </row>
    <row r="6218" s="6" customFormat="1" spans="1:2">
      <c r="A6218" s="12">
        <f>DATE(2012,12,31)-260</f>
        <v>41014</v>
      </c>
      <c r="B6218" s="13">
        <v>1163.123</v>
      </c>
    </row>
    <row r="6219" s="6" customFormat="1" spans="1:2">
      <c r="A6219" s="12">
        <f>DATE(2012,12,31)-1069</f>
        <v>40205</v>
      </c>
      <c r="B6219" s="13">
        <v>5.06</v>
      </c>
    </row>
    <row r="6220" s="6" customFormat="1" spans="1:2">
      <c r="A6220" s="12">
        <f>DATE(2012,12,31)-294</f>
        <v>40980</v>
      </c>
      <c r="B6220" s="13">
        <v>11823.52</v>
      </c>
    </row>
    <row r="6221" s="6" customFormat="1" spans="1:2">
      <c r="A6221" s="12">
        <f>DATE(2012,12,31)-294</f>
        <v>40980</v>
      </c>
      <c r="B6221" s="13">
        <v>80.81</v>
      </c>
    </row>
    <row r="6222" s="6" customFormat="1" spans="1:2">
      <c r="A6222" s="12">
        <f>DATE(2012,12,31)-1090</f>
        <v>40184</v>
      </c>
      <c r="B6222" s="13">
        <v>181.15</v>
      </c>
    </row>
    <row r="6223" s="6" customFormat="1" spans="1:2">
      <c r="A6223" s="12">
        <f>DATE(2012,12,31)-1158</f>
        <v>40116</v>
      </c>
      <c r="B6223" s="13">
        <v>620.02</v>
      </c>
    </row>
    <row r="6224" s="6" customFormat="1" spans="1:2">
      <c r="A6224" s="12">
        <f>DATE(2012,12,31)-1018</f>
        <v>40256</v>
      </c>
      <c r="B6224" s="13">
        <v>507.64</v>
      </c>
    </row>
    <row r="6225" s="6" customFormat="1" spans="1:2">
      <c r="A6225" s="12">
        <f>DATE(2012,12,31)-336</f>
        <v>40938</v>
      </c>
      <c r="B6225" s="13">
        <v>3194.05</v>
      </c>
    </row>
    <row r="6226" s="6" customFormat="1" spans="1:2">
      <c r="A6226" s="12">
        <f>DATE(2012,12,31)-1227</f>
        <v>40047</v>
      </c>
      <c r="B6226" s="13">
        <v>653.786</v>
      </c>
    </row>
    <row r="6227" s="6" customFormat="1" spans="1:2">
      <c r="A6227" s="12">
        <f>DATE(2012,12,31)-1227</f>
        <v>40047</v>
      </c>
      <c r="B6227" s="13">
        <v>56.91</v>
      </c>
    </row>
    <row r="6228" s="6" customFormat="1" spans="1:2">
      <c r="A6228" s="12">
        <f>DATE(2012,12,31)-1441</f>
        <v>39833</v>
      </c>
      <c r="B6228" s="13">
        <v>3970.33</v>
      </c>
    </row>
    <row r="6229" s="6" customFormat="1" spans="1:2">
      <c r="A6229" s="12">
        <f>DATE(2012,12,31)-727</f>
        <v>40547</v>
      </c>
      <c r="B6229" s="13">
        <v>625.9485</v>
      </c>
    </row>
    <row r="6230" s="6" customFormat="1" spans="1:2">
      <c r="A6230" s="12">
        <f>DATE(2012,12,31)-302</f>
        <v>40972</v>
      </c>
      <c r="B6230" s="13">
        <v>50.69</v>
      </c>
    </row>
    <row r="6231" s="6" customFormat="1" spans="1:2">
      <c r="A6231" s="12">
        <f>DATE(2012,12,31)-875</f>
        <v>40399</v>
      </c>
      <c r="B6231" s="13">
        <v>198.7</v>
      </c>
    </row>
    <row r="6232" s="6" customFormat="1" spans="1:2">
      <c r="A6232" s="12">
        <f>DATE(2012,12,31)-1368</f>
        <v>39906</v>
      </c>
      <c r="B6232" s="13">
        <v>1958.32</v>
      </c>
    </row>
    <row r="6233" s="6" customFormat="1" spans="1:2">
      <c r="A6233" s="12">
        <f>DATE(2012,12,31)-962</f>
        <v>40312</v>
      </c>
      <c r="B6233" s="13">
        <v>185.69</v>
      </c>
    </row>
    <row r="6234" s="6" customFormat="1" spans="1:2">
      <c r="A6234" s="12">
        <f>DATE(2012,12,31)-1154</f>
        <v>40120</v>
      </c>
      <c r="B6234" s="13">
        <v>1865.94</v>
      </c>
    </row>
    <row r="6235" s="6" customFormat="1" spans="1:2">
      <c r="A6235" s="12">
        <f>DATE(2012,12,31)-1154</f>
        <v>40120</v>
      </c>
      <c r="B6235" s="13">
        <v>784.72</v>
      </c>
    </row>
    <row r="6236" s="6" customFormat="1" spans="1:2">
      <c r="A6236" s="12">
        <f>DATE(2012,12,31)-1154</f>
        <v>40120</v>
      </c>
      <c r="B6236" s="13">
        <v>2343.076</v>
      </c>
    </row>
    <row r="6237" s="6" customFormat="1" spans="1:2">
      <c r="A6237" s="12">
        <f>DATE(2012,12,31)-408</f>
        <v>40866</v>
      </c>
      <c r="B6237" s="13">
        <v>301.36</v>
      </c>
    </row>
    <row r="6238" s="6" customFormat="1" spans="1:2">
      <c r="A6238" s="12">
        <f>DATE(2012,12,31)-408</f>
        <v>40866</v>
      </c>
      <c r="B6238" s="13">
        <v>114.28</v>
      </c>
    </row>
    <row r="6239" s="6" customFormat="1" spans="1:2">
      <c r="A6239" s="12">
        <f>DATE(2012,12,31)-408</f>
        <v>40866</v>
      </c>
      <c r="B6239" s="13">
        <v>1889.04</v>
      </c>
    </row>
    <row r="6240" s="6" customFormat="1" spans="1:2">
      <c r="A6240" s="12">
        <f>DATE(2012,12,31)-283</f>
        <v>40991</v>
      </c>
      <c r="B6240" s="13">
        <v>13064.06</v>
      </c>
    </row>
    <row r="6241" s="6" customFormat="1" spans="1:2">
      <c r="A6241" s="12">
        <f>DATE(2012,12,31)-283</f>
        <v>40991</v>
      </c>
      <c r="B6241" s="13">
        <v>4771.89</v>
      </c>
    </row>
    <row r="6242" s="6" customFormat="1" spans="1:2">
      <c r="A6242" s="12">
        <f>DATE(2012,12,31)-283</f>
        <v>40991</v>
      </c>
      <c r="B6242" s="13">
        <v>3360.3</v>
      </c>
    </row>
    <row r="6243" s="6" customFormat="1" spans="1:2">
      <c r="A6243" s="12">
        <f>DATE(2012,12,31)-283</f>
        <v>40991</v>
      </c>
      <c r="B6243" s="13">
        <v>306.663</v>
      </c>
    </row>
    <row r="6244" s="6" customFormat="1" spans="1:2">
      <c r="A6244" s="12">
        <f>DATE(2012,12,31)-1016</f>
        <v>40258</v>
      </c>
      <c r="B6244" s="13">
        <v>508.38</v>
      </c>
    </row>
    <row r="6245" s="6" customFormat="1" spans="1:2">
      <c r="A6245" s="12">
        <f>DATE(2012,12,31)-1016</f>
        <v>40258</v>
      </c>
      <c r="B6245" s="13">
        <v>281.09</v>
      </c>
    </row>
    <row r="6246" s="6" customFormat="1" spans="1:2">
      <c r="A6246" s="12">
        <f>DATE(2012,12,31)-1016</f>
        <v>40258</v>
      </c>
      <c r="B6246" s="13">
        <v>276.65</v>
      </c>
    </row>
    <row r="6247" s="6" customFormat="1" spans="1:2">
      <c r="A6247" s="12">
        <f>DATE(2012,12,31)-566</f>
        <v>40708</v>
      </c>
      <c r="B6247" s="13">
        <v>10.48</v>
      </c>
    </row>
    <row r="6248" s="6" customFormat="1" spans="1:2">
      <c r="A6248" s="12">
        <f>DATE(2012,12,31)-1307</f>
        <v>39967</v>
      </c>
      <c r="B6248" s="13">
        <v>107.86</v>
      </c>
    </row>
    <row r="6249" s="6" customFormat="1" spans="1:2">
      <c r="A6249" s="12">
        <f>DATE(2012,12,31)-1307</f>
        <v>39967</v>
      </c>
      <c r="B6249" s="13">
        <v>305.6</v>
      </c>
    </row>
    <row r="6250" s="6" customFormat="1" spans="1:2">
      <c r="A6250" s="12">
        <f>DATE(2012,12,31)-1307</f>
        <v>39967</v>
      </c>
      <c r="B6250" s="13">
        <v>447.0405</v>
      </c>
    </row>
    <row r="6251" s="6" customFormat="1" spans="1:2">
      <c r="A6251" s="12">
        <f>DATE(2012,12,31)-1073</f>
        <v>40201</v>
      </c>
      <c r="B6251" s="13">
        <v>4524.907</v>
      </c>
    </row>
    <row r="6252" s="6" customFormat="1" spans="1:2">
      <c r="A6252" s="12">
        <f>DATE(2012,12,31)-1342</f>
        <v>39932</v>
      </c>
      <c r="B6252" s="13">
        <v>7002.08</v>
      </c>
    </row>
    <row r="6253" s="6" customFormat="1" spans="1:2">
      <c r="A6253" s="12">
        <f>DATE(2012,12,31)-446</f>
        <v>40828</v>
      </c>
      <c r="B6253" s="13">
        <v>600.8</v>
      </c>
    </row>
    <row r="6254" s="6" customFormat="1" spans="1:2">
      <c r="A6254" s="12">
        <f>DATE(2012,12,31)-146</f>
        <v>41128</v>
      </c>
      <c r="B6254" s="13">
        <v>21320.58</v>
      </c>
    </row>
    <row r="6255" s="6" customFormat="1" spans="1:2">
      <c r="A6255" s="12">
        <f>DATE(2012,12,31)-1420</f>
        <v>39854</v>
      </c>
      <c r="B6255" s="13">
        <v>951.33</v>
      </c>
    </row>
    <row r="6256" s="6" customFormat="1" spans="1:2">
      <c r="A6256" s="12">
        <f>DATE(2012,12,31)-1203</f>
        <v>40071</v>
      </c>
      <c r="B6256" s="13">
        <v>81.76</v>
      </c>
    </row>
    <row r="6257" s="6" customFormat="1" spans="1:2">
      <c r="A6257" s="12">
        <f>DATE(2012,12,31)-1005</f>
        <v>40269</v>
      </c>
      <c r="B6257" s="13">
        <v>5288.89</v>
      </c>
    </row>
    <row r="6258" s="6" customFormat="1" spans="1:2">
      <c r="A6258" s="12">
        <f>DATE(2012,12,31)-763</f>
        <v>40511</v>
      </c>
      <c r="B6258" s="13">
        <v>113.2</v>
      </c>
    </row>
    <row r="6259" s="6" customFormat="1" spans="1:2">
      <c r="A6259" s="12">
        <f>DATE(2012,12,31)-266</f>
        <v>41008</v>
      </c>
      <c r="B6259" s="13">
        <v>129.06</v>
      </c>
    </row>
    <row r="6260" s="6" customFormat="1" spans="1:2">
      <c r="A6260" s="12">
        <f>DATE(2012,12,31)-266</f>
        <v>41008</v>
      </c>
      <c r="B6260" s="13">
        <v>1236.64</v>
      </c>
    </row>
    <row r="6261" s="6" customFormat="1" spans="1:2">
      <c r="A6261" s="12">
        <f>DATE(2012,12,31)-1426</f>
        <v>39848</v>
      </c>
      <c r="B6261" s="13">
        <v>1441.57</v>
      </c>
    </row>
    <row r="6262" spans="1:2">
      <c r="A6262" s="14">
        <f>DATE(2012,12,31)-1426</f>
        <v>39848</v>
      </c>
      <c r="B6262" s="15">
        <v>173.09</v>
      </c>
    </row>
    <row r="6263" s="6" customFormat="1" spans="1:2">
      <c r="A6263" s="12">
        <f>DATE(2012,12,31)-759</f>
        <v>40515</v>
      </c>
      <c r="B6263" s="13">
        <v>3234.1</v>
      </c>
    </row>
    <row r="6264" s="6" customFormat="1" spans="1:2">
      <c r="A6264" s="12">
        <f>DATE(2012,12,31)-1451</f>
        <v>39823</v>
      </c>
      <c r="B6264" s="13">
        <v>112.81</v>
      </c>
    </row>
    <row r="6265" s="6" customFormat="1" spans="1:2">
      <c r="A6265" s="12">
        <f>DATE(2012,12,31)-262</f>
        <v>41012</v>
      </c>
      <c r="B6265" s="13">
        <v>15.72</v>
      </c>
    </row>
    <row r="6266" s="6" customFormat="1" spans="1:2">
      <c r="A6266" s="12">
        <f>DATE(2012,12,31)-262</f>
        <v>41012</v>
      </c>
      <c r="B6266" s="13">
        <v>313.83</v>
      </c>
    </row>
    <row r="6267" s="6" customFormat="1" spans="1:2">
      <c r="A6267" s="12">
        <f>DATE(2012,12,31)-262</f>
        <v>41012</v>
      </c>
      <c r="B6267" s="13">
        <v>201.5945</v>
      </c>
    </row>
    <row r="6268" s="6" customFormat="1" spans="1:2">
      <c r="A6268" s="12">
        <f>DATE(2012,12,31)-155</f>
        <v>41119</v>
      </c>
      <c r="B6268" s="13">
        <v>248.64</v>
      </c>
    </row>
    <row r="6269" s="6" customFormat="1" spans="1:2">
      <c r="A6269" s="12">
        <f>DATE(2012,12,31)-1358</f>
        <v>39916</v>
      </c>
      <c r="B6269" s="13">
        <v>951.06</v>
      </c>
    </row>
    <row r="6270" s="6" customFormat="1" spans="1:2">
      <c r="A6270" s="12">
        <f>DATE(2012,12,31)-814</f>
        <v>40460</v>
      </c>
      <c r="B6270" s="13">
        <v>243.23</v>
      </c>
    </row>
    <row r="6271" s="6" customFormat="1" spans="1:2">
      <c r="A6271" s="12">
        <f>DATE(2012,12,31)-814</f>
        <v>40460</v>
      </c>
      <c r="B6271" s="13">
        <v>1326.51</v>
      </c>
    </row>
    <row r="6272" s="6" customFormat="1" spans="1:2">
      <c r="A6272" s="12">
        <f>DATE(2012,12,31)-477</f>
        <v>40797</v>
      </c>
      <c r="B6272" s="13">
        <v>12.49</v>
      </c>
    </row>
    <row r="6273" s="6" customFormat="1" spans="1:2">
      <c r="A6273" s="12">
        <f>DATE(2012,12,31)-477</f>
        <v>40797</v>
      </c>
      <c r="B6273" s="13">
        <v>103.9</v>
      </c>
    </row>
    <row r="6274" s="6" customFormat="1" spans="1:2">
      <c r="A6274" s="12">
        <f>DATE(2012,12,31)-388</f>
        <v>40886</v>
      </c>
      <c r="B6274" s="13">
        <v>330.27</v>
      </c>
    </row>
    <row r="6275" spans="1:2">
      <c r="A6275" s="14">
        <f>DATE(2012,12,31)-964</f>
        <v>40310</v>
      </c>
      <c r="B6275" s="15">
        <v>1321.55</v>
      </c>
    </row>
    <row r="6276" s="6" customFormat="1" spans="1:2">
      <c r="A6276" s="12">
        <f>DATE(2012,12,31)-175</f>
        <v>41099</v>
      </c>
      <c r="B6276" s="13">
        <v>198.1</v>
      </c>
    </row>
    <row r="6277" s="6" customFormat="1" spans="1:2">
      <c r="A6277" s="12">
        <f>DATE(2012,12,31)-1207</f>
        <v>40067</v>
      </c>
      <c r="B6277" s="13">
        <v>28.15</v>
      </c>
    </row>
    <row r="6278" s="6" customFormat="1" spans="1:2">
      <c r="A6278" s="12">
        <f>DATE(2012,12,31)-1207</f>
        <v>40067</v>
      </c>
      <c r="B6278" s="13">
        <v>558.77</v>
      </c>
    </row>
    <row r="6279" s="6" customFormat="1" spans="1:2">
      <c r="A6279" s="12">
        <f>DATE(2012,12,31)-551</f>
        <v>40723</v>
      </c>
      <c r="B6279" s="13">
        <v>57.96</v>
      </c>
    </row>
    <row r="6280" s="6" customFormat="1" spans="1:2">
      <c r="A6280" s="12">
        <f>DATE(2012,12,31)-1348</f>
        <v>39926</v>
      </c>
      <c r="B6280" s="13">
        <v>32.5</v>
      </c>
    </row>
    <row r="6281" s="6" customFormat="1" spans="1:2">
      <c r="A6281" s="12">
        <f>DATE(2012,12,31)-957</f>
        <v>40317</v>
      </c>
      <c r="B6281" s="13">
        <v>224.58</v>
      </c>
    </row>
    <row r="6282" s="6" customFormat="1" spans="1:2">
      <c r="A6282" s="12">
        <f>DATE(2012,12,31)-957</f>
        <v>40317</v>
      </c>
      <c r="B6282" s="13">
        <v>365.77</v>
      </c>
    </row>
    <row r="6283" s="6" customFormat="1" spans="1:2">
      <c r="A6283" s="12">
        <f>DATE(2012,12,31)-957</f>
        <v>40317</v>
      </c>
      <c r="B6283" s="13">
        <v>16073.03</v>
      </c>
    </row>
    <row r="6284" s="6" customFormat="1" spans="1:2">
      <c r="A6284" s="12">
        <f>DATE(2012,12,31)-1013</f>
        <v>40261</v>
      </c>
      <c r="B6284" s="13">
        <v>55.2</v>
      </c>
    </row>
    <row r="6285" s="6" customFormat="1" spans="1:2">
      <c r="A6285" s="12">
        <f>DATE(2012,12,31)-344</f>
        <v>40930</v>
      </c>
      <c r="B6285" s="13">
        <v>11.25</v>
      </c>
    </row>
    <row r="6286" s="6" customFormat="1" spans="1:2">
      <c r="A6286" s="12">
        <f>DATE(2012,12,31)-1102</f>
        <v>40172</v>
      </c>
      <c r="B6286" s="13">
        <v>5016.25</v>
      </c>
    </row>
    <row r="6287" s="6" customFormat="1" spans="1:2">
      <c r="A6287" s="12">
        <f>DATE(2012,12,31)-1102</f>
        <v>40172</v>
      </c>
      <c r="B6287" s="13">
        <v>1653.607</v>
      </c>
    </row>
    <row r="6288" s="6" customFormat="1" spans="1:2">
      <c r="A6288" s="12">
        <f>DATE(2012,12,31)-577</f>
        <v>40697</v>
      </c>
      <c r="B6288" s="13">
        <v>3896.39</v>
      </c>
    </row>
    <row r="6289" spans="1:2">
      <c r="A6289" s="14">
        <f>DATE(2012,12,31)-1184</f>
        <v>40090</v>
      </c>
      <c r="B6289" s="15">
        <v>17.59</v>
      </c>
    </row>
    <row r="6290" s="6" customFormat="1" spans="1:2">
      <c r="A6290" s="12">
        <f>DATE(2012,12,31)-1184</f>
        <v>40090</v>
      </c>
      <c r="B6290" s="13">
        <v>315.07</v>
      </c>
    </row>
    <row r="6291" spans="1:2">
      <c r="A6291" s="14">
        <f>DATE(2012,12,31)-562</f>
        <v>40712</v>
      </c>
      <c r="B6291" s="15">
        <v>525.4</v>
      </c>
    </row>
    <row r="6292" s="6" customFormat="1" spans="1:2">
      <c r="A6292" s="12">
        <f>DATE(2012,12,31)-562</f>
        <v>40712</v>
      </c>
      <c r="B6292" s="13">
        <v>61.77</v>
      </c>
    </row>
    <row r="6293" s="6" customFormat="1" spans="1:2">
      <c r="A6293" s="12">
        <f>DATE(2012,12,31)-662</f>
        <v>40612</v>
      </c>
      <c r="B6293" s="13">
        <v>127.9</v>
      </c>
    </row>
    <row r="6294" s="6" customFormat="1" spans="1:2">
      <c r="A6294" s="12">
        <f>DATE(2012,12,31)-659</f>
        <v>40615</v>
      </c>
      <c r="B6294" s="13">
        <v>428.723</v>
      </c>
    </row>
    <row r="6295" s="6" customFormat="1" spans="1:2">
      <c r="A6295" s="12">
        <f>DATE(2012,12,31)-854</f>
        <v>40420</v>
      </c>
      <c r="B6295" s="13">
        <v>1911.69</v>
      </c>
    </row>
    <row r="6296" s="6" customFormat="1" spans="1:2">
      <c r="A6296" s="12">
        <f>DATE(2012,12,31)-854</f>
        <v>40420</v>
      </c>
      <c r="B6296" s="13">
        <v>120.751</v>
      </c>
    </row>
    <row r="6297" s="6" customFormat="1" spans="1:2">
      <c r="A6297" s="12">
        <f>DATE(2012,12,31)-854</f>
        <v>40420</v>
      </c>
      <c r="B6297" s="13">
        <v>245.55</v>
      </c>
    </row>
    <row r="6298" s="6" customFormat="1" spans="1:2">
      <c r="A6298" s="12">
        <f>DATE(2012,12,31)-931</f>
        <v>40343</v>
      </c>
      <c r="B6298" s="13">
        <v>55.35</v>
      </c>
    </row>
    <row r="6299" s="6" customFormat="1" spans="1:2">
      <c r="A6299" s="12">
        <f>DATE(2012,12,31)-931</f>
        <v>40343</v>
      </c>
      <c r="B6299" s="13">
        <v>700.35</v>
      </c>
    </row>
    <row r="6300" s="6" customFormat="1" spans="1:2">
      <c r="A6300" s="12">
        <f>DATE(2012,12,31)-967</f>
        <v>40307</v>
      </c>
      <c r="B6300" s="13">
        <v>36.37</v>
      </c>
    </row>
    <row r="6301" s="6" customFormat="1" spans="1:2">
      <c r="A6301" s="12">
        <f>DATE(2012,12,31)-362</f>
        <v>40912</v>
      </c>
      <c r="B6301" s="13">
        <v>12723.95</v>
      </c>
    </row>
    <row r="6302" s="6" customFormat="1" spans="1:2">
      <c r="A6302" s="12">
        <f>DATE(2012,12,31)-342</f>
        <v>40932</v>
      </c>
      <c r="B6302" s="13">
        <v>23239.96</v>
      </c>
    </row>
    <row r="6303" s="6" customFormat="1" spans="1:2">
      <c r="A6303" s="12">
        <f>DATE(2012,12,31)-342</f>
        <v>40932</v>
      </c>
      <c r="B6303" s="13">
        <v>302.91</v>
      </c>
    </row>
    <row r="6304" s="6" customFormat="1" spans="1:2">
      <c r="A6304" s="12">
        <f>DATE(2012,12,31)-79</f>
        <v>41195</v>
      </c>
      <c r="B6304" s="13">
        <v>1152.63</v>
      </c>
    </row>
    <row r="6305" s="6" customFormat="1" spans="1:2">
      <c r="A6305" s="12">
        <f>DATE(2012,12,31)-79</f>
        <v>41195</v>
      </c>
      <c r="B6305" s="13">
        <v>7.56</v>
      </c>
    </row>
    <row r="6306" s="6" customFormat="1" spans="1:2">
      <c r="A6306" s="12">
        <f>DATE(2012,12,31)-211</f>
        <v>41063</v>
      </c>
      <c r="B6306" s="13">
        <v>127.51</v>
      </c>
    </row>
    <row r="6307" s="6" customFormat="1" spans="1:2">
      <c r="A6307" s="12">
        <f>DATE(2012,12,31)-211</f>
        <v>41063</v>
      </c>
      <c r="B6307" s="13">
        <v>2004.22</v>
      </c>
    </row>
    <row r="6308" s="6" customFormat="1" spans="1:2">
      <c r="A6308" s="12">
        <f>DATE(2012,12,31)-1007</f>
        <v>40267</v>
      </c>
      <c r="B6308" s="13">
        <v>7556.61</v>
      </c>
    </row>
    <row r="6309" s="6" customFormat="1" spans="1:2">
      <c r="A6309" s="12">
        <f>DATE(2012,12,31)-1007</f>
        <v>40267</v>
      </c>
      <c r="B6309" s="13">
        <v>47.48</v>
      </c>
    </row>
    <row r="6310" s="6" customFormat="1" spans="1:2">
      <c r="A6310" s="12">
        <f>DATE(2012,12,31)-1253</f>
        <v>40021</v>
      </c>
      <c r="B6310" s="13">
        <v>30.68</v>
      </c>
    </row>
    <row r="6311" s="6" customFormat="1" spans="1:2">
      <c r="A6311" s="12">
        <f>DATE(2012,12,31)-42</f>
        <v>41232</v>
      </c>
      <c r="B6311" s="13">
        <v>773.74</v>
      </c>
    </row>
    <row r="6312" s="6" customFormat="1" spans="1:2">
      <c r="A6312" s="12">
        <f>DATE(2012,12,31)-42</f>
        <v>41232</v>
      </c>
      <c r="B6312" s="13">
        <v>302.1325</v>
      </c>
    </row>
    <row r="6313" spans="1:2">
      <c r="A6313" s="14">
        <f>DATE(2012,12,31)-757</f>
        <v>40517</v>
      </c>
      <c r="B6313" s="15">
        <v>75.57</v>
      </c>
    </row>
    <row r="6314" s="6" customFormat="1" spans="1:2">
      <c r="A6314" s="12">
        <f>DATE(2012,12,31)-219</f>
        <v>41055</v>
      </c>
      <c r="B6314" s="13">
        <v>16699.56</v>
      </c>
    </row>
    <row r="6315" s="6" customFormat="1" spans="1:2">
      <c r="A6315" s="12">
        <f>DATE(2012,12,31)-1371</f>
        <v>39903</v>
      </c>
      <c r="B6315" s="13">
        <v>54.077</v>
      </c>
    </row>
    <row r="6316" s="6" customFormat="1" spans="1:2">
      <c r="A6316" s="12">
        <f>DATE(2012,12,31)-1189</f>
        <v>40085</v>
      </c>
      <c r="B6316" s="13">
        <v>209.3</v>
      </c>
    </row>
    <row r="6317" s="6" customFormat="1" spans="1:2">
      <c r="A6317" s="12">
        <f>DATE(2012,12,31)-108</f>
        <v>41166</v>
      </c>
      <c r="B6317" s="13">
        <v>1710.65</v>
      </c>
    </row>
    <row r="6318" s="6" customFormat="1" spans="1:2">
      <c r="A6318" s="12">
        <f>DATE(2012,12,31)-1351</f>
        <v>39923</v>
      </c>
      <c r="B6318" s="13">
        <v>248.76</v>
      </c>
    </row>
    <row r="6319" s="6" customFormat="1" spans="1:2">
      <c r="A6319" s="12">
        <f>DATE(2012,12,31)-1351</f>
        <v>39923</v>
      </c>
      <c r="B6319" s="13">
        <v>10984.05</v>
      </c>
    </row>
    <row r="6320" s="6" customFormat="1" spans="1:2">
      <c r="A6320" s="12">
        <f>DATE(2012,12,31)-1207</f>
        <v>40067</v>
      </c>
      <c r="B6320" s="13">
        <v>125.79</v>
      </c>
    </row>
    <row r="6321" s="6" customFormat="1" spans="1:2">
      <c r="A6321" s="12">
        <f>DATE(2012,12,31)-203</f>
        <v>41071</v>
      </c>
      <c r="B6321" s="13">
        <v>899.97</v>
      </c>
    </row>
    <row r="6322" s="6" customFormat="1" spans="1:2">
      <c r="A6322" s="12">
        <f>DATE(2012,12,31)-928</f>
        <v>40346</v>
      </c>
      <c r="B6322" s="13">
        <v>187.55</v>
      </c>
    </row>
    <row r="6323" s="6" customFormat="1" spans="1:2">
      <c r="A6323" s="12">
        <f>DATE(2012,12,31)-1254</f>
        <v>40020</v>
      </c>
      <c r="B6323" s="13">
        <v>21425.91</v>
      </c>
    </row>
    <row r="6324" spans="1:2">
      <c r="A6324" s="14">
        <f>DATE(2012,12,31)-131</f>
        <v>41143</v>
      </c>
      <c r="B6324" s="15">
        <v>283.18</v>
      </c>
    </row>
    <row r="6325" s="6" customFormat="1" spans="1:2">
      <c r="A6325" s="12">
        <f>DATE(2012,12,31)-608</f>
        <v>40666</v>
      </c>
      <c r="B6325" s="13">
        <v>94.46</v>
      </c>
    </row>
    <row r="6326" s="6" customFormat="1" spans="1:2">
      <c r="A6326" s="12">
        <f>DATE(2012,12,31)-1028</f>
        <v>40246</v>
      </c>
      <c r="B6326" s="13">
        <v>85.62</v>
      </c>
    </row>
    <row r="6327" s="6" customFormat="1" spans="1:2">
      <c r="A6327" s="12">
        <f>DATE(2012,12,31)-1056</f>
        <v>40218</v>
      </c>
      <c r="B6327" s="13">
        <v>47.03</v>
      </c>
    </row>
    <row r="6328" s="6" customFormat="1" spans="1:2">
      <c r="A6328" s="12">
        <f>DATE(2012,12,31)-775</f>
        <v>40499</v>
      </c>
      <c r="B6328" s="13">
        <v>9362.73</v>
      </c>
    </row>
    <row r="6329" s="6" customFormat="1" spans="1:2">
      <c r="A6329" s="12">
        <f>DATE(2012,12,31)-775</f>
        <v>40499</v>
      </c>
      <c r="B6329" s="13">
        <v>125.33</v>
      </c>
    </row>
    <row r="6330" s="6" customFormat="1" spans="1:2">
      <c r="A6330" s="12">
        <f>DATE(2012,12,31)-775</f>
        <v>40499</v>
      </c>
      <c r="B6330" s="13">
        <v>99.65</v>
      </c>
    </row>
    <row r="6331" s="6" customFormat="1" spans="1:2">
      <c r="A6331" s="12">
        <f>DATE(2012,12,31)-608</f>
        <v>40666</v>
      </c>
      <c r="B6331" s="13">
        <v>112.91</v>
      </c>
    </row>
    <row r="6332" s="6" customFormat="1" spans="1:2">
      <c r="A6332" s="12">
        <f>DATE(2012,12,31)-608</f>
        <v>40666</v>
      </c>
      <c r="B6332" s="13">
        <v>180.92</v>
      </c>
    </row>
    <row r="6333" s="6" customFormat="1" spans="1:2">
      <c r="A6333" s="12">
        <f>DATE(2012,12,31)-608</f>
        <v>40666</v>
      </c>
      <c r="B6333" s="13">
        <v>31.68</v>
      </c>
    </row>
    <row r="6334" s="6" customFormat="1" spans="1:2">
      <c r="A6334" s="12">
        <f>DATE(2012,12,31)-1099</f>
        <v>40175</v>
      </c>
      <c r="B6334" s="13">
        <v>575.74</v>
      </c>
    </row>
    <row r="6335" s="6" customFormat="1" spans="1:2">
      <c r="A6335" s="12">
        <f>DATE(2012,12,31)-456</f>
        <v>40818</v>
      </c>
      <c r="B6335" s="13">
        <v>28.82</v>
      </c>
    </row>
    <row r="6336" s="6" customFormat="1" spans="1:2">
      <c r="A6336" s="12">
        <f>DATE(2012,12,31)-456</f>
        <v>40818</v>
      </c>
      <c r="B6336" s="13">
        <v>75.39</v>
      </c>
    </row>
    <row r="6337" s="6" customFormat="1" spans="1:2">
      <c r="A6337" s="12">
        <f>DATE(2012,12,31)-7</f>
        <v>41267</v>
      </c>
      <c r="B6337" s="13">
        <v>1673.53</v>
      </c>
    </row>
    <row r="6338" s="6" customFormat="1" spans="1:2">
      <c r="A6338" s="12">
        <f>DATE(2012,12,31)-7</f>
        <v>41267</v>
      </c>
      <c r="B6338" s="13">
        <v>7110.24</v>
      </c>
    </row>
    <row r="6339" s="6" customFormat="1" spans="1:2">
      <c r="A6339" s="12">
        <f>DATE(2012,12,31)-1243</f>
        <v>40031</v>
      </c>
      <c r="B6339" s="13">
        <v>1219.2485</v>
      </c>
    </row>
    <row r="6340" s="6" customFormat="1" spans="1:2">
      <c r="A6340" s="12">
        <f>DATE(2012,12,31)-460</f>
        <v>40814</v>
      </c>
      <c r="B6340" s="13">
        <v>88.1</v>
      </c>
    </row>
    <row r="6341" spans="1:2">
      <c r="A6341" s="14">
        <f>DATE(2012,12,31)-1074</f>
        <v>40200</v>
      </c>
      <c r="B6341" s="15">
        <v>110.74</v>
      </c>
    </row>
    <row r="6342" s="6" customFormat="1" spans="1:2">
      <c r="A6342" s="12">
        <f>DATE(2012,12,31)-630</f>
        <v>40644</v>
      </c>
      <c r="B6342" s="13">
        <v>73.82</v>
      </c>
    </row>
    <row r="6343" s="6" customFormat="1" spans="1:2">
      <c r="A6343" s="12">
        <f>DATE(2012,12,31)-912</f>
        <v>40362</v>
      </c>
      <c r="B6343" s="13">
        <v>5304.42</v>
      </c>
    </row>
    <row r="6344" spans="1:2">
      <c r="A6344" s="14">
        <f>DATE(2012,12,31)-891</f>
        <v>40383</v>
      </c>
      <c r="B6344" s="15">
        <v>18.16</v>
      </c>
    </row>
    <row r="6345" spans="1:2">
      <c r="A6345" s="14">
        <f>DATE(2012,12,31)-697</f>
        <v>40577</v>
      </c>
      <c r="B6345" s="15">
        <v>1327.59</v>
      </c>
    </row>
    <row r="6346" s="6" customFormat="1" spans="1:2">
      <c r="A6346" s="12">
        <f>DATE(2012,12,31)-697</f>
        <v>40577</v>
      </c>
      <c r="B6346" s="13">
        <v>3401.8</v>
      </c>
    </row>
    <row r="6347" s="6" customFormat="1" spans="1:2">
      <c r="A6347" s="12">
        <f>DATE(2012,12,31)-697</f>
        <v>40577</v>
      </c>
      <c r="B6347" s="13">
        <v>130.14</v>
      </c>
    </row>
    <row r="6348" s="6" customFormat="1" spans="1:2">
      <c r="A6348" s="12">
        <f>DATE(2012,12,31)-770</f>
        <v>40504</v>
      </c>
      <c r="B6348" s="13">
        <v>1418.956</v>
      </c>
    </row>
    <row r="6349" s="6" customFormat="1" spans="1:2">
      <c r="A6349" s="12">
        <f>DATE(2012,12,31)-1362</f>
        <v>39912</v>
      </c>
      <c r="B6349" s="13">
        <v>14591.44</v>
      </c>
    </row>
    <row r="6350" s="6" customFormat="1" spans="1:2">
      <c r="A6350" s="12">
        <f>DATE(2012,12,31)-217</f>
        <v>41057</v>
      </c>
      <c r="B6350" s="13">
        <v>975.5</v>
      </c>
    </row>
    <row r="6351" s="6" customFormat="1" spans="1:2">
      <c r="A6351" s="12">
        <f>DATE(2012,12,31)-217</f>
        <v>41057</v>
      </c>
      <c r="B6351" s="13">
        <v>4834.8</v>
      </c>
    </row>
    <row r="6352" s="6" customFormat="1" spans="1:2">
      <c r="A6352" s="12">
        <f>DATE(2012,12,31)-1</f>
        <v>41273</v>
      </c>
      <c r="B6352" s="13">
        <v>14.15</v>
      </c>
    </row>
    <row r="6353" s="6" customFormat="1" spans="1:2">
      <c r="A6353" s="12">
        <f>DATE(2012,12,31)-685</f>
        <v>40589</v>
      </c>
      <c r="B6353" s="13">
        <v>181.61</v>
      </c>
    </row>
    <row r="6354" s="6" customFormat="1" spans="1:2">
      <c r="A6354" s="12">
        <f>DATE(2012,12,31)-685</f>
        <v>40589</v>
      </c>
      <c r="B6354" s="13">
        <v>111.55</v>
      </c>
    </row>
    <row r="6355" s="6" customFormat="1" spans="1:2">
      <c r="A6355" s="12">
        <f>DATE(2012,12,31)-688</f>
        <v>40586</v>
      </c>
      <c r="B6355" s="13">
        <v>663.24</v>
      </c>
    </row>
    <row r="6356" s="6" customFormat="1" spans="1:2">
      <c r="A6356" s="12">
        <f>DATE(2012,12,31)-688</f>
        <v>40586</v>
      </c>
      <c r="B6356" s="13">
        <v>238.08</v>
      </c>
    </row>
    <row r="6357" s="6" customFormat="1" spans="1:2">
      <c r="A6357" s="12">
        <f>DATE(2012,12,31)-688</f>
        <v>40586</v>
      </c>
      <c r="B6357" s="13">
        <v>174.3</v>
      </c>
    </row>
    <row r="6358" s="6" customFormat="1" spans="1:2">
      <c r="A6358" s="12">
        <f>DATE(2012,12,31)-996</f>
        <v>40278</v>
      </c>
      <c r="B6358" s="13">
        <v>375.52</v>
      </c>
    </row>
    <row r="6359" s="6" customFormat="1" spans="1:2">
      <c r="A6359" s="12">
        <f>DATE(2012,12,31)-996</f>
        <v>40278</v>
      </c>
      <c r="B6359" s="13">
        <v>63.84</v>
      </c>
    </row>
    <row r="6360" s="6" customFormat="1" spans="1:2">
      <c r="A6360" s="12">
        <f>DATE(2012,12,31)-928</f>
        <v>40346</v>
      </c>
      <c r="B6360" s="13">
        <v>14647.26</v>
      </c>
    </row>
    <row r="6361" s="6" customFormat="1" spans="1:2">
      <c r="A6361" s="12">
        <f>DATE(2012,12,31)-928</f>
        <v>40346</v>
      </c>
      <c r="B6361" s="13">
        <v>26.11</v>
      </c>
    </row>
    <row r="6362" s="6" customFormat="1" spans="1:2">
      <c r="A6362" s="12">
        <f>DATE(2012,12,31)-773</f>
        <v>40501</v>
      </c>
      <c r="B6362" s="13">
        <v>2084.96</v>
      </c>
    </row>
    <row r="6363" s="6" customFormat="1" spans="1:2">
      <c r="A6363" s="12">
        <f>DATE(2012,12,31)-852</f>
        <v>40422</v>
      </c>
      <c r="B6363" s="13">
        <v>6789.9275</v>
      </c>
    </row>
    <row r="6364" s="6" customFormat="1" spans="1:2">
      <c r="A6364" s="12">
        <f>DATE(2012,12,31)-1331</f>
        <v>39943</v>
      </c>
      <c r="B6364" s="13">
        <v>309.46</v>
      </c>
    </row>
    <row r="6365" s="6" customFormat="1" spans="1:2">
      <c r="A6365" s="12">
        <f>DATE(2012,12,31)-625</f>
        <v>40649</v>
      </c>
      <c r="B6365" s="13">
        <v>154.85</v>
      </c>
    </row>
    <row r="6366" s="6" customFormat="1" spans="1:2">
      <c r="A6366" s="12">
        <f>DATE(2012,12,31)-625</f>
        <v>40649</v>
      </c>
      <c r="B6366" s="13">
        <v>4941.7725</v>
      </c>
    </row>
    <row r="6367" s="6" customFormat="1" spans="1:2">
      <c r="A6367" s="12">
        <f>DATE(2012,12,31)-765</f>
        <v>40509</v>
      </c>
      <c r="B6367" s="13">
        <v>1155.5835</v>
      </c>
    </row>
    <row r="6368" s="6" customFormat="1" spans="1:2">
      <c r="A6368" s="12">
        <f>DATE(2012,12,31)-889</f>
        <v>40385</v>
      </c>
      <c r="B6368" s="13">
        <v>3327.84</v>
      </c>
    </row>
    <row r="6369" s="6" customFormat="1" spans="1:2">
      <c r="A6369" s="12">
        <f>DATE(2012,12,31)-359</f>
        <v>40915</v>
      </c>
      <c r="B6369" s="13">
        <v>91.43</v>
      </c>
    </row>
    <row r="6370" s="6" customFormat="1" spans="1:2">
      <c r="A6370" s="12">
        <f>DATE(2012,12,31)-255</f>
        <v>41019</v>
      </c>
      <c r="B6370" s="13">
        <v>1141.9</v>
      </c>
    </row>
    <row r="6371" s="6" customFormat="1" spans="1:2">
      <c r="A6371" s="12">
        <f>DATE(2012,12,31)-305</f>
        <v>40969</v>
      </c>
      <c r="B6371" s="13">
        <v>1435.95</v>
      </c>
    </row>
    <row r="6372" s="6" customFormat="1" spans="1:2">
      <c r="A6372" s="12">
        <f>DATE(2012,12,31)-305</f>
        <v>40969</v>
      </c>
      <c r="B6372" s="13">
        <v>961.06</v>
      </c>
    </row>
    <row r="6373" s="6" customFormat="1" spans="1:2">
      <c r="A6373" s="12">
        <f>DATE(2012,12,31)-46</f>
        <v>41228</v>
      </c>
      <c r="B6373" s="13">
        <v>692.15</v>
      </c>
    </row>
    <row r="6374" s="6" customFormat="1" spans="1:2">
      <c r="A6374" s="12">
        <f>DATE(2012,12,31)-824</f>
        <v>40450</v>
      </c>
      <c r="B6374" s="13">
        <v>8704.08</v>
      </c>
    </row>
    <row r="6375" s="6" customFormat="1" spans="1:2">
      <c r="A6375" s="12">
        <f>DATE(2012,12,31)-824</f>
        <v>40450</v>
      </c>
      <c r="B6375" s="13">
        <v>24051.49</v>
      </c>
    </row>
    <row r="6376" s="6" customFormat="1" spans="1:2">
      <c r="A6376" s="12">
        <f>DATE(2012,12,31)-395</f>
        <v>40879</v>
      </c>
      <c r="B6376" s="13">
        <v>6648.58</v>
      </c>
    </row>
    <row r="6377" s="6" customFormat="1" spans="1:2">
      <c r="A6377" s="12">
        <f>DATE(2012,12,31)-638</f>
        <v>40636</v>
      </c>
      <c r="B6377" s="13">
        <v>91.43</v>
      </c>
    </row>
    <row r="6378" s="6" customFormat="1" spans="1:2">
      <c r="A6378" s="12">
        <f>DATE(2012,12,31)-1341</f>
        <v>39933</v>
      </c>
      <c r="B6378" s="13">
        <v>1912.9845</v>
      </c>
    </row>
    <row r="6379" s="6" customFormat="1" spans="1:2">
      <c r="A6379" s="12">
        <f>DATE(2012,12,31)-1341</f>
        <v>39933</v>
      </c>
      <c r="B6379" s="13">
        <v>4170.865</v>
      </c>
    </row>
    <row r="6380" s="6" customFormat="1" spans="1:2">
      <c r="A6380" s="12">
        <f>DATE(2012,12,31)-498</f>
        <v>40776</v>
      </c>
      <c r="B6380" s="13">
        <v>164.1</v>
      </c>
    </row>
    <row r="6381" s="6" customFormat="1" spans="1:2">
      <c r="A6381" s="12">
        <f>DATE(2012,12,31)-498</f>
        <v>40776</v>
      </c>
      <c r="B6381" s="13">
        <v>1316.87</v>
      </c>
    </row>
    <row r="6382" s="6" customFormat="1" spans="1:2">
      <c r="A6382" s="12">
        <f>DATE(2012,12,31)-498</f>
        <v>40776</v>
      </c>
      <c r="B6382" s="13">
        <v>11.81</v>
      </c>
    </row>
    <row r="6383" s="6" customFormat="1" spans="1:2">
      <c r="A6383" s="12">
        <f>DATE(2012,12,31)-736</f>
        <v>40538</v>
      </c>
      <c r="B6383" s="13">
        <v>716.99</v>
      </c>
    </row>
    <row r="6384" s="6" customFormat="1" spans="1:2">
      <c r="A6384" s="12">
        <f>DATE(2012,12,31)-994</f>
        <v>40280</v>
      </c>
      <c r="B6384" s="13">
        <v>3427.31</v>
      </c>
    </row>
    <row r="6385" s="6" customFormat="1" spans="1:2">
      <c r="A6385" s="12">
        <f>DATE(2012,12,31)-994</f>
        <v>40280</v>
      </c>
      <c r="B6385" s="13">
        <v>36.26</v>
      </c>
    </row>
    <row r="6386" s="6" customFormat="1" spans="1:2">
      <c r="A6386" s="12">
        <f>DATE(2012,12,31)-994</f>
        <v>40280</v>
      </c>
      <c r="B6386" s="13">
        <v>893.1375</v>
      </c>
    </row>
    <row r="6387" s="6" customFormat="1" spans="1:2">
      <c r="A6387" s="12">
        <f>DATE(2012,12,31)-1230</f>
        <v>40044</v>
      </c>
      <c r="B6387" s="13">
        <v>991.36</v>
      </c>
    </row>
    <row r="6388" s="6" customFormat="1" spans="1:2">
      <c r="A6388" s="12">
        <f>DATE(2012,12,31)-984</f>
        <v>40290</v>
      </c>
      <c r="B6388" s="13">
        <v>586.619</v>
      </c>
    </row>
    <row r="6389" s="6" customFormat="1" spans="1:2">
      <c r="A6389" s="12">
        <f>DATE(2012,12,31)-937</f>
        <v>40337</v>
      </c>
      <c r="B6389" s="13">
        <v>85.74</v>
      </c>
    </row>
    <row r="6390" s="6" customFormat="1" spans="1:2">
      <c r="A6390" s="12">
        <f>DATE(2012,12,31)-937</f>
        <v>40337</v>
      </c>
      <c r="B6390" s="13">
        <v>2031.98</v>
      </c>
    </row>
    <row r="6391" s="6" customFormat="1" spans="1:2">
      <c r="A6391" s="12">
        <f>DATE(2012,12,31)-937</f>
        <v>40337</v>
      </c>
      <c r="B6391" s="13">
        <v>131.94</v>
      </c>
    </row>
    <row r="6392" s="6" customFormat="1" spans="1:2">
      <c r="A6392" s="12">
        <f>DATE(2012,12,31)-1419</f>
        <v>39855</v>
      </c>
      <c r="B6392" s="13">
        <v>1002.73</v>
      </c>
    </row>
    <row r="6393" s="6" customFormat="1" spans="1:2">
      <c r="A6393" s="12">
        <f>DATE(2012,12,31)-144</f>
        <v>41130</v>
      </c>
      <c r="B6393" s="13">
        <v>748.29</v>
      </c>
    </row>
    <row r="6394" s="6" customFormat="1" spans="1:2">
      <c r="A6394" s="12">
        <f>DATE(2012,12,31)-257</f>
        <v>41017</v>
      </c>
      <c r="B6394" s="13">
        <v>1055.98</v>
      </c>
    </row>
    <row r="6395" s="6" customFormat="1" spans="1:2">
      <c r="A6395" s="12">
        <f>DATE(2012,12,31)-371</f>
        <v>40903</v>
      </c>
      <c r="B6395" s="13">
        <v>448.3665</v>
      </c>
    </row>
    <row r="6396" s="6" customFormat="1" spans="1:2">
      <c r="A6396" s="12">
        <f>DATE(2012,12,31)-863</f>
        <v>40411</v>
      </c>
      <c r="B6396" s="13">
        <v>951.31</v>
      </c>
    </row>
    <row r="6397" s="6" customFormat="1" spans="1:2">
      <c r="A6397" s="12">
        <f>DATE(2012,12,31)-1247</f>
        <v>40027</v>
      </c>
      <c r="B6397" s="13">
        <v>269.2</v>
      </c>
    </row>
    <row r="6398" s="6" customFormat="1" spans="1:2">
      <c r="A6398" s="12">
        <f>DATE(2012,12,31)-1247</f>
        <v>40027</v>
      </c>
      <c r="B6398" s="13">
        <v>87.33</v>
      </c>
    </row>
    <row r="6399" s="6" customFormat="1" spans="1:2">
      <c r="A6399" s="12">
        <f>DATE(2012,12,31)-1058</f>
        <v>40216</v>
      </c>
      <c r="B6399" s="13">
        <v>281.79</v>
      </c>
    </row>
    <row r="6400" s="6" customFormat="1" spans="1:2">
      <c r="A6400" s="12">
        <f>DATE(2012,12,31)-1058</f>
        <v>40216</v>
      </c>
      <c r="B6400" s="13">
        <v>4064.272</v>
      </c>
    </row>
    <row r="6401" s="6" customFormat="1" spans="1:2">
      <c r="A6401" s="12">
        <f>DATE(2012,12,31)-698</f>
        <v>40576</v>
      </c>
      <c r="B6401" s="13">
        <v>1223.43</v>
      </c>
    </row>
    <row r="6402" spans="1:2">
      <c r="A6402" s="14">
        <f>DATE(2012,12,31)-875</f>
        <v>40399</v>
      </c>
      <c r="B6402" s="15">
        <v>77.57</v>
      </c>
    </row>
    <row r="6403" s="6" customFormat="1" spans="1:2">
      <c r="A6403" s="12">
        <f>DATE(2012,12,31)-99</f>
        <v>41175</v>
      </c>
      <c r="B6403" s="13">
        <v>528.53</v>
      </c>
    </row>
    <row r="6404" s="6" customFormat="1" spans="1:2">
      <c r="A6404" s="12">
        <f>DATE(2012,12,31)-99</f>
        <v>41175</v>
      </c>
      <c r="B6404" s="13">
        <v>5975.0495</v>
      </c>
    </row>
    <row r="6405" s="6" customFormat="1" spans="1:2">
      <c r="A6405" s="12">
        <f>DATE(2012,12,31)-99</f>
        <v>41175</v>
      </c>
      <c r="B6405" s="13">
        <v>720.52</v>
      </c>
    </row>
    <row r="6406" s="6" customFormat="1" spans="1:2">
      <c r="A6406" s="12">
        <f>DATE(2012,12,31)-1237</f>
        <v>40037</v>
      </c>
      <c r="B6406" s="13">
        <v>627.64</v>
      </c>
    </row>
    <row r="6407" s="6" customFormat="1" spans="1:2">
      <c r="A6407" s="12">
        <f>DATE(2012,12,31)-263</f>
        <v>41011</v>
      </c>
      <c r="B6407" s="13">
        <v>3849.17</v>
      </c>
    </row>
    <row r="6408" s="6" customFormat="1" spans="1:2">
      <c r="A6408" s="12">
        <f>DATE(2012,12,31)-462</f>
        <v>40812</v>
      </c>
      <c r="B6408" s="13">
        <v>945.03</v>
      </c>
    </row>
    <row r="6409" s="6" customFormat="1" spans="1:2">
      <c r="A6409" s="12">
        <f>DATE(2012,12,31)-996</f>
        <v>40278</v>
      </c>
      <c r="B6409" s="13">
        <v>1494.27</v>
      </c>
    </row>
    <row r="6410" s="6" customFormat="1" spans="1:2">
      <c r="A6410" s="12">
        <f>DATE(2012,12,31)-466</f>
        <v>40808</v>
      </c>
      <c r="B6410" s="13">
        <v>325.75</v>
      </c>
    </row>
    <row r="6411" spans="1:2">
      <c r="A6411" s="14">
        <f>DATE(2012,12,31)-466</f>
        <v>40808</v>
      </c>
      <c r="B6411" s="15">
        <v>136.42</v>
      </c>
    </row>
    <row r="6412" s="6" customFormat="1" spans="1:2">
      <c r="A6412" s="12">
        <f>DATE(2012,12,31)-966</f>
        <v>40308</v>
      </c>
      <c r="B6412" s="13">
        <v>442.31</v>
      </c>
    </row>
    <row r="6413" s="6" customFormat="1" spans="1:2">
      <c r="A6413" s="12">
        <f>DATE(2012,12,31)-268</f>
        <v>41006</v>
      </c>
      <c r="B6413" s="13">
        <v>2018.68</v>
      </c>
    </row>
    <row r="6414" s="6" customFormat="1" spans="1:2">
      <c r="A6414" s="12">
        <f>DATE(2012,12,31)-205</f>
        <v>41069</v>
      </c>
      <c r="B6414" s="13">
        <v>473.03</v>
      </c>
    </row>
    <row r="6415" s="6" customFormat="1" spans="1:2">
      <c r="A6415" s="12">
        <f>DATE(2012,12,31)-750</f>
        <v>40524</v>
      </c>
      <c r="B6415" s="13">
        <v>704.77</v>
      </c>
    </row>
    <row r="6416" s="6" customFormat="1" spans="1:2">
      <c r="A6416" s="12">
        <f>DATE(2012,12,31)-146</f>
        <v>41128</v>
      </c>
      <c r="B6416" s="13">
        <v>20.16</v>
      </c>
    </row>
    <row r="6417" s="6" customFormat="1" spans="1:2">
      <c r="A6417" s="12">
        <f>DATE(2012,12,31)-568</f>
        <v>40706</v>
      </c>
      <c r="B6417" s="13">
        <v>126.68</v>
      </c>
    </row>
    <row r="6418" s="6" customFormat="1" spans="1:2">
      <c r="A6418" s="12">
        <f>DATE(2012,12,31)-252</f>
        <v>41022</v>
      </c>
      <c r="B6418" s="13">
        <v>6559.01</v>
      </c>
    </row>
    <row r="6419" spans="1:2">
      <c r="A6419" s="14">
        <f>DATE(2012,12,31)-252</f>
        <v>41022</v>
      </c>
      <c r="B6419" s="15">
        <v>263.37</v>
      </c>
    </row>
    <row r="6420" spans="1:2">
      <c r="A6420" s="14">
        <f>DATE(2012,12,31)-48</f>
        <v>41226</v>
      </c>
      <c r="B6420" s="15">
        <v>1704.58</v>
      </c>
    </row>
    <row r="6421" s="6" customFormat="1" spans="1:2">
      <c r="A6421" s="12">
        <f>DATE(2012,12,31)-924</f>
        <v>40350</v>
      </c>
      <c r="B6421" s="13">
        <v>1711.79</v>
      </c>
    </row>
    <row r="6422" s="6" customFormat="1" spans="1:2">
      <c r="A6422" s="12">
        <f>DATE(2012,12,31)-924</f>
        <v>40350</v>
      </c>
      <c r="B6422" s="13">
        <v>38.24</v>
      </c>
    </row>
    <row r="6423" s="6" customFormat="1" spans="1:2">
      <c r="A6423" s="12">
        <f>DATE(2012,12,31)-1239</f>
        <v>40035</v>
      </c>
      <c r="B6423" s="13">
        <v>146.63</v>
      </c>
    </row>
    <row r="6424" s="6" customFormat="1" spans="1:2">
      <c r="A6424" s="12">
        <f>DATE(2012,12,31)-1239</f>
        <v>40035</v>
      </c>
      <c r="B6424" s="13">
        <v>2506.2675</v>
      </c>
    </row>
    <row r="6425" s="6" customFormat="1" spans="1:2">
      <c r="A6425" s="12">
        <f>DATE(2012,12,31)-1239</f>
        <v>40035</v>
      </c>
      <c r="B6425" s="13">
        <v>12689.87</v>
      </c>
    </row>
    <row r="6426" s="6" customFormat="1" spans="1:2">
      <c r="A6426" s="12">
        <f>DATE(2012,12,31)-756</f>
        <v>40518</v>
      </c>
      <c r="B6426" s="13">
        <v>851.17</v>
      </c>
    </row>
    <row r="6427" s="6" customFormat="1" spans="1:2">
      <c r="A6427" s="12">
        <f>DATE(2012,12,31)-167</f>
        <v>41107</v>
      </c>
      <c r="B6427" s="13">
        <v>557.52</v>
      </c>
    </row>
    <row r="6428" s="6" customFormat="1" spans="1:2">
      <c r="A6428" s="12">
        <f>DATE(2012,12,31)-894</f>
        <v>40380</v>
      </c>
      <c r="B6428" s="13">
        <v>793.85</v>
      </c>
    </row>
    <row r="6429" s="6" customFormat="1" spans="1:2">
      <c r="A6429" s="12">
        <f>DATE(2012,12,31)-908</f>
        <v>40366</v>
      </c>
      <c r="B6429" s="13">
        <v>67.45</v>
      </c>
    </row>
    <row r="6430" s="6" customFormat="1" spans="1:2">
      <c r="A6430" s="12">
        <f>DATE(2012,12,31)-969</f>
        <v>40305</v>
      </c>
      <c r="B6430" s="13">
        <v>2522.21</v>
      </c>
    </row>
    <row r="6431" s="6" customFormat="1" spans="1:2">
      <c r="A6431" s="12">
        <f>DATE(2012,12,31)-969</f>
        <v>40305</v>
      </c>
      <c r="B6431" s="13">
        <v>4181.82</v>
      </c>
    </row>
    <row r="6432" s="6" customFormat="1" spans="1:2">
      <c r="A6432" s="12">
        <f>DATE(2012,12,31)-174</f>
        <v>41100</v>
      </c>
      <c r="B6432" s="13">
        <v>841.51</v>
      </c>
    </row>
    <row r="6433" s="6" customFormat="1" spans="1:2">
      <c r="A6433" s="12">
        <f>DATE(2012,12,31)-464</f>
        <v>40810</v>
      </c>
      <c r="B6433" s="13">
        <v>1208.35</v>
      </c>
    </row>
    <row r="6434" s="6" customFormat="1" spans="1:2">
      <c r="A6434" s="12">
        <f>DATE(2012,12,31)-1121</f>
        <v>40153</v>
      </c>
      <c r="B6434" s="13">
        <v>6123.48</v>
      </c>
    </row>
    <row r="6435" s="6" customFormat="1" spans="1:2">
      <c r="A6435" s="12">
        <f>DATE(2012,12,31)-85</f>
        <v>41189</v>
      </c>
      <c r="B6435" s="13">
        <v>272.63</v>
      </c>
    </row>
    <row r="6436" s="6" customFormat="1" spans="1:2">
      <c r="A6436" s="12">
        <f>DATE(2012,12,31)-141</f>
        <v>41133</v>
      </c>
      <c r="B6436" s="13">
        <v>69.97</v>
      </c>
    </row>
    <row r="6437" s="6" customFormat="1" spans="1:2">
      <c r="A6437" s="12">
        <f>DATE(2012,12,31)-494</f>
        <v>40780</v>
      </c>
      <c r="B6437" s="13">
        <v>680.8585</v>
      </c>
    </row>
    <row r="6438" s="6" customFormat="1" spans="1:2">
      <c r="A6438" s="12">
        <f>DATE(2012,12,31)-834</f>
        <v>40440</v>
      </c>
      <c r="B6438" s="13">
        <v>845.614</v>
      </c>
    </row>
    <row r="6439" spans="1:2">
      <c r="A6439" s="14">
        <f>DATE(2012,12,31)-585</f>
        <v>40689</v>
      </c>
      <c r="B6439" s="15">
        <v>68.03</v>
      </c>
    </row>
    <row r="6440" s="6" customFormat="1" spans="1:2">
      <c r="A6440" s="12">
        <f>DATE(2012,12,31)-741</f>
        <v>40533</v>
      </c>
      <c r="B6440" s="13">
        <v>27.44</v>
      </c>
    </row>
    <row r="6441" s="6" customFormat="1" spans="1:2">
      <c r="A6441" s="12">
        <f>DATE(2012,12,31)-832</f>
        <v>40442</v>
      </c>
      <c r="B6441" s="13">
        <v>759.84</v>
      </c>
    </row>
    <row r="6442" s="6" customFormat="1" spans="1:2">
      <c r="A6442" s="12">
        <f>DATE(2012,12,31)-832</f>
        <v>40442</v>
      </c>
      <c r="B6442" s="13">
        <v>147.39</v>
      </c>
    </row>
    <row r="6443" s="6" customFormat="1" spans="1:2">
      <c r="A6443" s="12">
        <f>DATE(2012,12,31)-586</f>
        <v>40688</v>
      </c>
      <c r="B6443" s="13">
        <v>17599.39</v>
      </c>
    </row>
    <row r="6444" s="6" customFormat="1" spans="1:2">
      <c r="A6444" s="12">
        <f>DATE(2012,12,31)-586</f>
        <v>40688</v>
      </c>
      <c r="B6444" s="13">
        <v>115.34</v>
      </c>
    </row>
    <row r="6445" s="6" customFormat="1" spans="1:2">
      <c r="A6445" s="12">
        <f>DATE(2012,12,31)-1121</f>
        <v>40153</v>
      </c>
      <c r="B6445" s="13">
        <v>201.74</v>
      </c>
    </row>
    <row r="6446" s="6" customFormat="1" spans="1:2">
      <c r="A6446" s="12">
        <f>DATE(2012,12,31)-1121</f>
        <v>40153</v>
      </c>
      <c r="B6446" s="13">
        <v>1822.13</v>
      </c>
    </row>
    <row r="6447" s="6" customFormat="1" spans="1:2">
      <c r="A6447" s="12">
        <f>DATE(2012,12,31)-339</f>
        <v>40935</v>
      </c>
      <c r="B6447" s="13">
        <v>80.33</v>
      </c>
    </row>
    <row r="6448" s="6" customFormat="1" spans="1:2">
      <c r="A6448" s="12">
        <f>DATE(2012,12,31)-1102</f>
        <v>40172</v>
      </c>
      <c r="B6448" s="13">
        <v>71.07</v>
      </c>
    </row>
    <row r="6449" spans="1:2">
      <c r="A6449" s="14">
        <f>DATE(2012,12,31)-1390</f>
        <v>39884</v>
      </c>
      <c r="B6449" s="15">
        <v>131.43</v>
      </c>
    </row>
    <row r="6450" s="6" customFormat="1" spans="1:2">
      <c r="A6450" s="12">
        <f>DATE(2012,12,31)-1217</f>
        <v>40057</v>
      </c>
      <c r="B6450" s="13">
        <v>3832.24</v>
      </c>
    </row>
    <row r="6451" s="6" customFormat="1" spans="1:2">
      <c r="A6451" s="12">
        <f>DATE(2012,12,31)-861</f>
        <v>40413</v>
      </c>
      <c r="B6451" s="13">
        <v>148.12</v>
      </c>
    </row>
    <row r="6452" s="6" customFormat="1" spans="1:2">
      <c r="A6452" s="12">
        <f>DATE(2012,12,31)-686</f>
        <v>40588</v>
      </c>
      <c r="B6452" s="13">
        <v>131.27</v>
      </c>
    </row>
    <row r="6453" s="6" customFormat="1" spans="1:2">
      <c r="A6453" s="12">
        <f>DATE(2012,12,31)-686</f>
        <v>40588</v>
      </c>
      <c r="B6453" s="13">
        <v>196.39</v>
      </c>
    </row>
    <row r="6454" s="6" customFormat="1" spans="1:2">
      <c r="A6454" s="12">
        <f>DATE(2012,12,31)-1238</f>
        <v>40036</v>
      </c>
      <c r="B6454" s="13">
        <v>2797.41</v>
      </c>
    </row>
    <row r="6455" s="6" customFormat="1" spans="1:2">
      <c r="A6455" s="12">
        <f>DATE(2012,12,31)-1400</f>
        <v>39874</v>
      </c>
      <c r="B6455" s="13">
        <v>199.48</v>
      </c>
    </row>
    <row r="6456" s="6" customFormat="1" spans="1:2">
      <c r="A6456" s="12">
        <f>DATE(2012,12,31)-1134</f>
        <v>40140</v>
      </c>
      <c r="B6456" s="13">
        <v>2374.35</v>
      </c>
    </row>
    <row r="6457" s="6" customFormat="1" spans="1:2">
      <c r="A6457" s="12">
        <f>DATE(2012,12,31)-1134</f>
        <v>40140</v>
      </c>
      <c r="B6457" s="13">
        <v>729.21</v>
      </c>
    </row>
    <row r="6458" s="6" customFormat="1" spans="1:2">
      <c r="A6458" s="12">
        <f>DATE(2012,12,31)-109</f>
        <v>41165</v>
      </c>
      <c r="B6458" s="13">
        <v>2447.1075</v>
      </c>
    </row>
    <row r="6459" s="6" customFormat="1" spans="1:2">
      <c r="A6459" s="12">
        <f>DATE(2012,12,31)-109</f>
        <v>41165</v>
      </c>
      <c r="B6459" s="13">
        <v>1458.83</v>
      </c>
    </row>
    <row r="6460" s="6" customFormat="1" spans="1:2">
      <c r="A6460" s="12">
        <f>DATE(2012,12,31)-212</f>
        <v>41062</v>
      </c>
      <c r="B6460" s="13">
        <v>1291.2</v>
      </c>
    </row>
    <row r="6461" s="6" customFormat="1" spans="1:2">
      <c r="A6461" s="12">
        <f>DATE(2012,12,31)-1125</f>
        <v>40149</v>
      </c>
      <c r="B6461" s="13">
        <v>2567.13</v>
      </c>
    </row>
    <row r="6462" s="6" customFormat="1" spans="1:2">
      <c r="A6462" s="12">
        <f>DATE(2012,12,31)-670</f>
        <v>40604</v>
      </c>
      <c r="B6462" s="13">
        <v>677.43</v>
      </c>
    </row>
    <row r="6463" s="6" customFormat="1" spans="1:2">
      <c r="A6463" s="12">
        <f>DATE(2012,12,31)-670</f>
        <v>40604</v>
      </c>
      <c r="B6463" s="13">
        <v>491.78</v>
      </c>
    </row>
    <row r="6464" s="6" customFormat="1" spans="1:2">
      <c r="A6464" s="12">
        <f>DATE(2012,12,31)-589</f>
        <v>40685</v>
      </c>
      <c r="B6464" s="13">
        <v>1168.28</v>
      </c>
    </row>
    <row r="6465" s="6" customFormat="1" spans="1:2">
      <c r="A6465" s="12">
        <f>DATE(2012,12,31)-1415</f>
        <v>39859</v>
      </c>
      <c r="B6465" s="13">
        <v>93.05</v>
      </c>
    </row>
    <row r="6466" spans="1:2">
      <c r="A6466" s="14">
        <f>DATE(2012,12,31)-1415</f>
        <v>39859</v>
      </c>
      <c r="B6466" s="15">
        <v>154.13</v>
      </c>
    </row>
    <row r="6467" s="6" customFormat="1" spans="1:2">
      <c r="A6467" s="12">
        <f>DATE(2012,12,31)-1415</f>
        <v>39859</v>
      </c>
      <c r="B6467" s="13">
        <v>18824.42</v>
      </c>
    </row>
    <row r="6468" spans="1:2">
      <c r="A6468" s="14">
        <f>DATE(2012,12,31)-716</f>
        <v>40558</v>
      </c>
      <c r="B6468" s="15">
        <v>925.8</v>
      </c>
    </row>
    <row r="6469" s="6" customFormat="1" spans="1:2">
      <c r="A6469" s="12">
        <f>DATE(2012,12,31)-716</f>
        <v>40558</v>
      </c>
      <c r="B6469" s="13">
        <v>282.48</v>
      </c>
    </row>
    <row r="6470" s="6" customFormat="1" spans="1:2">
      <c r="A6470" s="12">
        <f>DATE(2012,12,31)-716</f>
        <v>40558</v>
      </c>
      <c r="B6470" s="13">
        <v>6502.46</v>
      </c>
    </row>
    <row r="6471" s="6" customFormat="1" spans="1:2">
      <c r="A6471" s="12">
        <f>DATE(2012,12,31)-1149</f>
        <v>40125</v>
      </c>
      <c r="B6471" s="13">
        <v>203.91</v>
      </c>
    </row>
    <row r="6472" s="6" customFormat="1" spans="1:2">
      <c r="A6472" s="12">
        <f>DATE(2012,12,31)-757</f>
        <v>40517</v>
      </c>
      <c r="B6472" s="13">
        <v>11169.95</v>
      </c>
    </row>
    <row r="6473" s="6" customFormat="1" spans="1:2">
      <c r="A6473" s="12">
        <f>DATE(2012,12,31)-757</f>
        <v>40517</v>
      </c>
      <c r="B6473" s="13">
        <v>468.46</v>
      </c>
    </row>
    <row r="6474" s="6" customFormat="1" spans="1:2">
      <c r="A6474" s="12">
        <f>DATE(2012,12,31)-757</f>
        <v>40517</v>
      </c>
      <c r="B6474" s="13">
        <v>9708.64</v>
      </c>
    </row>
    <row r="6475" s="6" customFormat="1" spans="1:2">
      <c r="A6475" s="12">
        <f>DATE(2012,12,31)-934</f>
        <v>40340</v>
      </c>
      <c r="B6475" s="13">
        <v>1243.52</v>
      </c>
    </row>
    <row r="6476" s="6" customFormat="1" spans="1:2">
      <c r="A6476" s="12">
        <f>DATE(2012,12,31)-110</f>
        <v>41164</v>
      </c>
      <c r="B6476" s="13">
        <v>3877.88</v>
      </c>
    </row>
    <row r="6477" spans="1:2">
      <c r="A6477" s="14">
        <f>DATE(2012,12,31)-110</f>
        <v>41164</v>
      </c>
      <c r="B6477" s="15">
        <v>322.47</v>
      </c>
    </row>
    <row r="6478" s="6" customFormat="1" spans="1:2">
      <c r="A6478" s="12">
        <f>DATE(2012,12,31)-1388</f>
        <v>39886</v>
      </c>
      <c r="B6478" s="13">
        <v>1932.58</v>
      </c>
    </row>
    <row r="6479" s="6" customFormat="1" spans="1:2">
      <c r="A6479" s="12">
        <f>DATE(2012,12,31)-342</f>
        <v>40932</v>
      </c>
      <c r="B6479" s="13">
        <v>614.35</v>
      </c>
    </row>
    <row r="6480" s="6" customFormat="1" spans="1:2">
      <c r="A6480" s="12">
        <f>DATE(2012,12,31)-342</f>
        <v>40932</v>
      </c>
      <c r="B6480" s="13">
        <v>3.63</v>
      </c>
    </row>
    <row r="6481" s="6" customFormat="1" spans="1:2">
      <c r="A6481" s="12">
        <f>DATE(2012,12,31)-342</f>
        <v>40932</v>
      </c>
      <c r="B6481" s="13">
        <v>172.99</v>
      </c>
    </row>
    <row r="6482" s="6" customFormat="1" spans="1:2">
      <c r="A6482" s="12">
        <f>DATE(2012,12,31)-1278</f>
        <v>39996</v>
      </c>
      <c r="B6482" s="13">
        <v>601.57</v>
      </c>
    </row>
    <row r="6483" s="6" customFormat="1" spans="1:2">
      <c r="A6483" s="12">
        <f>DATE(2012,12,31)-1278</f>
        <v>39996</v>
      </c>
      <c r="B6483" s="13">
        <v>157.42</v>
      </c>
    </row>
    <row r="6484" s="6" customFormat="1" spans="1:2">
      <c r="A6484" s="12">
        <f>DATE(2012,12,31)-22</f>
        <v>41252</v>
      </c>
      <c r="B6484" s="13">
        <v>114.83</v>
      </c>
    </row>
    <row r="6485" s="6" customFormat="1" spans="1:2">
      <c r="A6485" s="12">
        <f>DATE(2012,12,31)-22</f>
        <v>41252</v>
      </c>
      <c r="B6485" s="13">
        <v>16743.76</v>
      </c>
    </row>
    <row r="6486" s="6" customFormat="1" spans="1:2">
      <c r="A6486" s="12">
        <f>DATE(2012,12,31)-520</f>
        <v>40754</v>
      </c>
      <c r="B6486" s="13">
        <v>299.66</v>
      </c>
    </row>
    <row r="6487" s="6" customFormat="1" spans="1:2">
      <c r="A6487" s="12">
        <f>DATE(2012,12,31)-694</f>
        <v>40580</v>
      </c>
      <c r="B6487" s="13">
        <v>643.53</v>
      </c>
    </row>
    <row r="6488" s="6" customFormat="1" spans="1:2">
      <c r="A6488" s="12">
        <f>DATE(2012,12,31)-694</f>
        <v>40580</v>
      </c>
      <c r="B6488" s="13">
        <v>1217.77</v>
      </c>
    </row>
    <row r="6489" s="6" customFormat="1" spans="1:2">
      <c r="A6489" s="12">
        <f>DATE(2012,12,31)-894</f>
        <v>40380</v>
      </c>
      <c r="B6489" s="13">
        <v>1935.25</v>
      </c>
    </row>
    <row r="6490" s="6" customFormat="1" spans="1:2">
      <c r="A6490" s="12">
        <f>DATE(2012,12,31)-894</f>
        <v>40380</v>
      </c>
      <c r="B6490" s="13">
        <v>278.5</v>
      </c>
    </row>
    <row r="6491" s="6" customFormat="1" spans="1:2">
      <c r="A6491" s="12">
        <f>DATE(2012,12,31)-894</f>
        <v>40380</v>
      </c>
      <c r="B6491" s="13">
        <v>5423.58</v>
      </c>
    </row>
    <row r="6492" s="6" customFormat="1" spans="1:2">
      <c r="A6492" s="12">
        <f>DATE(2012,12,31)-525</f>
        <v>40749</v>
      </c>
      <c r="B6492" s="13">
        <v>1244.01</v>
      </c>
    </row>
    <row r="6493" s="6" customFormat="1" spans="1:2">
      <c r="A6493" s="12">
        <f>DATE(2012,12,31)-525</f>
        <v>40749</v>
      </c>
      <c r="B6493" s="13">
        <v>981.73</v>
      </c>
    </row>
    <row r="6494" s="6" customFormat="1" spans="1:2">
      <c r="A6494" s="12">
        <f>DATE(2012,12,31)-525</f>
        <v>40749</v>
      </c>
      <c r="B6494" s="13">
        <v>302.07</v>
      </c>
    </row>
    <row r="6495" s="6" customFormat="1" spans="1:2">
      <c r="A6495" s="12">
        <f>DATE(2012,12,31)-521</f>
        <v>40753</v>
      </c>
      <c r="B6495" s="13">
        <v>143.85</v>
      </c>
    </row>
    <row r="6496" s="6" customFormat="1" spans="1:2">
      <c r="A6496" s="12">
        <f>DATE(2012,12,31)-248</f>
        <v>41026</v>
      </c>
      <c r="B6496" s="13">
        <v>61.45</v>
      </c>
    </row>
    <row r="6497" s="6" customFormat="1" spans="1:2">
      <c r="A6497" s="12">
        <f>DATE(2012,12,31)-1110</f>
        <v>40164</v>
      </c>
      <c r="B6497" s="13">
        <v>39.13</v>
      </c>
    </row>
    <row r="6498" spans="1:2">
      <c r="A6498" s="14">
        <f>DATE(2012,12,31)-251</f>
        <v>41023</v>
      </c>
      <c r="B6498" s="15">
        <v>166.13</v>
      </c>
    </row>
    <row r="6499" spans="1:2">
      <c r="A6499" s="14">
        <f>DATE(2012,12,31)-674</f>
        <v>40600</v>
      </c>
      <c r="B6499" s="15">
        <v>375.57</v>
      </c>
    </row>
    <row r="6500" s="6" customFormat="1" spans="1:2">
      <c r="A6500" s="12">
        <f>DATE(2012,12,31)-674</f>
        <v>40600</v>
      </c>
      <c r="B6500" s="13">
        <v>81.97</v>
      </c>
    </row>
    <row r="6501" s="6" customFormat="1" spans="1:2">
      <c r="A6501" s="12">
        <f>DATE(2012,12,31)-908</f>
        <v>40366</v>
      </c>
      <c r="B6501" s="13">
        <v>1822.83</v>
      </c>
    </row>
    <row r="6502" spans="1:2">
      <c r="A6502" s="14">
        <f>DATE(2012,12,31)-858</f>
        <v>40416</v>
      </c>
      <c r="B6502" s="15">
        <v>905.32</v>
      </c>
    </row>
    <row r="6503" s="6" customFormat="1" spans="1:2">
      <c r="A6503" s="12">
        <f>DATE(2012,12,31)-858</f>
        <v>40416</v>
      </c>
      <c r="B6503" s="13">
        <v>1702.499</v>
      </c>
    </row>
    <row r="6504" s="6" customFormat="1" spans="1:2">
      <c r="A6504" s="12">
        <f>DATE(2012,12,31)-723</f>
        <v>40551</v>
      </c>
      <c r="B6504" s="13">
        <v>826.27</v>
      </c>
    </row>
    <row r="6505" s="6" customFormat="1" spans="1:2">
      <c r="A6505" s="12">
        <f>DATE(2012,12,31)-723</f>
        <v>40551</v>
      </c>
      <c r="B6505" s="13">
        <v>1777.469</v>
      </c>
    </row>
    <row r="6506" s="6" customFormat="1" spans="1:2">
      <c r="A6506" s="12">
        <f>DATE(2012,12,31)-723</f>
        <v>40551</v>
      </c>
      <c r="B6506" s="13">
        <v>1219.1465</v>
      </c>
    </row>
    <row r="6507" s="6" customFormat="1" spans="1:2">
      <c r="A6507" s="12">
        <f>DATE(2012,12,31)-302</f>
        <v>40972</v>
      </c>
      <c r="B6507" s="13">
        <v>1875.4145</v>
      </c>
    </row>
    <row r="6508" spans="1:2">
      <c r="A6508" s="14">
        <f>DATE(2012,12,31)-1376</f>
        <v>39898</v>
      </c>
      <c r="B6508" s="15">
        <v>38.37</v>
      </c>
    </row>
    <row r="6509" s="6" customFormat="1" spans="1:2">
      <c r="A6509" s="12">
        <f>DATE(2012,12,31)-1005</f>
        <v>40269</v>
      </c>
      <c r="B6509" s="13">
        <v>800.39</v>
      </c>
    </row>
    <row r="6510" s="6" customFormat="1" spans="1:2">
      <c r="A6510" s="12">
        <f>DATE(2012,12,31)-1367</f>
        <v>39907</v>
      </c>
      <c r="B6510" s="13">
        <v>1477.572</v>
      </c>
    </row>
    <row r="6511" s="6" customFormat="1" spans="1:2">
      <c r="A6511" s="12">
        <f>DATE(2012,12,31)-1203</f>
        <v>40071</v>
      </c>
      <c r="B6511" s="13">
        <v>1488.66</v>
      </c>
    </row>
    <row r="6512" s="6" customFormat="1" spans="1:2">
      <c r="A6512" s="12">
        <f>DATE(2012,12,31)-314</f>
        <v>40960</v>
      </c>
      <c r="B6512" s="13">
        <v>271.27</v>
      </c>
    </row>
    <row r="6513" s="6" customFormat="1" spans="1:2">
      <c r="A6513" s="12">
        <f>DATE(2012,12,31)-720</f>
        <v>40554</v>
      </c>
      <c r="B6513" s="13">
        <v>7535.96</v>
      </c>
    </row>
    <row r="6514" s="6" customFormat="1" spans="1:2">
      <c r="A6514" s="12">
        <f>DATE(2012,12,31)-720</f>
        <v>40554</v>
      </c>
      <c r="B6514" s="13">
        <v>1618.31</v>
      </c>
    </row>
    <row r="6515" spans="1:2">
      <c r="A6515" s="14">
        <f>DATE(2012,12,31)-720</f>
        <v>40554</v>
      </c>
      <c r="B6515" s="15">
        <v>11.87</v>
      </c>
    </row>
    <row r="6516" s="6" customFormat="1" spans="1:2">
      <c r="A6516" s="12">
        <f>DATE(2012,12,31)-1233</f>
        <v>40041</v>
      </c>
      <c r="B6516" s="13">
        <v>1210.72</v>
      </c>
    </row>
    <row r="6517" s="6" customFormat="1" spans="1:2">
      <c r="A6517" s="12">
        <f>DATE(2012,12,31)-1233</f>
        <v>40041</v>
      </c>
      <c r="B6517" s="13">
        <v>93.26</v>
      </c>
    </row>
    <row r="6518" s="6" customFormat="1" spans="1:2">
      <c r="A6518" s="12">
        <f>DATE(2012,12,31)-195</f>
        <v>41079</v>
      </c>
      <c r="B6518" s="13">
        <v>630.54</v>
      </c>
    </row>
    <row r="6519" spans="1:2">
      <c r="A6519" s="14">
        <f>DATE(2012,12,31)-1303</f>
        <v>39971</v>
      </c>
      <c r="B6519" s="15">
        <v>46.94</v>
      </c>
    </row>
    <row r="6520" s="6" customFormat="1" spans="1:2">
      <c r="A6520" s="12">
        <f>DATE(2012,12,31)-1303</f>
        <v>39971</v>
      </c>
      <c r="B6520" s="13">
        <v>89.96</v>
      </c>
    </row>
    <row r="6521" s="6" customFormat="1" spans="1:2">
      <c r="A6521" s="12">
        <f>DATE(2012,12,31)-1303</f>
        <v>39971</v>
      </c>
      <c r="B6521" s="13">
        <v>12.95</v>
      </c>
    </row>
    <row r="6522" s="6" customFormat="1" spans="1:2">
      <c r="A6522" s="12">
        <f>DATE(2012,12,31)-421</f>
        <v>40853</v>
      </c>
      <c r="B6522" s="13">
        <v>1196.7915</v>
      </c>
    </row>
    <row r="6523" s="6" customFormat="1" spans="1:2">
      <c r="A6523" s="12">
        <f>DATE(2012,12,31)-1121</f>
        <v>40153</v>
      </c>
      <c r="B6523" s="13">
        <v>2980.15</v>
      </c>
    </row>
    <row r="6524" s="6" customFormat="1" spans="1:2">
      <c r="A6524" s="12">
        <f>DATE(2012,12,31)-1121</f>
        <v>40153</v>
      </c>
      <c r="B6524" s="13">
        <v>476.04</v>
      </c>
    </row>
    <row r="6525" s="6" customFormat="1" spans="1:2">
      <c r="A6525" s="12">
        <f>DATE(2012,12,31)-498</f>
        <v>40776</v>
      </c>
      <c r="B6525" s="13">
        <v>19.34</v>
      </c>
    </row>
    <row r="6526" s="6" customFormat="1" spans="1:2">
      <c r="A6526" s="12">
        <f>DATE(2012,12,31)-498</f>
        <v>40776</v>
      </c>
      <c r="B6526" s="13">
        <v>3064.658</v>
      </c>
    </row>
    <row r="6527" spans="1:2">
      <c r="A6527" s="14">
        <f>DATE(2012,12,31)-498</f>
        <v>40776</v>
      </c>
      <c r="B6527" s="15">
        <v>84.47</v>
      </c>
    </row>
    <row r="6528" s="6" customFormat="1" spans="1:2">
      <c r="A6528" s="12">
        <f>DATE(2012,12,31)-498</f>
        <v>40776</v>
      </c>
      <c r="B6528" s="13">
        <v>4211</v>
      </c>
    </row>
    <row r="6529" s="6" customFormat="1" spans="1:2">
      <c r="A6529" s="12">
        <f>DATE(2012,12,31)-1181</f>
        <v>40093</v>
      </c>
      <c r="B6529" s="13">
        <v>215.24</v>
      </c>
    </row>
    <row r="6530" s="6" customFormat="1" spans="1:2">
      <c r="A6530" s="12">
        <f>DATE(2012,12,31)-1181</f>
        <v>40093</v>
      </c>
      <c r="B6530" s="13">
        <v>654.874</v>
      </c>
    </row>
    <row r="6531" s="6" customFormat="1" spans="1:2">
      <c r="A6531" s="12">
        <f>DATE(2012,12,31)-89</f>
        <v>41185</v>
      </c>
      <c r="B6531" s="13">
        <v>1341.31</v>
      </c>
    </row>
    <row r="6532" s="6" customFormat="1" spans="1:2">
      <c r="A6532" s="12">
        <f>DATE(2012,12,31)-688</f>
        <v>40586</v>
      </c>
      <c r="B6532" s="13">
        <v>5407.9</v>
      </c>
    </row>
    <row r="6533" s="6" customFormat="1" spans="1:2">
      <c r="A6533" s="12">
        <f>DATE(2012,12,31)-558</f>
        <v>40716</v>
      </c>
      <c r="B6533" s="13">
        <v>4691.27</v>
      </c>
    </row>
    <row r="6534" s="6" customFormat="1" spans="1:2">
      <c r="A6534" s="12">
        <f>DATE(2012,12,31)-558</f>
        <v>40716</v>
      </c>
      <c r="B6534" s="13">
        <v>804.14</v>
      </c>
    </row>
    <row r="6535" spans="1:2">
      <c r="A6535" s="14">
        <f>DATE(2012,12,31)-558</f>
        <v>40716</v>
      </c>
      <c r="B6535" s="15">
        <v>567.51</v>
      </c>
    </row>
    <row r="6536" s="6" customFormat="1" spans="1:2">
      <c r="A6536" s="12">
        <f>DATE(2012,12,31)-266</f>
        <v>41008</v>
      </c>
      <c r="B6536" s="13">
        <v>1534.7</v>
      </c>
    </row>
    <row r="6537" s="6" customFormat="1" spans="1:2">
      <c r="A6537" s="12">
        <f>DATE(2012,12,31)-1096</f>
        <v>40178</v>
      </c>
      <c r="B6537" s="13">
        <v>8216.593</v>
      </c>
    </row>
    <row r="6538" s="6" customFormat="1" spans="1:2">
      <c r="A6538" s="12">
        <f>DATE(2012,12,31)-1096</f>
        <v>40178</v>
      </c>
      <c r="B6538" s="13">
        <v>130.36</v>
      </c>
    </row>
    <row r="6539" s="6" customFormat="1" spans="1:2">
      <c r="A6539" s="12">
        <f>DATE(2012,12,31)-1096</f>
        <v>40178</v>
      </c>
      <c r="B6539" s="13">
        <v>200.57</v>
      </c>
    </row>
    <row r="6540" s="6" customFormat="1" spans="1:2">
      <c r="A6540" s="12">
        <f>DATE(2012,12,31)-840</f>
        <v>40434</v>
      </c>
      <c r="B6540" s="13">
        <v>284</v>
      </c>
    </row>
    <row r="6541" s="6" customFormat="1" spans="1:2">
      <c r="A6541" s="12">
        <f>DATE(2012,12,31)-980</f>
        <v>40294</v>
      </c>
      <c r="B6541" s="13">
        <v>110.2</v>
      </c>
    </row>
    <row r="6542" s="6" customFormat="1" spans="1:2">
      <c r="A6542" s="12">
        <f>DATE(2012,12,31)-980</f>
        <v>40294</v>
      </c>
      <c r="B6542" s="13">
        <v>54.86</v>
      </c>
    </row>
    <row r="6543" s="6" customFormat="1" spans="1:2">
      <c r="A6543" s="12">
        <f>DATE(2012,12,31)-187</f>
        <v>41087</v>
      </c>
      <c r="B6543" s="13">
        <v>825.96</v>
      </c>
    </row>
    <row r="6544" s="6" customFormat="1" spans="1:2">
      <c r="A6544" s="12">
        <f>DATE(2012,12,31)-1299</f>
        <v>39975</v>
      </c>
      <c r="B6544" s="13">
        <v>21.46</v>
      </c>
    </row>
    <row r="6545" s="6" customFormat="1" spans="1:2">
      <c r="A6545" s="12">
        <f>DATE(2012,12,31)-1299</f>
        <v>39975</v>
      </c>
      <c r="B6545" s="13">
        <v>1388.628</v>
      </c>
    </row>
    <row r="6546" s="6" customFormat="1" spans="1:2">
      <c r="A6546" s="12">
        <f>DATE(2012,12,31)-295</f>
        <v>40979</v>
      </c>
      <c r="B6546" s="13">
        <v>930.84</v>
      </c>
    </row>
    <row r="6547" s="6" customFormat="1" spans="1:2">
      <c r="A6547" s="12">
        <f>DATE(2012,12,31)-1264</f>
        <v>40010</v>
      </c>
      <c r="B6547" s="13">
        <v>636.7</v>
      </c>
    </row>
    <row r="6548" s="6" customFormat="1" spans="1:2">
      <c r="A6548" s="12">
        <f>DATE(2012,12,31)-368</f>
        <v>40906</v>
      </c>
      <c r="B6548" s="13">
        <v>57.22</v>
      </c>
    </row>
    <row r="6549" s="6" customFormat="1" spans="1:2">
      <c r="A6549" s="12">
        <f>DATE(2012,12,31)-368</f>
        <v>40906</v>
      </c>
      <c r="B6549" s="13">
        <v>162</v>
      </c>
    </row>
    <row r="6550" s="6" customFormat="1" spans="1:2">
      <c r="A6550" s="12">
        <f>DATE(2012,12,31)-368</f>
        <v>40906</v>
      </c>
      <c r="B6550" s="13">
        <v>3410.1575</v>
      </c>
    </row>
    <row r="6551" s="6" customFormat="1" spans="1:2">
      <c r="A6551" s="12">
        <f>DATE(2012,12,31)-190</f>
        <v>41084</v>
      </c>
      <c r="B6551" s="13">
        <v>1676.25</v>
      </c>
    </row>
    <row r="6552" s="6" customFormat="1" spans="1:2">
      <c r="A6552" s="12">
        <f>DATE(2012,12,31)-1205</f>
        <v>40069</v>
      </c>
      <c r="B6552" s="13">
        <v>142.94</v>
      </c>
    </row>
    <row r="6553" s="6" customFormat="1" spans="1:2">
      <c r="A6553" s="12">
        <f>DATE(2012,12,31)-1205</f>
        <v>40069</v>
      </c>
      <c r="B6553" s="13">
        <v>240.61</v>
      </c>
    </row>
    <row r="6554" s="6" customFormat="1" spans="1:2">
      <c r="A6554" s="12">
        <f>DATE(2012,12,31)-1205</f>
        <v>40069</v>
      </c>
      <c r="B6554" s="13">
        <v>1912.76</v>
      </c>
    </row>
    <row r="6555" s="6" customFormat="1" spans="1:2">
      <c r="A6555" s="12">
        <f>DATE(2012,12,31)-833</f>
        <v>40441</v>
      </c>
      <c r="B6555" s="13">
        <v>80</v>
      </c>
    </row>
    <row r="6556" s="6" customFormat="1" spans="1:2">
      <c r="A6556" s="12">
        <f>DATE(2012,12,31)-833</f>
        <v>40441</v>
      </c>
      <c r="B6556" s="13">
        <v>137.42</v>
      </c>
    </row>
    <row r="6557" s="6" customFormat="1" spans="1:2">
      <c r="A6557" s="12">
        <f>DATE(2012,12,31)-179</f>
        <v>41095</v>
      </c>
      <c r="B6557" s="13">
        <v>325.97</v>
      </c>
    </row>
    <row r="6558" s="6" customFormat="1" spans="1:2">
      <c r="A6558" s="12">
        <f>DATE(2012,12,31)-179</f>
        <v>41095</v>
      </c>
      <c r="B6558" s="13">
        <v>49.65</v>
      </c>
    </row>
    <row r="6559" s="6" customFormat="1" spans="1:2">
      <c r="A6559" s="12">
        <f>DATE(2012,12,31)-1177</f>
        <v>40097</v>
      </c>
      <c r="B6559" s="13">
        <v>33.64</v>
      </c>
    </row>
    <row r="6560" spans="1:2">
      <c r="A6560" s="14">
        <f>DATE(2012,12,31)-277</f>
        <v>40997</v>
      </c>
      <c r="B6560" s="15">
        <v>174.1</v>
      </c>
    </row>
    <row r="6561" s="6" customFormat="1" spans="1:2">
      <c r="A6561" s="12">
        <f>DATE(2012,12,31)-277</f>
        <v>40997</v>
      </c>
      <c r="B6561" s="13">
        <v>693.17</v>
      </c>
    </row>
    <row r="6562" s="6" customFormat="1" spans="1:2">
      <c r="A6562" s="12">
        <f>DATE(2012,12,31)-1147</f>
        <v>40127</v>
      </c>
      <c r="B6562" s="13">
        <v>3842.99</v>
      </c>
    </row>
    <row r="6563" s="6" customFormat="1" spans="1:2">
      <c r="A6563" s="12">
        <f>DATE(2012,12,31)-749</f>
        <v>40525</v>
      </c>
      <c r="B6563" s="13">
        <v>188.54</v>
      </c>
    </row>
    <row r="6564" s="6" customFormat="1" spans="1:2">
      <c r="A6564" s="12">
        <f>DATE(2012,12,31)-338</f>
        <v>40936</v>
      </c>
      <c r="B6564" s="13">
        <v>1591.89</v>
      </c>
    </row>
    <row r="6565" s="6" customFormat="1" spans="1:2">
      <c r="A6565" s="12">
        <f>DATE(2012,12,31)-338</f>
        <v>40936</v>
      </c>
      <c r="B6565" s="13">
        <v>220.07</v>
      </c>
    </row>
    <row r="6566" s="6" customFormat="1" spans="1:2">
      <c r="A6566" s="12">
        <f>DATE(2012,12,31)-1319</f>
        <v>39955</v>
      </c>
      <c r="B6566" s="13">
        <v>5648.69</v>
      </c>
    </row>
    <row r="6567" s="6" customFormat="1" spans="1:2">
      <c r="A6567" s="12">
        <f>DATE(2012,12,31)-1032</f>
        <v>40242</v>
      </c>
      <c r="B6567" s="13">
        <v>53.34</v>
      </c>
    </row>
    <row r="6568" s="6" customFormat="1" spans="1:2">
      <c r="A6568" s="12">
        <f>DATE(2012,12,31)-912</f>
        <v>40362</v>
      </c>
      <c r="B6568" s="13">
        <v>29.99</v>
      </c>
    </row>
    <row r="6569" s="6" customFormat="1" spans="1:2">
      <c r="A6569" s="12">
        <f>DATE(2012,12,31)-1182</f>
        <v>40092</v>
      </c>
      <c r="B6569" s="13">
        <v>176.28</v>
      </c>
    </row>
    <row r="6570" spans="1:2">
      <c r="A6570" s="14">
        <f>DATE(2012,12,31)-1444</f>
        <v>39830</v>
      </c>
      <c r="B6570" s="15">
        <v>130.11</v>
      </c>
    </row>
    <row r="6571" s="6" customFormat="1" spans="1:2">
      <c r="A6571" s="12">
        <f>DATE(2012,12,31)-1444</f>
        <v>39830</v>
      </c>
      <c r="B6571" s="13">
        <v>337.3395</v>
      </c>
    </row>
    <row r="6572" s="6" customFormat="1" spans="1:2">
      <c r="A6572" s="12">
        <f>DATE(2012,12,31)-1444</f>
        <v>39830</v>
      </c>
      <c r="B6572" s="13">
        <v>280.43</v>
      </c>
    </row>
    <row r="6573" s="6" customFormat="1" spans="1:2">
      <c r="A6573" s="12">
        <f>DATE(2012,12,31)-573</f>
        <v>40701</v>
      </c>
      <c r="B6573" s="13">
        <v>632.55</v>
      </c>
    </row>
    <row r="6574" s="6" customFormat="1" spans="1:2">
      <c r="A6574" s="12">
        <f>DATE(2012,12,31)-573</f>
        <v>40701</v>
      </c>
      <c r="B6574" s="13">
        <v>90.96</v>
      </c>
    </row>
    <row r="6575" s="6" customFormat="1" spans="1:2">
      <c r="A6575" s="12">
        <f>DATE(2012,12,31)-573</f>
        <v>40701</v>
      </c>
      <c r="B6575" s="13">
        <v>1997.13</v>
      </c>
    </row>
    <row r="6576" s="6" customFormat="1" spans="1:2">
      <c r="A6576" s="12">
        <f>DATE(2012,12,31)-184</f>
        <v>41090</v>
      </c>
      <c r="B6576" s="13">
        <v>294</v>
      </c>
    </row>
    <row r="6577" s="6" customFormat="1" spans="1:2">
      <c r="A6577" s="12">
        <f>DATE(2012,12,31)-455</f>
        <v>40819</v>
      </c>
      <c r="B6577" s="13">
        <v>115.51</v>
      </c>
    </row>
    <row r="6578" s="6" customFormat="1" spans="1:2">
      <c r="A6578" s="12">
        <f>DATE(2012,12,31)-455</f>
        <v>40819</v>
      </c>
      <c r="B6578" s="13">
        <v>103.79</v>
      </c>
    </row>
    <row r="6579" s="6" customFormat="1" spans="1:2">
      <c r="A6579" s="12">
        <f>DATE(2012,12,31)-455</f>
        <v>40819</v>
      </c>
      <c r="B6579" s="13">
        <v>2108.21</v>
      </c>
    </row>
    <row r="6580" s="6" customFormat="1" spans="1:2">
      <c r="A6580" s="12">
        <f>DATE(2012,12,31)-1292</f>
        <v>39982</v>
      </c>
      <c r="B6580" s="13">
        <v>4483.92</v>
      </c>
    </row>
    <row r="6581" s="6" customFormat="1" spans="1:2">
      <c r="A6581" s="12">
        <f>DATE(2012,12,31)-956</f>
        <v>40318</v>
      </c>
      <c r="B6581" s="13">
        <v>64.13</v>
      </c>
    </row>
    <row r="6582" s="6" customFormat="1" spans="1:2">
      <c r="A6582" s="12">
        <f>DATE(2012,12,31)-1030</f>
        <v>40244</v>
      </c>
      <c r="B6582" s="13">
        <v>319.39</v>
      </c>
    </row>
    <row r="6583" s="6" customFormat="1" spans="1:2">
      <c r="A6583" s="12">
        <f>DATE(2012,12,31)-410</f>
        <v>40864</v>
      </c>
      <c r="B6583" s="13">
        <v>2379.3285</v>
      </c>
    </row>
    <row r="6584" s="6" customFormat="1" spans="1:2">
      <c r="A6584" s="12">
        <f>DATE(2012,12,31)-238</f>
        <v>41036</v>
      </c>
      <c r="B6584" s="13">
        <v>50.42</v>
      </c>
    </row>
    <row r="6585" s="6" customFormat="1" spans="1:2">
      <c r="A6585" s="12">
        <f>DATE(2012,12,31)-238</f>
        <v>41036</v>
      </c>
      <c r="B6585" s="13">
        <v>2980.372</v>
      </c>
    </row>
    <row r="6586" s="6" customFormat="1" spans="1:2">
      <c r="A6586" s="12">
        <f>DATE(2012,12,31)-168</f>
        <v>41106</v>
      </c>
      <c r="B6586" s="13">
        <v>8718.46</v>
      </c>
    </row>
    <row r="6587" spans="1:2">
      <c r="A6587" s="14">
        <f>DATE(2012,12,31)-168</f>
        <v>41106</v>
      </c>
      <c r="B6587" s="15">
        <v>135.88</v>
      </c>
    </row>
    <row r="6588" spans="1:2">
      <c r="A6588" s="14">
        <f>DATE(2012,12,31)-714</f>
        <v>40560</v>
      </c>
      <c r="B6588" s="15">
        <v>216.3</v>
      </c>
    </row>
    <row r="6589" s="6" customFormat="1" spans="1:2">
      <c r="A6589" s="12">
        <f>DATE(2012,12,31)-1423</f>
        <v>39851</v>
      </c>
      <c r="B6589" s="13">
        <v>1398.87</v>
      </c>
    </row>
    <row r="6590" s="6" customFormat="1" spans="1:2">
      <c r="A6590" s="12">
        <f>DATE(2012,12,31)-1306</f>
        <v>39968</v>
      </c>
      <c r="B6590" s="13">
        <v>1587.16</v>
      </c>
    </row>
    <row r="6591" s="6" customFormat="1" spans="1:2">
      <c r="A6591" s="12">
        <f>DATE(2012,12,31)-455</f>
        <v>40819</v>
      </c>
      <c r="B6591" s="13">
        <v>1479.14</v>
      </c>
    </row>
    <row r="6592" s="6" customFormat="1" spans="1:2">
      <c r="A6592" s="12">
        <f>DATE(2012,12,31)-1411</f>
        <v>39863</v>
      </c>
      <c r="B6592" s="13">
        <v>373.13</v>
      </c>
    </row>
    <row r="6593" s="6" customFormat="1" spans="1:2">
      <c r="A6593" s="12">
        <f>DATE(2012,12,31)-963</f>
        <v>40311</v>
      </c>
      <c r="B6593" s="13">
        <v>584.42</v>
      </c>
    </row>
    <row r="6594" s="6" customFormat="1" spans="1:2">
      <c r="A6594" s="12">
        <f>DATE(2012,12,31)-232</f>
        <v>41042</v>
      </c>
      <c r="B6594" s="13">
        <v>803.11</v>
      </c>
    </row>
    <row r="6595" s="6" customFormat="1" spans="1:2">
      <c r="A6595" s="12">
        <f>DATE(2012,12,31)-687</f>
        <v>40587</v>
      </c>
      <c r="B6595" s="13">
        <v>5441.06</v>
      </c>
    </row>
    <row r="6596" s="6" customFormat="1" spans="1:2">
      <c r="A6596" s="12">
        <f>DATE(2012,12,31)-868</f>
        <v>40406</v>
      </c>
      <c r="B6596" s="13">
        <v>487.98</v>
      </c>
    </row>
    <row r="6597" spans="1:2">
      <c r="A6597" s="14">
        <f>DATE(2012,12,31)-274</f>
        <v>41000</v>
      </c>
      <c r="B6597" s="15">
        <v>154</v>
      </c>
    </row>
    <row r="6598" s="6" customFormat="1" spans="1:2">
      <c r="A6598" s="12">
        <f>DATE(2012,12,31)-304</f>
        <v>40970</v>
      </c>
      <c r="B6598" s="13">
        <v>1375.3765</v>
      </c>
    </row>
    <row r="6599" s="6" customFormat="1" spans="1:2">
      <c r="A6599" s="12">
        <f>DATE(2012,12,31)-441</f>
        <v>40833</v>
      </c>
      <c r="B6599" s="13">
        <v>4346.98</v>
      </c>
    </row>
    <row r="6600" s="6" customFormat="1" spans="1:2">
      <c r="A6600" s="12">
        <f>DATE(2012,12,31)-987</f>
        <v>40287</v>
      </c>
      <c r="B6600" s="13">
        <v>84.74</v>
      </c>
    </row>
    <row r="6601" spans="1:2">
      <c r="A6601" s="14">
        <f>DATE(2012,12,31)-987</f>
        <v>40287</v>
      </c>
      <c r="B6601" s="15">
        <v>279.83</v>
      </c>
    </row>
    <row r="6602" spans="1:2">
      <c r="A6602" s="14">
        <f>DATE(2012,12,31)-987</f>
        <v>40287</v>
      </c>
      <c r="B6602" s="15">
        <v>98.57</v>
      </c>
    </row>
    <row r="6603" s="6" customFormat="1" spans="1:2">
      <c r="A6603" s="12">
        <f>DATE(2012,12,31)-381</f>
        <v>40893</v>
      </c>
      <c r="B6603" s="13">
        <v>1069.85</v>
      </c>
    </row>
    <row r="6604" s="6" customFormat="1" spans="1:2">
      <c r="A6604" s="12">
        <f>DATE(2012,12,31)-433</f>
        <v>40841</v>
      </c>
      <c r="B6604" s="13">
        <v>2192.63</v>
      </c>
    </row>
    <row r="6605" s="6" customFormat="1" spans="1:2">
      <c r="A6605" s="12">
        <f>DATE(2012,12,31)-433</f>
        <v>40841</v>
      </c>
      <c r="B6605" s="13">
        <v>6618.457</v>
      </c>
    </row>
    <row r="6606" s="6" customFormat="1" spans="1:2">
      <c r="A6606" s="12">
        <f>DATE(2012,12,31)-1173</f>
        <v>40101</v>
      </c>
      <c r="B6606" s="13">
        <v>359.68</v>
      </c>
    </row>
    <row r="6607" s="6" customFormat="1" spans="1:2">
      <c r="A6607" s="12">
        <f>DATE(2012,12,31)-1173</f>
        <v>40101</v>
      </c>
      <c r="B6607" s="13">
        <v>131.55</v>
      </c>
    </row>
    <row r="6608" s="6" customFormat="1" spans="1:2">
      <c r="A6608" s="12">
        <f>DATE(2012,12,31)-1173</f>
        <v>40101</v>
      </c>
      <c r="B6608" s="13">
        <v>258.11</v>
      </c>
    </row>
    <row r="6609" s="6" customFormat="1" spans="1:2">
      <c r="A6609" s="12">
        <f>DATE(2012,12,31)-1173</f>
        <v>40101</v>
      </c>
      <c r="B6609" s="13">
        <v>1288.515</v>
      </c>
    </row>
    <row r="6610" s="6" customFormat="1" spans="1:2">
      <c r="A6610" s="12">
        <f>DATE(2012,12,31)-477</f>
        <v>40797</v>
      </c>
      <c r="B6610" s="13">
        <v>6131.54</v>
      </c>
    </row>
    <row r="6611" s="6" customFormat="1" spans="1:2">
      <c r="A6611" s="12">
        <f>DATE(2012,12,31)-707</f>
        <v>40567</v>
      </c>
      <c r="B6611" s="13">
        <v>89.99</v>
      </c>
    </row>
    <row r="6612" s="6" customFormat="1" spans="1:2">
      <c r="A6612" s="12">
        <f>DATE(2012,12,31)-1452</f>
        <v>39822</v>
      </c>
      <c r="B6612" s="13">
        <v>107.95</v>
      </c>
    </row>
    <row r="6613" s="6" customFormat="1" spans="1:2">
      <c r="A6613" s="12">
        <f>DATE(2012,12,31)-1289</f>
        <v>39985</v>
      </c>
      <c r="B6613" s="13">
        <v>2920.83</v>
      </c>
    </row>
    <row r="6614" s="6" customFormat="1" spans="1:2">
      <c r="A6614" s="12">
        <f>DATE(2012,12,31)-1289</f>
        <v>39985</v>
      </c>
      <c r="B6614" s="13">
        <v>262.3</v>
      </c>
    </row>
    <row r="6615" s="6" customFormat="1" spans="1:2">
      <c r="A6615" s="12">
        <f>DATE(2012,12,31)-1034</f>
        <v>40240</v>
      </c>
      <c r="B6615" s="13">
        <v>803.267</v>
      </c>
    </row>
    <row r="6616" s="6" customFormat="1" spans="1:2">
      <c r="A6616" s="12">
        <f>DATE(2012,12,31)-1089</f>
        <v>40185</v>
      </c>
      <c r="B6616" s="13">
        <v>147.16</v>
      </c>
    </row>
    <row r="6617" s="6" customFormat="1" spans="1:2">
      <c r="A6617" s="12">
        <f>DATE(2012,12,31)-1089</f>
        <v>40185</v>
      </c>
      <c r="B6617" s="13">
        <v>50.07</v>
      </c>
    </row>
    <row r="6618" s="6" customFormat="1" spans="1:2">
      <c r="A6618" s="12">
        <f>DATE(2012,12,31)-1089</f>
        <v>40185</v>
      </c>
      <c r="B6618" s="13">
        <v>6982.87</v>
      </c>
    </row>
    <row r="6619" s="6" customFormat="1" spans="1:2">
      <c r="A6619" s="12">
        <f>DATE(2012,12,31)-1217</f>
        <v>40057</v>
      </c>
      <c r="B6619" s="13">
        <v>277.0745</v>
      </c>
    </row>
    <row r="6620" s="6" customFormat="1" spans="1:2">
      <c r="A6620" s="12">
        <f>DATE(2012,12,31)-472</f>
        <v>40802</v>
      </c>
      <c r="B6620" s="13">
        <v>642.1</v>
      </c>
    </row>
    <row r="6621" s="6" customFormat="1" spans="1:2">
      <c r="A6621" s="12">
        <f>DATE(2012,12,31)-981</f>
        <v>40293</v>
      </c>
      <c r="B6621" s="13">
        <v>70.45</v>
      </c>
    </row>
    <row r="6622" s="6" customFormat="1" spans="1:2">
      <c r="A6622" s="12">
        <f>DATE(2012,12,31)-1099</f>
        <v>40175</v>
      </c>
      <c r="B6622" s="13">
        <v>99.55</v>
      </c>
    </row>
    <row r="6623" s="6" customFormat="1" spans="1:2">
      <c r="A6623" s="12">
        <f>DATE(2012,12,31)-1109</f>
        <v>40165</v>
      </c>
      <c r="B6623" s="13">
        <v>129.18</v>
      </c>
    </row>
    <row r="6624" s="6" customFormat="1" spans="1:2">
      <c r="A6624" s="12">
        <f>DATE(2012,12,31)-1109</f>
        <v>40165</v>
      </c>
      <c r="B6624" s="13">
        <v>1016.26</v>
      </c>
    </row>
    <row r="6625" s="6" customFormat="1" spans="1:2">
      <c r="A6625" s="12">
        <f>DATE(2012,12,31)-1109</f>
        <v>40165</v>
      </c>
      <c r="B6625" s="13">
        <v>437.87</v>
      </c>
    </row>
    <row r="6626" s="6" customFormat="1" spans="1:2">
      <c r="A6626" s="12">
        <f>DATE(2012,12,31)-867</f>
        <v>40407</v>
      </c>
      <c r="B6626" s="13">
        <v>546.4</v>
      </c>
    </row>
    <row r="6627" s="6" customFormat="1" spans="1:2">
      <c r="A6627" s="12">
        <f>DATE(2012,12,31)-456</f>
        <v>40818</v>
      </c>
      <c r="B6627" s="13">
        <v>70.91</v>
      </c>
    </row>
    <row r="6628" spans="1:2">
      <c r="A6628" s="14">
        <f>DATE(2012,12,31)-387</f>
        <v>40887</v>
      </c>
      <c r="B6628" s="15">
        <v>187.13</v>
      </c>
    </row>
    <row r="6629" s="6" customFormat="1" spans="1:2">
      <c r="A6629" s="12">
        <f>DATE(2012,12,31)-733</f>
        <v>40541</v>
      </c>
      <c r="B6629" s="13">
        <v>492.71</v>
      </c>
    </row>
    <row r="6630" s="6" customFormat="1" spans="1:2">
      <c r="A6630" s="12">
        <f>DATE(2012,12,31)-733</f>
        <v>40541</v>
      </c>
      <c r="B6630" s="13">
        <v>1042.06</v>
      </c>
    </row>
    <row r="6631" s="6" customFormat="1" spans="1:2">
      <c r="A6631" s="12">
        <f>DATE(2012,12,31)-882</f>
        <v>40392</v>
      </c>
      <c r="B6631" s="13">
        <v>382.65</v>
      </c>
    </row>
    <row r="6632" s="6" customFormat="1" spans="1:2">
      <c r="A6632" s="12">
        <f>DATE(2012,12,31)-882</f>
        <v>40392</v>
      </c>
      <c r="B6632" s="13">
        <v>61</v>
      </c>
    </row>
    <row r="6633" s="6" customFormat="1" spans="1:2">
      <c r="A6633" s="12">
        <f>DATE(2012,12,31)-882</f>
        <v>40392</v>
      </c>
      <c r="B6633" s="13">
        <v>3559.613</v>
      </c>
    </row>
    <row r="6634" s="6" customFormat="1" spans="1:2">
      <c r="A6634" s="12">
        <f>DATE(2012,12,31)-522</f>
        <v>40752</v>
      </c>
      <c r="B6634" s="13">
        <v>221.42</v>
      </c>
    </row>
    <row r="6635" spans="1:2">
      <c r="A6635" s="14">
        <f>DATE(2012,12,31)-533</f>
        <v>40741</v>
      </c>
      <c r="B6635" s="15">
        <v>460.71</v>
      </c>
    </row>
    <row r="6636" s="6" customFormat="1" spans="1:2">
      <c r="A6636" s="12">
        <f>DATE(2012,12,31)-392</f>
        <v>40882</v>
      </c>
      <c r="B6636" s="13">
        <v>1413.82</v>
      </c>
    </row>
    <row r="6637" spans="1:2">
      <c r="A6637" s="14">
        <f>DATE(2012,12,31)-392</f>
        <v>40882</v>
      </c>
      <c r="B6637" s="15">
        <v>56.9</v>
      </c>
    </row>
    <row r="6638" spans="1:2">
      <c r="A6638" s="14">
        <f>DATE(2012,12,31)-392</f>
        <v>40882</v>
      </c>
      <c r="B6638" s="15">
        <v>308.92</v>
      </c>
    </row>
    <row r="6639" spans="1:2">
      <c r="A6639" s="14">
        <f>DATE(2012,12,31)-1055</f>
        <v>40219</v>
      </c>
      <c r="B6639" s="15">
        <v>26.64</v>
      </c>
    </row>
    <row r="6640" s="6" customFormat="1" spans="1:2">
      <c r="A6640" s="12">
        <f>DATE(2012,12,31)-1055</f>
        <v>40219</v>
      </c>
      <c r="B6640" s="13">
        <v>88.19</v>
      </c>
    </row>
    <row r="6641" s="6" customFormat="1" spans="1:2">
      <c r="A6641" s="12">
        <f>DATE(2012,12,31)-481</f>
        <v>40793</v>
      </c>
      <c r="B6641" s="13">
        <v>760.2485</v>
      </c>
    </row>
    <row r="6642" s="6" customFormat="1" spans="1:2">
      <c r="A6642" s="12">
        <f>DATE(2012,12,31)-815</f>
        <v>40459</v>
      </c>
      <c r="B6642" s="13">
        <v>2200.64</v>
      </c>
    </row>
    <row r="6643" s="6" customFormat="1" spans="1:2">
      <c r="A6643" s="12">
        <f>DATE(2012,12,31)-625</f>
        <v>40649</v>
      </c>
      <c r="B6643" s="13">
        <v>27.99</v>
      </c>
    </row>
    <row r="6644" s="6" customFormat="1" spans="1:2">
      <c r="A6644" s="12">
        <f>DATE(2012,12,31)-625</f>
        <v>40649</v>
      </c>
      <c r="B6644" s="13">
        <v>21.07</v>
      </c>
    </row>
    <row r="6645" s="6" customFormat="1" spans="1:2">
      <c r="A6645" s="12">
        <f>DATE(2012,12,31)-563</f>
        <v>40711</v>
      </c>
      <c r="B6645" s="13">
        <v>1307.184</v>
      </c>
    </row>
    <row r="6646" s="6" customFormat="1" spans="1:2">
      <c r="A6646" s="12">
        <f>DATE(2012,12,31)-152</f>
        <v>41122</v>
      </c>
      <c r="B6646" s="13">
        <v>145.76</v>
      </c>
    </row>
    <row r="6647" s="6" customFormat="1" spans="1:2">
      <c r="A6647" s="12">
        <f>DATE(2012,12,31)-214</f>
        <v>41060</v>
      </c>
      <c r="B6647" s="13">
        <v>277.08</v>
      </c>
    </row>
    <row r="6648" s="6" customFormat="1" spans="1:2">
      <c r="A6648" s="12">
        <f>DATE(2012,12,31)-1307</f>
        <v>39967</v>
      </c>
      <c r="B6648" s="13">
        <v>8230.77</v>
      </c>
    </row>
    <row r="6649" s="6" customFormat="1" spans="1:2">
      <c r="A6649" s="12">
        <f>DATE(2012,12,31)-502</f>
        <v>40772</v>
      </c>
      <c r="B6649" s="13">
        <v>197.21</v>
      </c>
    </row>
    <row r="6650" s="6" customFormat="1" spans="1:2">
      <c r="A6650" s="12">
        <f>DATE(2012,12,31)-813</f>
        <v>40461</v>
      </c>
      <c r="B6650" s="13">
        <v>31.6</v>
      </c>
    </row>
    <row r="6651" s="6" customFormat="1" spans="1:2">
      <c r="A6651" s="12">
        <f>DATE(2012,12,31)-981</f>
        <v>40293</v>
      </c>
      <c r="B6651" s="13">
        <v>318.28</v>
      </c>
    </row>
    <row r="6652" s="6" customFormat="1" spans="1:2">
      <c r="A6652" s="12">
        <f>DATE(2012,12,31)-981</f>
        <v>40293</v>
      </c>
      <c r="B6652" s="13">
        <v>289.53</v>
      </c>
    </row>
    <row r="6653" s="6" customFormat="1" spans="1:2">
      <c r="A6653" s="12">
        <f>DATE(2012,12,31)-981</f>
        <v>40293</v>
      </c>
      <c r="B6653" s="13">
        <v>322.8</v>
      </c>
    </row>
    <row r="6654" s="6" customFormat="1" spans="1:2">
      <c r="A6654" s="12">
        <f>DATE(2012,12,31)-571</f>
        <v>40703</v>
      </c>
      <c r="B6654" s="13">
        <v>154.18</v>
      </c>
    </row>
    <row r="6655" s="6" customFormat="1" spans="1:2">
      <c r="A6655" s="12">
        <f>DATE(2012,12,31)-571</f>
        <v>40703</v>
      </c>
      <c r="B6655" s="13">
        <v>110.31</v>
      </c>
    </row>
    <row r="6656" s="6" customFormat="1" spans="1:2">
      <c r="A6656" s="12">
        <f>DATE(2012,12,31)-571</f>
        <v>40703</v>
      </c>
      <c r="B6656" s="13">
        <v>137.51</v>
      </c>
    </row>
    <row r="6657" s="6" customFormat="1" spans="1:2">
      <c r="A6657" s="12">
        <f>DATE(2012,12,31)-527</f>
        <v>40747</v>
      </c>
      <c r="B6657" s="13">
        <v>649.71</v>
      </c>
    </row>
    <row r="6658" s="6" customFormat="1" spans="1:2">
      <c r="A6658" s="12">
        <f>DATE(2012,12,31)-1419</f>
        <v>39855</v>
      </c>
      <c r="B6658" s="13">
        <v>9757.48</v>
      </c>
    </row>
    <row r="6659" s="6" customFormat="1" spans="1:2">
      <c r="A6659" s="12">
        <f>DATE(2012,12,31)-1279</f>
        <v>39995</v>
      </c>
      <c r="B6659" s="13">
        <v>1967.83</v>
      </c>
    </row>
    <row r="6660" s="6" customFormat="1" spans="1:2">
      <c r="A6660" s="12">
        <f>DATE(2012,12,31)-1279</f>
        <v>39995</v>
      </c>
      <c r="B6660" s="13">
        <v>52.59</v>
      </c>
    </row>
    <row r="6661" s="6" customFormat="1" spans="1:2">
      <c r="A6661" s="12">
        <f>DATE(2012,12,31)-1181</f>
        <v>40093</v>
      </c>
      <c r="B6661" s="13">
        <v>277.88</v>
      </c>
    </row>
    <row r="6662" s="6" customFormat="1" spans="1:2">
      <c r="A6662" s="12">
        <f>DATE(2012,12,31)-1181</f>
        <v>40093</v>
      </c>
      <c r="B6662" s="13">
        <v>3939.89</v>
      </c>
    </row>
    <row r="6663" s="6" customFormat="1" spans="1:2">
      <c r="A6663" s="12">
        <f>DATE(2012,12,31)-1181</f>
        <v>40093</v>
      </c>
      <c r="B6663" s="13">
        <v>925.3</v>
      </c>
    </row>
    <row r="6664" s="6" customFormat="1" spans="1:2">
      <c r="A6664" s="12">
        <f>DATE(2012,12,31)-69</f>
        <v>41205</v>
      </c>
      <c r="B6664" s="13">
        <v>80.56</v>
      </c>
    </row>
    <row r="6665" s="6" customFormat="1" spans="1:2">
      <c r="A6665" s="12">
        <f>DATE(2012,12,31)-991</f>
        <v>40283</v>
      </c>
      <c r="B6665" s="13">
        <v>245.82</v>
      </c>
    </row>
    <row r="6666" s="6" customFormat="1" spans="1:2">
      <c r="A6666" s="12">
        <f>DATE(2012,12,31)-991</f>
        <v>40283</v>
      </c>
      <c r="B6666" s="13">
        <v>269.14</v>
      </c>
    </row>
    <row r="6667" s="6" customFormat="1" spans="1:2">
      <c r="A6667" s="12">
        <f>DATE(2012,12,31)-669</f>
        <v>40605</v>
      </c>
      <c r="B6667" s="13">
        <v>649.46</v>
      </c>
    </row>
    <row r="6668" s="6" customFormat="1" spans="1:2">
      <c r="A6668" s="12">
        <f>DATE(2012,12,31)-836</f>
        <v>40438</v>
      </c>
      <c r="B6668" s="13">
        <v>12072.9</v>
      </c>
    </row>
    <row r="6669" s="6" customFormat="1" spans="1:2">
      <c r="A6669" s="12">
        <f>DATE(2012,12,31)-589</f>
        <v>40685</v>
      </c>
      <c r="B6669" s="13">
        <v>20701.928</v>
      </c>
    </row>
    <row r="6670" s="6" customFormat="1" spans="1:2">
      <c r="A6670" s="12">
        <f>DATE(2012,12,31)-1024</f>
        <v>40250</v>
      </c>
      <c r="B6670" s="13">
        <v>436.3</v>
      </c>
    </row>
    <row r="6671" s="6" customFormat="1" spans="1:2">
      <c r="A6671" s="12">
        <f>DATE(2012,12,31)-1024</f>
        <v>40250</v>
      </c>
      <c r="B6671" s="13">
        <v>364.23</v>
      </c>
    </row>
    <row r="6672" s="6" customFormat="1" spans="1:2">
      <c r="A6672" s="12">
        <f>DATE(2012,12,31)-890</f>
        <v>40384</v>
      </c>
      <c r="B6672" s="13">
        <v>475.58</v>
      </c>
    </row>
    <row r="6673" s="6" customFormat="1" spans="1:2">
      <c r="A6673" s="12">
        <f>DATE(2012,12,31)-888</f>
        <v>40386</v>
      </c>
      <c r="B6673" s="13">
        <v>20.19</v>
      </c>
    </row>
    <row r="6674" s="6" customFormat="1" spans="1:2">
      <c r="A6674" s="12">
        <f>DATE(2012,12,31)-888</f>
        <v>40386</v>
      </c>
      <c r="B6674" s="13">
        <v>74.99</v>
      </c>
    </row>
    <row r="6675" s="6" customFormat="1" spans="1:2">
      <c r="A6675" s="12">
        <f>DATE(2012,12,31)-364</f>
        <v>40910</v>
      </c>
      <c r="B6675" s="13">
        <v>279.4</v>
      </c>
    </row>
    <row r="6676" s="6" customFormat="1" spans="1:2">
      <c r="A6676" s="12">
        <f>DATE(2012,12,31)-1119</f>
        <v>40155</v>
      </c>
      <c r="B6676" s="13">
        <v>5001.29</v>
      </c>
    </row>
    <row r="6677" s="6" customFormat="1" spans="1:2">
      <c r="A6677" s="12">
        <f>DATE(2012,12,31)-188</f>
        <v>41086</v>
      </c>
      <c r="B6677" s="13">
        <v>302.2</v>
      </c>
    </row>
    <row r="6678" s="6" customFormat="1" spans="1:2">
      <c r="A6678" s="12">
        <f>DATE(2012,12,31)-1269</f>
        <v>40005</v>
      </c>
      <c r="B6678" s="13">
        <v>230.74</v>
      </c>
    </row>
    <row r="6679" s="6" customFormat="1" spans="1:2">
      <c r="A6679" s="12">
        <f>DATE(2012,12,31)-110</f>
        <v>41164</v>
      </c>
      <c r="B6679" s="13">
        <v>8188.19</v>
      </c>
    </row>
    <row r="6680" s="6" customFormat="1" spans="1:2">
      <c r="A6680" s="12">
        <f>DATE(2012,12,31)-45</f>
        <v>41229</v>
      </c>
      <c r="B6680" s="13">
        <v>3191.24</v>
      </c>
    </row>
    <row r="6681" spans="1:2">
      <c r="A6681" s="14">
        <f>DATE(2012,12,31)-852</f>
        <v>40422</v>
      </c>
      <c r="B6681" s="15">
        <v>81.97</v>
      </c>
    </row>
    <row r="6682" s="6" customFormat="1" spans="1:2">
      <c r="A6682" s="12">
        <f>DATE(2012,12,31)-81</f>
        <v>41193</v>
      </c>
      <c r="B6682" s="13">
        <v>179.65</v>
      </c>
    </row>
    <row r="6683" spans="1:2">
      <c r="A6683" s="14">
        <f>DATE(2012,12,31)-902</f>
        <v>40372</v>
      </c>
      <c r="B6683" s="15">
        <v>274.04</v>
      </c>
    </row>
    <row r="6684" s="6" customFormat="1" spans="1:2">
      <c r="A6684" s="12">
        <f>DATE(2012,12,31)-1277</f>
        <v>39997</v>
      </c>
      <c r="B6684" s="13">
        <v>3419.1505</v>
      </c>
    </row>
    <row r="6685" s="6" customFormat="1" spans="1:2">
      <c r="A6685" s="12">
        <f>DATE(2012,12,31)-662</f>
        <v>40612</v>
      </c>
      <c r="B6685" s="13">
        <v>176.15</v>
      </c>
    </row>
    <row r="6686" s="6" customFormat="1" spans="1:2">
      <c r="A6686" s="12">
        <f>DATE(2012,12,31)-662</f>
        <v>40612</v>
      </c>
      <c r="B6686" s="13">
        <v>2946.05</v>
      </c>
    </row>
    <row r="6687" s="6" customFormat="1" spans="1:2">
      <c r="A6687" s="12">
        <f>DATE(2012,12,31)-380</f>
        <v>40894</v>
      </c>
      <c r="B6687" s="13">
        <v>173.22</v>
      </c>
    </row>
    <row r="6688" s="6" customFormat="1" spans="1:2">
      <c r="A6688" s="12">
        <f>DATE(2012,12,31)-406</f>
        <v>40868</v>
      </c>
      <c r="B6688" s="13">
        <v>102.15</v>
      </c>
    </row>
    <row r="6689" spans="1:2">
      <c r="A6689" s="14">
        <f>DATE(2012,12,31)-1021</f>
        <v>40253</v>
      </c>
      <c r="B6689" s="15">
        <v>399.58</v>
      </c>
    </row>
    <row r="6690" s="6" customFormat="1" spans="1:2">
      <c r="A6690" s="12">
        <f>DATE(2012,12,31)-930</f>
        <v>40344</v>
      </c>
      <c r="B6690" s="13">
        <v>102.46</v>
      </c>
    </row>
    <row r="6691" s="6" customFormat="1" spans="1:2">
      <c r="A6691" s="12">
        <f>DATE(2012,12,31)-930</f>
        <v>40344</v>
      </c>
      <c r="B6691" s="13">
        <v>1097.6</v>
      </c>
    </row>
    <row r="6692" s="6" customFormat="1" spans="1:2">
      <c r="A6692" s="12">
        <f>DATE(2012,12,31)-930</f>
        <v>40344</v>
      </c>
      <c r="B6692" s="13">
        <v>195.04</v>
      </c>
    </row>
    <row r="6693" s="6" customFormat="1" spans="1:2">
      <c r="A6693" s="12">
        <f>DATE(2012,12,31)-36</f>
        <v>41238</v>
      </c>
      <c r="B6693" s="13">
        <v>87.91</v>
      </c>
    </row>
    <row r="6694" s="6" customFormat="1" spans="1:2">
      <c r="A6694" s="12">
        <f>DATE(2012,12,31)-1051</f>
        <v>40223</v>
      </c>
      <c r="B6694" s="13">
        <v>174.11</v>
      </c>
    </row>
    <row r="6695" s="6" customFormat="1" spans="1:2">
      <c r="A6695" s="12">
        <f>DATE(2012,12,31)-505</f>
        <v>40769</v>
      </c>
      <c r="B6695" s="13">
        <v>19.57</v>
      </c>
    </row>
    <row r="6696" spans="1:2">
      <c r="A6696" s="14">
        <f>DATE(2012,12,31)-1222</f>
        <v>40052</v>
      </c>
      <c r="B6696" s="15">
        <v>343</v>
      </c>
    </row>
    <row r="6697" s="6" customFormat="1" spans="1:2">
      <c r="A6697" s="12">
        <f>DATE(2012,12,31)-1</f>
        <v>41273</v>
      </c>
      <c r="B6697" s="13">
        <v>580.96</v>
      </c>
    </row>
    <row r="6698" spans="1:2">
      <c r="A6698" s="14">
        <f>DATE(2012,12,31)-964</f>
        <v>40310</v>
      </c>
      <c r="B6698" s="15">
        <v>230.23</v>
      </c>
    </row>
    <row r="6699" s="6" customFormat="1" spans="1:2">
      <c r="A6699" s="12">
        <f>DATE(2012,12,31)-750</f>
        <v>40524</v>
      </c>
      <c r="B6699" s="13">
        <v>5824.01</v>
      </c>
    </row>
    <row r="6700" s="6" customFormat="1" spans="1:2">
      <c r="A6700" s="12">
        <f>DATE(2012,12,31)-142</f>
        <v>41132</v>
      </c>
      <c r="B6700" s="13">
        <v>66.43</v>
      </c>
    </row>
    <row r="6701" s="6" customFormat="1" spans="1:2">
      <c r="A6701" s="12">
        <f>DATE(2012,12,31)-142</f>
        <v>41132</v>
      </c>
      <c r="B6701" s="13">
        <v>2674.18</v>
      </c>
    </row>
    <row r="6702" s="6" customFormat="1" spans="1:2">
      <c r="A6702" s="12">
        <f>DATE(2012,12,31)-142</f>
        <v>41132</v>
      </c>
      <c r="B6702" s="13">
        <v>5513.82</v>
      </c>
    </row>
    <row r="6703" spans="1:2">
      <c r="A6703" s="14">
        <f>DATE(2012,12,31)-142</f>
        <v>41132</v>
      </c>
      <c r="B6703" s="15">
        <v>241.14</v>
      </c>
    </row>
    <row r="6704" spans="1:2">
      <c r="A6704" s="14">
        <f>DATE(2012,12,31)-1298</f>
        <v>39976</v>
      </c>
      <c r="B6704" s="15">
        <v>1756.27</v>
      </c>
    </row>
    <row r="6705" s="6" customFormat="1" spans="1:2">
      <c r="A6705" s="12">
        <f>DATE(2012,12,31)-1298</f>
        <v>39976</v>
      </c>
      <c r="B6705" s="13">
        <v>345.58</v>
      </c>
    </row>
    <row r="6706" s="6" customFormat="1" spans="1:2">
      <c r="A6706" s="12">
        <f>DATE(2012,12,31)-779</f>
        <v>40495</v>
      </c>
      <c r="B6706" s="13">
        <v>52.39</v>
      </c>
    </row>
    <row r="6707" s="6" customFormat="1" spans="1:2">
      <c r="A6707" s="12">
        <f>DATE(2012,12,31)-1102</f>
        <v>40172</v>
      </c>
      <c r="B6707" s="13">
        <v>365.22</v>
      </c>
    </row>
    <row r="6708" spans="1:2">
      <c r="A6708" s="14">
        <f>DATE(2012,12,31)-1221</f>
        <v>40053</v>
      </c>
      <c r="B6708" s="15">
        <v>273.36</v>
      </c>
    </row>
    <row r="6709" s="6" customFormat="1" spans="1:2">
      <c r="A6709" s="12">
        <f>DATE(2012,12,31)-1221</f>
        <v>40053</v>
      </c>
      <c r="B6709" s="13">
        <v>3240.728</v>
      </c>
    </row>
    <row r="6710" s="6" customFormat="1" spans="1:2">
      <c r="A6710" s="12">
        <f>DATE(2012,12,31)-1221</f>
        <v>40053</v>
      </c>
      <c r="B6710" s="13">
        <v>8058.96</v>
      </c>
    </row>
    <row r="6711" s="6" customFormat="1" spans="1:2">
      <c r="A6711" s="12">
        <f>DATE(2012,12,31)-355</f>
        <v>40919</v>
      </c>
      <c r="B6711" s="13">
        <v>172.54</v>
      </c>
    </row>
    <row r="6712" s="6" customFormat="1" spans="1:2">
      <c r="A6712" s="12">
        <f>DATE(2012,12,31)-1028</f>
        <v>40246</v>
      </c>
      <c r="B6712" s="13">
        <v>185.19</v>
      </c>
    </row>
    <row r="6713" spans="1:2">
      <c r="A6713" s="14">
        <f>DATE(2012,12,31)-1028</f>
        <v>40246</v>
      </c>
      <c r="B6713" s="15">
        <v>220.26</v>
      </c>
    </row>
    <row r="6714" s="6" customFormat="1" spans="1:2">
      <c r="A6714" s="12">
        <f>DATE(2012,12,31)-1028</f>
        <v>40246</v>
      </c>
      <c r="B6714" s="13">
        <v>843.03</v>
      </c>
    </row>
    <row r="6715" spans="1:2">
      <c r="A6715" s="14">
        <f>DATE(2012,12,31)-1234</f>
        <v>40040</v>
      </c>
      <c r="B6715" s="15">
        <v>5290.57</v>
      </c>
    </row>
    <row r="6716" s="6" customFormat="1" spans="1:2">
      <c r="A6716" s="12">
        <f>DATE(2012,12,31)-1286</f>
        <v>39988</v>
      </c>
      <c r="B6716" s="13">
        <v>283.6535</v>
      </c>
    </row>
    <row r="6717" s="6" customFormat="1" spans="1:2">
      <c r="A6717" s="12">
        <f>DATE(2012,12,31)-1241</f>
        <v>40033</v>
      </c>
      <c r="B6717" s="13">
        <v>1187.1525</v>
      </c>
    </row>
    <row r="6718" s="6" customFormat="1" spans="1:2">
      <c r="A6718" s="12">
        <f>DATE(2012,12,31)-1038</f>
        <v>40236</v>
      </c>
      <c r="B6718" s="13">
        <v>17034.92</v>
      </c>
    </row>
    <row r="6719" s="6" customFormat="1" spans="1:2">
      <c r="A6719" s="12">
        <f>DATE(2012,12,31)-1038</f>
        <v>40236</v>
      </c>
      <c r="B6719" s="13">
        <v>22.6</v>
      </c>
    </row>
    <row r="6720" s="6" customFormat="1" spans="1:2">
      <c r="A6720" s="12">
        <f>DATE(2012,12,31)-1038</f>
        <v>40236</v>
      </c>
      <c r="B6720" s="13">
        <v>918.7395</v>
      </c>
    </row>
    <row r="6721" s="6" customFormat="1" spans="1:2">
      <c r="A6721" s="12">
        <f>DATE(2012,12,31)-1143</f>
        <v>40131</v>
      </c>
      <c r="B6721" s="13">
        <v>61.09</v>
      </c>
    </row>
    <row r="6722" s="6" customFormat="1" spans="1:2">
      <c r="A6722" s="12">
        <f>DATE(2012,12,31)-1143</f>
        <v>40131</v>
      </c>
      <c r="B6722" s="13">
        <v>777.76</v>
      </c>
    </row>
    <row r="6723" s="6" customFormat="1" spans="1:2">
      <c r="A6723" s="12">
        <f>DATE(2012,12,31)-63</f>
        <v>41211</v>
      </c>
      <c r="B6723" s="13">
        <v>113.43</v>
      </c>
    </row>
    <row r="6724" spans="1:2">
      <c r="A6724" s="14">
        <f>DATE(2012,12,31)-812</f>
        <v>40462</v>
      </c>
      <c r="B6724" s="15">
        <v>7685.62</v>
      </c>
    </row>
    <row r="6725" s="6" customFormat="1" spans="1:2">
      <c r="A6725" s="12">
        <f>DATE(2012,12,31)-1218</f>
        <v>40056</v>
      </c>
      <c r="B6725" s="13">
        <v>18.02</v>
      </c>
    </row>
    <row r="6726" s="6" customFormat="1" spans="1:2">
      <c r="A6726" s="12">
        <f>DATE(2012,12,31)-140</f>
        <v>41134</v>
      </c>
      <c r="B6726" s="13">
        <v>214.94</v>
      </c>
    </row>
    <row r="6727" s="6" customFormat="1" spans="1:2">
      <c r="A6727" s="12">
        <f>DATE(2012,12,31)-340</f>
        <v>40934</v>
      </c>
      <c r="B6727" s="13">
        <v>183.33</v>
      </c>
    </row>
    <row r="6728" s="6" customFormat="1" spans="1:2">
      <c r="A6728" s="12">
        <f>DATE(2012,12,31)-340</f>
        <v>40934</v>
      </c>
      <c r="B6728" s="13">
        <v>88.06</v>
      </c>
    </row>
    <row r="6729" s="6" customFormat="1" spans="1:2">
      <c r="A6729" s="12">
        <f>DATE(2012,12,31)-858</f>
        <v>40416</v>
      </c>
      <c r="B6729" s="13">
        <v>309.17</v>
      </c>
    </row>
    <row r="6730" s="6" customFormat="1" spans="1:2">
      <c r="A6730" s="12">
        <f>DATE(2012,12,31)-858</f>
        <v>40416</v>
      </c>
      <c r="B6730" s="13">
        <v>412.86</v>
      </c>
    </row>
    <row r="6731" s="6" customFormat="1" spans="1:2">
      <c r="A6731" s="12">
        <f>DATE(2012,12,31)-1266</f>
        <v>40008</v>
      </c>
      <c r="B6731" s="13">
        <v>945.86</v>
      </c>
    </row>
    <row r="6732" s="6" customFormat="1" spans="1:2">
      <c r="A6732" s="12">
        <f>DATE(2012,12,31)-1266</f>
        <v>40008</v>
      </c>
      <c r="B6732" s="13">
        <v>2340.504</v>
      </c>
    </row>
    <row r="6733" s="6" customFormat="1" spans="1:2">
      <c r="A6733" s="12">
        <f>DATE(2012,12,31)-1371</f>
        <v>39903</v>
      </c>
      <c r="B6733" s="13">
        <v>155.924</v>
      </c>
    </row>
    <row r="6734" s="6" customFormat="1" spans="1:2">
      <c r="A6734" s="12">
        <f>DATE(2012,12,31)-185</f>
        <v>41089</v>
      </c>
      <c r="B6734" s="13">
        <v>3229.66</v>
      </c>
    </row>
    <row r="6735" s="6" customFormat="1" spans="1:2">
      <c r="A6735" s="12">
        <f>DATE(2012,12,31)-185</f>
        <v>41089</v>
      </c>
      <c r="B6735" s="13">
        <v>4010.9375</v>
      </c>
    </row>
    <row r="6736" s="6" customFormat="1" spans="1:2">
      <c r="A6736" s="12">
        <f>DATE(2012,12,31)-669</f>
        <v>40605</v>
      </c>
      <c r="B6736" s="13">
        <v>22.74</v>
      </c>
    </row>
    <row r="6737" s="6" customFormat="1" spans="1:2">
      <c r="A6737" s="12">
        <f>DATE(2012,12,31)-1298</f>
        <v>39976</v>
      </c>
      <c r="B6737" s="13">
        <v>34.23</v>
      </c>
    </row>
    <row r="6738" s="6" customFormat="1" spans="1:2">
      <c r="A6738" s="12">
        <f>DATE(2012,12,31)-1298</f>
        <v>39976</v>
      </c>
      <c r="B6738" s="13">
        <v>383.33</v>
      </c>
    </row>
    <row r="6739" s="6" customFormat="1" spans="1:2">
      <c r="A6739" s="12">
        <f>DATE(2012,12,31)-476</f>
        <v>40798</v>
      </c>
      <c r="B6739" s="13">
        <v>108.87</v>
      </c>
    </row>
    <row r="6740" s="6" customFormat="1" spans="1:2">
      <c r="A6740" s="12">
        <f>DATE(2012,12,31)-264</f>
        <v>41010</v>
      </c>
      <c r="B6740" s="13">
        <v>2600.44</v>
      </c>
    </row>
    <row r="6741" s="6" customFormat="1" spans="1:2">
      <c r="A6741" s="12">
        <f>DATE(2012,12,31)-1352</f>
        <v>39922</v>
      </c>
      <c r="B6741" s="13">
        <v>3960.99</v>
      </c>
    </row>
    <row r="6742" s="6" customFormat="1" spans="1:2">
      <c r="A6742" s="12">
        <f>DATE(2012,12,31)-1352</f>
        <v>39922</v>
      </c>
      <c r="B6742" s="13">
        <v>750.14</v>
      </c>
    </row>
    <row r="6743" s="6" customFormat="1" spans="1:2">
      <c r="A6743" s="12">
        <f>DATE(2012,12,31)-588</f>
        <v>40686</v>
      </c>
      <c r="B6743" s="13">
        <v>139.69</v>
      </c>
    </row>
    <row r="6744" s="6" customFormat="1" spans="1:2">
      <c r="A6744" s="12">
        <f>DATE(2012,12,31)-588</f>
        <v>40686</v>
      </c>
      <c r="B6744" s="13">
        <v>6030.58</v>
      </c>
    </row>
    <row r="6745" s="6" customFormat="1" spans="1:2">
      <c r="A6745" s="12">
        <f>DATE(2012,12,31)-429</f>
        <v>40845</v>
      </c>
      <c r="B6745" s="13">
        <v>94.39</v>
      </c>
    </row>
    <row r="6746" s="6" customFormat="1" spans="1:2">
      <c r="A6746" s="12">
        <f>DATE(2012,12,31)-787</f>
        <v>40487</v>
      </c>
      <c r="B6746" s="13">
        <v>199.94</v>
      </c>
    </row>
    <row r="6747" s="6" customFormat="1" spans="1:2">
      <c r="A6747" s="12">
        <f>DATE(2012,12,31)-1212</f>
        <v>40062</v>
      </c>
      <c r="B6747" s="13">
        <v>5041.46</v>
      </c>
    </row>
    <row r="6748" s="6" customFormat="1" spans="1:2">
      <c r="A6748" s="12">
        <f>DATE(2012,12,31)-1212</f>
        <v>40062</v>
      </c>
      <c r="B6748" s="13">
        <v>282.98</v>
      </c>
    </row>
    <row r="6749" s="6" customFormat="1" spans="1:2">
      <c r="A6749" s="12">
        <f>DATE(2012,12,31)-1212</f>
        <v>40062</v>
      </c>
      <c r="B6749" s="13">
        <v>8817.71</v>
      </c>
    </row>
    <row r="6750" s="6" customFormat="1" spans="1:2">
      <c r="A6750" s="12">
        <f>DATE(2012,12,31)-1111</f>
        <v>40163</v>
      </c>
      <c r="B6750" s="13">
        <v>2277.67</v>
      </c>
    </row>
    <row r="6751" s="6" customFormat="1" spans="1:2">
      <c r="A6751" s="12">
        <f>DATE(2012,12,31)-765</f>
        <v>40509</v>
      </c>
      <c r="B6751" s="13">
        <v>3337.5165</v>
      </c>
    </row>
    <row r="6752" s="6" customFormat="1" spans="1:2">
      <c r="A6752" s="12">
        <f>DATE(2012,12,31)-765</f>
        <v>40509</v>
      </c>
      <c r="B6752" s="13">
        <v>1018.402</v>
      </c>
    </row>
    <row r="6753" s="6" customFormat="1" spans="1:2">
      <c r="A6753" s="12">
        <f>DATE(2012,12,31)-765</f>
        <v>40509</v>
      </c>
      <c r="B6753" s="13">
        <v>2679.1235</v>
      </c>
    </row>
    <row r="6754" s="6" customFormat="1" spans="1:2">
      <c r="A6754" s="12">
        <f>DATE(2012,12,31)-240</f>
        <v>41034</v>
      </c>
      <c r="B6754" s="13">
        <v>1282.49</v>
      </c>
    </row>
    <row r="6755" s="6" customFormat="1" spans="1:2">
      <c r="A6755" s="12">
        <f>DATE(2012,12,31)-1137</f>
        <v>40137</v>
      </c>
      <c r="B6755" s="13">
        <v>2813.34</v>
      </c>
    </row>
    <row r="6756" s="6" customFormat="1" spans="1:2">
      <c r="A6756" s="12">
        <f>DATE(2012,12,31)-1137</f>
        <v>40137</v>
      </c>
      <c r="B6756" s="13">
        <v>2682.8</v>
      </c>
    </row>
    <row r="6757" s="6" customFormat="1" spans="1:2">
      <c r="A6757" s="12">
        <f>DATE(2012,12,31)-1443</f>
        <v>39831</v>
      </c>
      <c r="B6757" s="13">
        <v>672.46</v>
      </c>
    </row>
    <row r="6758" s="6" customFormat="1" spans="1:2">
      <c r="A6758" s="12">
        <f>DATE(2012,12,31)-1455</f>
        <v>39819</v>
      </c>
      <c r="B6758" s="13">
        <v>2357.45</v>
      </c>
    </row>
    <row r="6759" s="6" customFormat="1" spans="1:2">
      <c r="A6759" s="12">
        <f>DATE(2012,12,31)-1405</f>
        <v>39869</v>
      </c>
      <c r="B6759" s="13">
        <v>1140.26</v>
      </c>
    </row>
    <row r="6760" s="6" customFormat="1" spans="1:2">
      <c r="A6760" s="12">
        <f>DATE(2012,12,31)-1405</f>
        <v>39869</v>
      </c>
      <c r="B6760" s="13">
        <v>2645.8</v>
      </c>
    </row>
    <row r="6761" s="6" customFormat="1" spans="1:2">
      <c r="A6761" s="12">
        <f>DATE(2012,12,31)-1349</f>
        <v>39925</v>
      </c>
      <c r="B6761" s="13">
        <v>221.06</v>
      </c>
    </row>
    <row r="6762" s="6" customFormat="1" spans="1:2">
      <c r="A6762" s="12">
        <f>DATE(2012,12,31)-654</f>
        <v>40620</v>
      </c>
      <c r="B6762" s="13">
        <v>2130.66</v>
      </c>
    </row>
    <row r="6763" spans="1:2">
      <c r="A6763" s="14">
        <f>DATE(2012,12,31)-1028</f>
        <v>40246</v>
      </c>
      <c r="B6763" s="15">
        <v>164.22</v>
      </c>
    </row>
    <row r="6764" s="6" customFormat="1" spans="1:2">
      <c r="A6764" s="12">
        <f>DATE(2012,12,31)-1028</f>
        <v>40246</v>
      </c>
      <c r="B6764" s="13">
        <v>135.91</v>
      </c>
    </row>
    <row r="6765" s="6" customFormat="1" spans="1:2">
      <c r="A6765" s="12">
        <f>DATE(2012,12,31)-528</f>
        <v>40746</v>
      </c>
      <c r="B6765" s="13">
        <v>3308.28</v>
      </c>
    </row>
    <row r="6766" s="6" customFormat="1" spans="1:2">
      <c r="A6766" s="12">
        <f>DATE(2012,12,31)-266</f>
        <v>41008</v>
      </c>
      <c r="B6766" s="13">
        <v>370.6</v>
      </c>
    </row>
    <row r="6767" s="6" customFormat="1" spans="1:2">
      <c r="A6767" s="12">
        <f>DATE(2012,12,31)-950</f>
        <v>40324</v>
      </c>
      <c r="B6767" s="13">
        <v>4072.01</v>
      </c>
    </row>
    <row r="6768" s="6" customFormat="1" spans="1:2">
      <c r="A6768" s="12">
        <f>DATE(2012,12,31)-1134</f>
        <v>40140</v>
      </c>
      <c r="B6768" s="13">
        <v>10051.52</v>
      </c>
    </row>
    <row r="6769" s="6" customFormat="1" spans="1:2">
      <c r="A6769" s="12">
        <f>DATE(2012,12,31)-886</f>
        <v>40388</v>
      </c>
      <c r="B6769" s="13">
        <v>5875.66</v>
      </c>
    </row>
    <row r="6770" s="6" customFormat="1" spans="1:2">
      <c r="A6770" s="12">
        <f>DATE(2012,12,31)-302</f>
        <v>40972</v>
      </c>
      <c r="B6770" s="13">
        <v>41.37</v>
      </c>
    </row>
    <row r="6771" s="6" customFormat="1" spans="1:2">
      <c r="A6771" s="12">
        <f>DATE(2012,12,31)-1239</f>
        <v>40035</v>
      </c>
      <c r="B6771" s="13">
        <v>89.93</v>
      </c>
    </row>
    <row r="6772" s="6" customFormat="1" spans="1:2">
      <c r="A6772" s="12">
        <f>DATE(2012,12,31)-16</f>
        <v>41258</v>
      </c>
      <c r="B6772" s="13">
        <v>71.22</v>
      </c>
    </row>
    <row r="6773" s="6" customFormat="1" spans="1:2">
      <c r="A6773" s="12">
        <f>DATE(2012,12,31)-621</f>
        <v>40653</v>
      </c>
      <c r="B6773" s="13">
        <v>1387.29</v>
      </c>
    </row>
    <row r="6774" s="6" customFormat="1" spans="1:2">
      <c r="A6774" s="12">
        <f>DATE(2012,12,31)-1374</f>
        <v>39900</v>
      </c>
      <c r="B6774" s="13">
        <v>2365.43</v>
      </c>
    </row>
    <row r="6775" s="6" customFormat="1" spans="1:2">
      <c r="A6775" s="12">
        <f>DATE(2012,12,31)-1200</f>
        <v>40074</v>
      </c>
      <c r="B6775" s="13">
        <v>88.24</v>
      </c>
    </row>
    <row r="6776" s="6" customFormat="1" spans="1:2">
      <c r="A6776" s="12">
        <f>DATE(2012,12,31)-1240</f>
        <v>40034</v>
      </c>
      <c r="B6776" s="13">
        <v>21.64</v>
      </c>
    </row>
    <row r="6777" s="6" customFormat="1" spans="1:2">
      <c r="A6777" s="12">
        <f>DATE(2012,12,31)-794</f>
        <v>40480</v>
      </c>
      <c r="B6777" s="13">
        <v>254.92</v>
      </c>
    </row>
    <row r="6778" s="6" customFormat="1" spans="1:2">
      <c r="A6778" s="12">
        <f>DATE(2012,12,31)-1177</f>
        <v>40097</v>
      </c>
      <c r="B6778" s="13">
        <v>863.26</v>
      </c>
    </row>
    <row r="6779" s="6" customFormat="1" spans="1:2">
      <c r="A6779" s="12">
        <f>DATE(2012,12,31)-61</f>
        <v>41213</v>
      </c>
      <c r="B6779" s="13">
        <v>414.11</v>
      </c>
    </row>
    <row r="6780" s="6" customFormat="1" spans="1:2">
      <c r="A6780" s="12">
        <f>DATE(2012,12,31)-45</f>
        <v>41229</v>
      </c>
      <c r="B6780" s="13">
        <v>340.952</v>
      </c>
    </row>
    <row r="6781" s="6" customFormat="1" spans="1:2">
      <c r="A6781" s="12">
        <f>DATE(2012,12,31)-814</f>
        <v>40460</v>
      </c>
      <c r="B6781" s="13">
        <v>1859.01</v>
      </c>
    </row>
    <row r="6782" s="6" customFormat="1" spans="1:2">
      <c r="A6782" s="12">
        <f>DATE(2012,12,31)-814</f>
        <v>40460</v>
      </c>
      <c r="B6782" s="13">
        <v>1781.11</v>
      </c>
    </row>
    <row r="6783" s="6" customFormat="1" spans="1:2">
      <c r="A6783" s="12">
        <f>DATE(2012,12,31)-814</f>
        <v>40460</v>
      </c>
      <c r="B6783" s="13">
        <v>185.32</v>
      </c>
    </row>
    <row r="6784" s="6" customFormat="1" spans="1:2">
      <c r="A6784" s="12">
        <f>DATE(2012,12,31)-814</f>
        <v>40460</v>
      </c>
      <c r="B6784" s="13">
        <v>73.41</v>
      </c>
    </row>
    <row r="6785" s="6" customFormat="1" spans="1:2">
      <c r="A6785" s="12">
        <f>DATE(2012,12,31)-814</f>
        <v>40460</v>
      </c>
      <c r="B6785" s="13">
        <v>43.66</v>
      </c>
    </row>
    <row r="6786" s="6" customFormat="1" spans="1:2">
      <c r="A6786" s="12">
        <f>DATE(2012,12,31)-1254</f>
        <v>40020</v>
      </c>
      <c r="B6786" s="13">
        <v>387.03</v>
      </c>
    </row>
    <row r="6787" s="6" customFormat="1" spans="1:2">
      <c r="A6787" s="12">
        <f>DATE(2012,12,31)-1308</f>
        <v>39966</v>
      </c>
      <c r="B6787" s="13">
        <v>817.53</v>
      </c>
    </row>
    <row r="6788" s="6" customFormat="1" spans="1:2">
      <c r="A6788" s="12">
        <f>DATE(2012,12,31)-1308</f>
        <v>39966</v>
      </c>
      <c r="B6788" s="13">
        <v>25.96</v>
      </c>
    </row>
    <row r="6789" s="6" customFormat="1" spans="1:2">
      <c r="A6789" s="12">
        <f>DATE(2012,12,31)-1308</f>
        <v>39966</v>
      </c>
      <c r="B6789" s="13">
        <v>182.47</v>
      </c>
    </row>
    <row r="6790" s="6" customFormat="1" spans="1:2">
      <c r="A6790" s="12">
        <f>DATE(2012,12,31)-1094</f>
        <v>40180</v>
      </c>
      <c r="B6790" s="13">
        <v>11103.75</v>
      </c>
    </row>
    <row r="6791" s="6" customFormat="1" spans="1:2">
      <c r="A6791" s="12">
        <f>DATE(2012,12,31)-1117</f>
        <v>40157</v>
      </c>
      <c r="B6791" s="13">
        <v>47.55</v>
      </c>
    </row>
    <row r="6792" s="6" customFormat="1" spans="1:2">
      <c r="A6792" s="12">
        <f>DATE(2012,12,31)-922</f>
        <v>40352</v>
      </c>
      <c r="B6792" s="13">
        <v>346.42</v>
      </c>
    </row>
    <row r="6793" s="6" customFormat="1" spans="1:2">
      <c r="A6793" s="12">
        <f>DATE(2012,12,31)-922</f>
        <v>40352</v>
      </c>
      <c r="B6793" s="13">
        <v>773.44</v>
      </c>
    </row>
    <row r="6794" s="6" customFormat="1" spans="1:2">
      <c r="A6794" s="12">
        <f>DATE(2012,12,31)-922</f>
        <v>40352</v>
      </c>
      <c r="B6794" s="13">
        <v>881.84</v>
      </c>
    </row>
    <row r="6795" s="6" customFormat="1" spans="1:2">
      <c r="A6795" s="12">
        <f>DATE(2012,12,31)-922</f>
        <v>40352</v>
      </c>
      <c r="B6795" s="13">
        <v>5067.5725</v>
      </c>
    </row>
    <row r="6796" s="6" customFormat="1" spans="1:2">
      <c r="A6796" s="12">
        <f>DATE(2012,12,31)-599</f>
        <v>40675</v>
      </c>
      <c r="B6796" s="13">
        <v>271.14</v>
      </c>
    </row>
    <row r="6797" s="6" customFormat="1" spans="1:2">
      <c r="A6797" s="12">
        <f>DATE(2012,12,31)-1085</f>
        <v>40189</v>
      </c>
      <c r="B6797" s="13">
        <v>360.7</v>
      </c>
    </row>
    <row r="6798" s="6" customFormat="1" spans="1:2">
      <c r="A6798" s="12">
        <f>DATE(2012,12,31)-516</f>
        <v>40758</v>
      </c>
      <c r="B6798" s="13">
        <v>238.79</v>
      </c>
    </row>
    <row r="6799" s="6" customFormat="1" spans="1:2">
      <c r="A6799" s="12">
        <f>DATE(2012,12,31)-516</f>
        <v>40758</v>
      </c>
      <c r="B6799" s="13">
        <v>148.26</v>
      </c>
    </row>
    <row r="6800" s="6" customFormat="1" spans="1:2">
      <c r="A6800" s="12">
        <f>DATE(2012,12,31)-377</f>
        <v>40897</v>
      </c>
      <c r="B6800" s="13">
        <v>725.8</v>
      </c>
    </row>
    <row r="6801" s="6" customFormat="1" spans="1:2">
      <c r="A6801" s="12">
        <f>DATE(2012,12,31)-1369</f>
        <v>39905</v>
      </c>
      <c r="B6801" s="13">
        <v>585.47</v>
      </c>
    </row>
    <row r="6802" s="6" customFormat="1" spans="1:2">
      <c r="A6802" s="12">
        <f>DATE(2012,12,31)-595</f>
        <v>40679</v>
      </c>
      <c r="B6802" s="13">
        <v>831.5805</v>
      </c>
    </row>
    <row r="6803" s="6" customFormat="1" spans="1:2">
      <c r="A6803" s="12">
        <f>DATE(2012,12,31)-646</f>
        <v>40628</v>
      </c>
      <c r="B6803" s="13">
        <v>13.71</v>
      </c>
    </row>
    <row r="6804" s="6" customFormat="1" spans="1:2">
      <c r="A6804" s="12">
        <f>DATE(2012,12,31)-30</f>
        <v>41244</v>
      </c>
      <c r="B6804" s="13">
        <v>464.59</v>
      </c>
    </row>
    <row r="6805" s="6" customFormat="1" spans="1:2">
      <c r="A6805" s="12">
        <f>DATE(2012,12,31)-30</f>
        <v>41244</v>
      </c>
      <c r="B6805" s="13">
        <v>316.68</v>
      </c>
    </row>
    <row r="6806" s="6" customFormat="1" spans="1:2">
      <c r="A6806" s="12">
        <f>DATE(2012,12,31)-176</f>
        <v>41098</v>
      </c>
      <c r="B6806" s="13">
        <v>201.83</v>
      </c>
    </row>
    <row r="6807" s="6" customFormat="1" spans="1:2">
      <c r="A6807" s="12">
        <f>DATE(2012,12,31)-1041</f>
        <v>40233</v>
      </c>
      <c r="B6807" s="13">
        <v>176.34</v>
      </c>
    </row>
    <row r="6808" spans="1:2">
      <c r="A6808" s="14">
        <f>DATE(2012,12,31)-1041</f>
        <v>40233</v>
      </c>
      <c r="B6808" s="15">
        <v>186.5</v>
      </c>
    </row>
    <row r="6809" s="6" customFormat="1" spans="1:2">
      <c r="A6809" s="12">
        <f>DATE(2012,12,31)-214</f>
        <v>41060</v>
      </c>
      <c r="B6809" s="13">
        <v>7965.9025</v>
      </c>
    </row>
    <row r="6810" s="6" customFormat="1" spans="1:2">
      <c r="A6810" s="12">
        <f>DATE(2012,12,31)-28</f>
        <v>41246</v>
      </c>
      <c r="B6810" s="13">
        <v>16.91</v>
      </c>
    </row>
    <row r="6811" s="6" customFormat="1" spans="1:2">
      <c r="A6811" s="12">
        <f>DATE(2012,12,31)-28</f>
        <v>41246</v>
      </c>
      <c r="B6811" s="13">
        <v>464.66</v>
      </c>
    </row>
    <row r="6812" s="6" customFormat="1" spans="1:2">
      <c r="A6812" s="12">
        <f>DATE(2012,12,31)-392</f>
        <v>40882</v>
      </c>
      <c r="B6812" s="13">
        <v>66.83</v>
      </c>
    </row>
    <row r="6813" s="6" customFormat="1" spans="1:2">
      <c r="A6813" s="12">
        <f>DATE(2012,12,31)-1064</f>
        <v>40210</v>
      </c>
      <c r="B6813" s="13">
        <v>111.83</v>
      </c>
    </row>
    <row r="6814" s="6" customFormat="1" spans="1:2">
      <c r="A6814" s="12">
        <f>DATE(2012,12,31)-1064</f>
        <v>40210</v>
      </c>
      <c r="B6814" s="13">
        <v>4159.628</v>
      </c>
    </row>
    <row r="6815" s="6" customFormat="1" spans="1:2">
      <c r="A6815" s="12">
        <f>DATE(2012,12,31)-1064</f>
        <v>40210</v>
      </c>
      <c r="B6815" s="13">
        <v>37.73</v>
      </c>
    </row>
    <row r="6816" s="6" customFormat="1" spans="1:2">
      <c r="A6816" s="12">
        <f>DATE(2012,12,31)-1064</f>
        <v>40210</v>
      </c>
      <c r="B6816" s="13">
        <v>519.69</v>
      </c>
    </row>
    <row r="6817" s="6" customFormat="1" spans="1:2">
      <c r="A6817" s="12">
        <f>DATE(2012,12,31)-74</f>
        <v>41200</v>
      </c>
      <c r="B6817" s="13">
        <v>9171.71</v>
      </c>
    </row>
    <row r="6818" spans="1:2">
      <c r="A6818" s="14">
        <f>DATE(2012,12,31)-74</f>
        <v>41200</v>
      </c>
      <c r="B6818" s="15">
        <v>18.05</v>
      </c>
    </row>
    <row r="6819" s="6" customFormat="1" spans="1:2">
      <c r="A6819" s="12">
        <f>DATE(2012,12,31)-74</f>
        <v>41200</v>
      </c>
      <c r="B6819" s="13">
        <v>2896.358</v>
      </c>
    </row>
    <row r="6820" spans="1:2">
      <c r="A6820" s="14">
        <f>DATE(2012,12,31)-5</f>
        <v>41269</v>
      </c>
      <c r="B6820" s="15">
        <v>255.7</v>
      </c>
    </row>
    <row r="6821" s="6" customFormat="1" spans="1:2">
      <c r="A6821" s="12">
        <f>DATE(2012,12,31)-249</f>
        <v>41025</v>
      </c>
      <c r="B6821" s="13">
        <v>570.14</v>
      </c>
    </row>
    <row r="6822" s="6" customFormat="1" spans="1:2">
      <c r="A6822" s="12">
        <f>DATE(2012,12,31)-357</f>
        <v>40917</v>
      </c>
      <c r="B6822" s="13">
        <v>1247.8595</v>
      </c>
    </row>
    <row r="6823" s="6" customFormat="1" spans="1:2">
      <c r="A6823" s="12">
        <f>DATE(2012,12,31)-62</f>
        <v>41212</v>
      </c>
      <c r="B6823" s="13">
        <v>31.2</v>
      </c>
    </row>
    <row r="6824" spans="1:2">
      <c r="A6824" s="14">
        <f>DATE(2012,12,31)-62</f>
        <v>41212</v>
      </c>
      <c r="B6824" s="15">
        <v>132.78</v>
      </c>
    </row>
    <row r="6825" s="6" customFormat="1" spans="1:2">
      <c r="A6825" s="12">
        <f>DATE(2012,12,31)-491</f>
        <v>40783</v>
      </c>
      <c r="B6825" s="13">
        <v>47.12</v>
      </c>
    </row>
    <row r="6826" s="6" customFormat="1" spans="1:2">
      <c r="A6826" s="12">
        <f>DATE(2012,12,31)-1132</f>
        <v>40142</v>
      </c>
      <c r="B6826" s="13">
        <v>29.24</v>
      </c>
    </row>
    <row r="6827" s="6" customFormat="1" spans="1:2">
      <c r="A6827" s="12">
        <f>DATE(2012,12,31)-258</f>
        <v>41016</v>
      </c>
      <c r="B6827" s="13">
        <v>825.63</v>
      </c>
    </row>
    <row r="6828" s="6" customFormat="1" spans="1:2">
      <c r="A6828" s="12">
        <f>DATE(2012,12,31)-1329</f>
        <v>39945</v>
      </c>
      <c r="B6828" s="13">
        <v>3202.25</v>
      </c>
    </row>
    <row r="6829" s="6" customFormat="1" spans="1:2">
      <c r="A6829" s="12">
        <f>DATE(2012,12,31)-1329</f>
        <v>39945</v>
      </c>
      <c r="B6829" s="13">
        <v>81.25</v>
      </c>
    </row>
    <row r="6830" s="6" customFormat="1" spans="1:2">
      <c r="A6830" s="12">
        <f>DATE(2012,12,31)-1329</f>
        <v>39945</v>
      </c>
      <c r="B6830" s="13">
        <v>57.17</v>
      </c>
    </row>
    <row r="6831" s="6" customFormat="1" spans="1:2">
      <c r="A6831" s="12">
        <f>DATE(2012,12,31)-1329</f>
        <v>39945</v>
      </c>
      <c r="B6831" s="13">
        <v>41.97</v>
      </c>
    </row>
    <row r="6832" s="6" customFormat="1" spans="1:2">
      <c r="A6832" s="12">
        <f>DATE(2012,12,31)-1329</f>
        <v>39945</v>
      </c>
      <c r="B6832" s="13">
        <v>35.64</v>
      </c>
    </row>
    <row r="6833" s="6" customFormat="1" spans="1:2">
      <c r="A6833" s="12">
        <f>DATE(2012,12,31)-1446</f>
        <v>39828</v>
      </c>
      <c r="B6833" s="13">
        <v>51.27</v>
      </c>
    </row>
    <row r="6834" s="6" customFormat="1" spans="1:2">
      <c r="A6834" s="12">
        <f>DATE(2012,12,31)-144</f>
        <v>41130</v>
      </c>
      <c r="B6834" s="13">
        <v>7323.78</v>
      </c>
    </row>
    <row r="6835" s="6" customFormat="1" spans="1:2">
      <c r="A6835" s="12">
        <f>DATE(2012,12,31)-1212</f>
        <v>40062</v>
      </c>
      <c r="B6835" s="13">
        <v>108.11</v>
      </c>
    </row>
    <row r="6836" s="6" customFormat="1" spans="1:2">
      <c r="A6836" s="12">
        <f>DATE(2012,12,31)-801</f>
        <v>40473</v>
      </c>
      <c r="B6836" s="13">
        <v>28761.52</v>
      </c>
    </row>
    <row r="6837" s="6" customFormat="1" spans="1:2">
      <c r="A6837" s="12">
        <f>DATE(2012,12,31)-79</f>
        <v>41195</v>
      </c>
      <c r="B6837" s="13">
        <v>2387.61</v>
      </c>
    </row>
    <row r="6838" s="6" customFormat="1" spans="1:2">
      <c r="A6838" s="12">
        <f>DATE(2012,12,31)-52</f>
        <v>41222</v>
      </c>
      <c r="B6838" s="13">
        <v>200.41</v>
      </c>
    </row>
    <row r="6839" s="6" customFormat="1" spans="1:2">
      <c r="A6839" s="12">
        <f>DATE(2012,12,31)-971</f>
        <v>40303</v>
      </c>
      <c r="B6839" s="13">
        <v>4480.89</v>
      </c>
    </row>
    <row r="6840" s="6" customFormat="1" spans="1:2">
      <c r="A6840" s="12">
        <f>DATE(2012,12,31)-1416</f>
        <v>39858</v>
      </c>
      <c r="B6840" s="13">
        <v>2651.21</v>
      </c>
    </row>
    <row r="6841" s="6" customFormat="1" spans="1:2">
      <c r="A6841" s="12">
        <f>DATE(2012,12,31)-532</f>
        <v>40742</v>
      </c>
      <c r="B6841" s="13">
        <v>4799.7885</v>
      </c>
    </row>
    <row r="6842" s="6" customFormat="1" spans="1:2">
      <c r="A6842" s="12">
        <f>DATE(2012,12,31)-905</f>
        <v>40369</v>
      </c>
      <c r="B6842" s="13">
        <v>97.13</v>
      </c>
    </row>
    <row r="6843" s="6" customFormat="1" spans="1:2">
      <c r="A6843" s="12">
        <f>DATE(2012,12,31)-201</f>
        <v>41073</v>
      </c>
      <c r="B6843" s="13">
        <v>7647.97</v>
      </c>
    </row>
    <row r="6844" s="6" customFormat="1" spans="1:2">
      <c r="A6844" s="12">
        <f>DATE(2012,12,31)-201</f>
        <v>41073</v>
      </c>
      <c r="B6844" s="13">
        <v>6861.8545</v>
      </c>
    </row>
    <row r="6845" s="6" customFormat="1" spans="1:2">
      <c r="A6845" s="12">
        <f>DATE(2012,12,31)-1160</f>
        <v>40114</v>
      </c>
      <c r="B6845" s="13">
        <v>856.9</v>
      </c>
    </row>
    <row r="6846" spans="1:2">
      <c r="A6846" s="14">
        <f>DATE(2012,12,31)-1380</f>
        <v>39894</v>
      </c>
      <c r="B6846" s="15">
        <v>337.61</v>
      </c>
    </row>
    <row r="6847" s="6" customFormat="1" spans="1:2">
      <c r="A6847" s="12">
        <f>DATE(2012,12,31)-1380</f>
        <v>39894</v>
      </c>
      <c r="B6847" s="13">
        <v>636.34</v>
      </c>
    </row>
    <row r="6848" s="6" customFormat="1" spans="1:2">
      <c r="A6848" s="12">
        <f>DATE(2012,12,31)-69</f>
        <v>41205</v>
      </c>
      <c r="B6848" s="13">
        <v>53.29</v>
      </c>
    </row>
    <row r="6849" spans="1:2">
      <c r="A6849" s="14">
        <f>DATE(2012,12,31)-1166</f>
        <v>40108</v>
      </c>
      <c r="B6849" s="15">
        <v>2096.7</v>
      </c>
    </row>
    <row r="6850" s="6" customFormat="1" spans="1:2">
      <c r="A6850" s="12">
        <f>DATE(2012,12,31)-1166</f>
        <v>40108</v>
      </c>
      <c r="B6850" s="13">
        <v>55.43</v>
      </c>
    </row>
    <row r="6851" s="6" customFormat="1" spans="1:2">
      <c r="A6851" s="12">
        <f>DATE(2012,12,31)-1293</f>
        <v>39981</v>
      </c>
      <c r="B6851" s="13">
        <v>750.66</v>
      </c>
    </row>
    <row r="6852" s="6" customFormat="1" spans="1:2">
      <c r="A6852" s="12">
        <f>DATE(2012,12,31)-1293</f>
        <v>39981</v>
      </c>
      <c r="B6852" s="13">
        <v>254.32</v>
      </c>
    </row>
    <row r="6853" s="6" customFormat="1" spans="1:2">
      <c r="A6853" s="12">
        <f>DATE(2012,12,31)-1293</f>
        <v>39981</v>
      </c>
      <c r="B6853" s="13">
        <v>2149.37</v>
      </c>
    </row>
    <row r="6854" s="6" customFormat="1" spans="1:2">
      <c r="A6854" s="12">
        <f>DATE(2012,12,31)-1089</f>
        <v>40185</v>
      </c>
      <c r="B6854" s="13">
        <v>106.2</v>
      </c>
    </row>
    <row r="6855" s="6" customFormat="1" spans="1:2">
      <c r="A6855" s="12">
        <f>DATE(2012,12,31)-1259</f>
        <v>40015</v>
      </c>
      <c r="B6855" s="13">
        <v>520.68</v>
      </c>
    </row>
    <row r="6856" spans="1:2">
      <c r="A6856" s="14">
        <f>DATE(2012,12,31)-1259</f>
        <v>40015</v>
      </c>
      <c r="B6856" s="15">
        <v>358.78</v>
      </c>
    </row>
    <row r="6857" spans="1:2">
      <c r="A6857" s="14">
        <f>DATE(2012,12,31)-804</f>
        <v>40470</v>
      </c>
      <c r="B6857" s="15">
        <v>81.87</v>
      </c>
    </row>
    <row r="6858" s="6" customFormat="1" spans="1:2">
      <c r="A6858" s="12">
        <f>DATE(2012,12,31)-214</f>
        <v>41060</v>
      </c>
      <c r="B6858" s="13">
        <v>122.42</v>
      </c>
    </row>
    <row r="6859" s="6" customFormat="1" spans="1:2">
      <c r="A6859" s="12">
        <f>DATE(2012,12,31)-801</f>
        <v>40473</v>
      </c>
      <c r="B6859" s="13">
        <v>1086.39</v>
      </c>
    </row>
    <row r="6860" spans="1:2">
      <c r="A6860" s="14">
        <f>DATE(2012,12,31)-1414</f>
        <v>39860</v>
      </c>
      <c r="B6860" s="15">
        <v>180.39</v>
      </c>
    </row>
    <row r="6861" s="6" customFormat="1" spans="1:2">
      <c r="A6861" s="12">
        <f>DATE(2012,12,31)-665</f>
        <v>40609</v>
      </c>
      <c r="B6861" s="13">
        <v>411.75</v>
      </c>
    </row>
    <row r="6862" s="6" customFormat="1" spans="1:2">
      <c r="A6862" s="12">
        <f>DATE(2012,12,31)-630</f>
        <v>40644</v>
      </c>
      <c r="B6862" s="13">
        <v>708.83</v>
      </c>
    </row>
    <row r="6863" s="6" customFormat="1" spans="1:2">
      <c r="A6863" s="12">
        <f>DATE(2012,12,31)-225</f>
        <v>41049</v>
      </c>
      <c r="B6863" s="13">
        <v>8223.07</v>
      </c>
    </row>
    <row r="6864" spans="1:2">
      <c r="A6864" s="14">
        <f>DATE(2012,12,31)-1187</f>
        <v>40087</v>
      </c>
      <c r="B6864" s="15">
        <v>300.07</v>
      </c>
    </row>
    <row r="6865" s="6" customFormat="1" spans="1:2">
      <c r="A6865" s="12">
        <f>DATE(2012,12,31)-1198</f>
        <v>40076</v>
      </c>
      <c r="B6865" s="13">
        <v>128</v>
      </c>
    </row>
    <row r="6866" s="6" customFormat="1" spans="1:2">
      <c r="A6866" s="12">
        <f>DATE(2012,12,31)-1198</f>
        <v>40076</v>
      </c>
      <c r="B6866" s="13">
        <v>252.66</v>
      </c>
    </row>
    <row r="6867" s="6" customFormat="1" spans="1:2">
      <c r="A6867" s="12">
        <f>DATE(2012,12,31)-264</f>
        <v>41010</v>
      </c>
      <c r="B6867" s="13">
        <v>103.32</v>
      </c>
    </row>
    <row r="6868" s="6" customFormat="1" spans="1:2">
      <c r="A6868" s="12">
        <f>DATE(2012,12,31)-1195</f>
        <v>40079</v>
      </c>
      <c r="B6868" s="13">
        <v>130.11</v>
      </c>
    </row>
    <row r="6869" s="6" customFormat="1" spans="1:2">
      <c r="A6869" s="12">
        <f>DATE(2012,12,31)-1195</f>
        <v>40079</v>
      </c>
      <c r="B6869" s="13">
        <v>4012.58</v>
      </c>
    </row>
    <row r="6870" s="6" customFormat="1" spans="1:2">
      <c r="A6870" s="12">
        <f>DATE(2012,12,31)-1195</f>
        <v>40079</v>
      </c>
      <c r="B6870" s="13">
        <v>1295.54</v>
      </c>
    </row>
    <row r="6871" s="6" customFormat="1" spans="1:2">
      <c r="A6871" s="12">
        <f>DATE(2012,12,31)-119</f>
        <v>41155</v>
      </c>
      <c r="B6871" s="13">
        <v>846.85</v>
      </c>
    </row>
    <row r="6872" s="6" customFormat="1" spans="1:2">
      <c r="A6872" s="12">
        <f>DATE(2012,12,31)-1405</f>
        <v>39869</v>
      </c>
      <c r="B6872" s="13">
        <v>305.76</v>
      </c>
    </row>
    <row r="6873" s="6" customFormat="1" spans="1:2">
      <c r="A6873" s="12">
        <f>DATE(2012,12,31)-1405</f>
        <v>39869</v>
      </c>
      <c r="B6873" s="13">
        <v>25.48</v>
      </c>
    </row>
    <row r="6874" s="6" customFormat="1" spans="1:2">
      <c r="A6874" s="12">
        <f>DATE(2012,12,31)-1373</f>
        <v>39901</v>
      </c>
      <c r="B6874" s="13">
        <v>177.41</v>
      </c>
    </row>
    <row r="6875" s="6" customFormat="1" spans="1:2">
      <c r="A6875" s="12">
        <f>DATE(2012,12,31)-540</f>
        <v>40734</v>
      </c>
      <c r="B6875" s="13">
        <v>5661.08</v>
      </c>
    </row>
    <row r="6876" s="6" customFormat="1" spans="1:2">
      <c r="A6876" s="12">
        <f>DATE(2012,12,31)-156</f>
        <v>41118</v>
      </c>
      <c r="B6876" s="13">
        <v>2245.78</v>
      </c>
    </row>
    <row r="6877" s="6" customFormat="1" spans="1:2">
      <c r="A6877" s="12">
        <f>DATE(2012,12,31)-1396</f>
        <v>39878</v>
      </c>
      <c r="B6877" s="13">
        <v>1523.5</v>
      </c>
    </row>
    <row r="6878" s="6" customFormat="1" spans="1:2">
      <c r="A6878" s="12">
        <f>DATE(2012,12,31)-835</f>
        <v>40439</v>
      </c>
      <c r="B6878" s="13">
        <v>3760.3065</v>
      </c>
    </row>
    <row r="6879" s="6" customFormat="1" spans="1:2">
      <c r="A6879" s="12">
        <f>DATE(2012,12,31)-716</f>
        <v>40558</v>
      </c>
      <c r="B6879" s="13">
        <v>249.59</v>
      </c>
    </row>
    <row r="6880" s="6" customFormat="1" spans="1:2">
      <c r="A6880" s="12">
        <f>DATE(2012,12,31)-1383</f>
        <v>39891</v>
      </c>
      <c r="B6880" s="13">
        <v>96.71</v>
      </c>
    </row>
    <row r="6881" s="6" customFormat="1" spans="1:2">
      <c r="A6881" s="12">
        <f>DATE(2012,12,31)-1383</f>
        <v>39891</v>
      </c>
      <c r="B6881" s="13">
        <v>259.69</v>
      </c>
    </row>
    <row r="6882" s="6" customFormat="1" spans="1:2">
      <c r="A6882" s="12">
        <f>DATE(2012,12,31)-1383</f>
        <v>39891</v>
      </c>
      <c r="B6882" s="13">
        <v>2503.86</v>
      </c>
    </row>
    <row r="6883" spans="1:2">
      <c r="A6883" s="14">
        <f>DATE(2012,12,31)-1383</f>
        <v>39891</v>
      </c>
      <c r="B6883" s="15">
        <v>374.67</v>
      </c>
    </row>
    <row r="6884" spans="1:2">
      <c r="A6884" s="14">
        <f>DATE(2012,12,31)-941</f>
        <v>40333</v>
      </c>
      <c r="B6884" s="15">
        <v>86.64</v>
      </c>
    </row>
    <row r="6885" s="6" customFormat="1" spans="1:2">
      <c r="A6885" s="12">
        <f>DATE(2012,12,31)-506</f>
        <v>40768</v>
      </c>
      <c r="B6885" s="13">
        <v>409.97</v>
      </c>
    </row>
    <row r="6886" s="6" customFormat="1" spans="1:2">
      <c r="A6886" s="12">
        <f>DATE(2012,12,31)-912</f>
        <v>40362</v>
      </c>
      <c r="B6886" s="13">
        <v>399.64</v>
      </c>
    </row>
    <row r="6887" spans="1:2">
      <c r="A6887" s="14">
        <f>DATE(2012,12,31)-912</f>
        <v>40362</v>
      </c>
      <c r="B6887" s="15">
        <v>277.35</v>
      </c>
    </row>
    <row r="6888" spans="1:2">
      <c r="A6888" s="14">
        <f>DATE(2012,12,31)-456</f>
        <v>40818</v>
      </c>
      <c r="B6888" s="15">
        <v>238.25</v>
      </c>
    </row>
    <row r="6889" s="6" customFormat="1" spans="1:2">
      <c r="A6889" s="12">
        <f>DATE(2012,12,31)-192</f>
        <v>41082</v>
      </c>
      <c r="B6889" s="13">
        <v>1357.44</v>
      </c>
    </row>
    <row r="6890" spans="1:2">
      <c r="A6890" s="14">
        <f>DATE(2012,12,31)-1116</f>
        <v>40158</v>
      </c>
      <c r="B6890" s="15">
        <v>334.71</v>
      </c>
    </row>
    <row r="6891" s="6" customFormat="1" spans="1:2">
      <c r="A6891" s="12">
        <f>DATE(2012,12,31)-679</f>
        <v>40595</v>
      </c>
      <c r="B6891" s="13">
        <v>164.41</v>
      </c>
    </row>
    <row r="6892" s="6" customFormat="1" spans="1:2">
      <c r="A6892" s="12">
        <f>DATE(2012,12,31)-679</f>
        <v>40595</v>
      </c>
      <c r="B6892" s="13">
        <v>1882.18</v>
      </c>
    </row>
    <row r="6893" s="6" customFormat="1" spans="1:2">
      <c r="A6893" s="12">
        <f>DATE(2012,12,31)-494</f>
        <v>40780</v>
      </c>
      <c r="B6893" s="13">
        <v>98.82</v>
      </c>
    </row>
    <row r="6894" s="6" customFormat="1" spans="1:2">
      <c r="A6894" s="12">
        <f>DATE(2012,12,31)-494</f>
        <v>40780</v>
      </c>
      <c r="B6894" s="13">
        <v>289.19</v>
      </c>
    </row>
    <row r="6895" s="6" customFormat="1" spans="1:2">
      <c r="A6895" s="12">
        <f>DATE(2012,12,31)-1</f>
        <v>41273</v>
      </c>
      <c r="B6895" s="13">
        <v>672.93</v>
      </c>
    </row>
    <row r="6896" s="6" customFormat="1" spans="1:2">
      <c r="A6896" s="12">
        <f>DATE(2012,12,31)-1</f>
        <v>41273</v>
      </c>
      <c r="B6896" s="13">
        <v>803.33</v>
      </c>
    </row>
    <row r="6897" s="6" customFormat="1" spans="1:2">
      <c r="A6897" s="12">
        <f>DATE(2012,12,31)-606</f>
        <v>40668</v>
      </c>
      <c r="B6897" s="13">
        <v>94.35</v>
      </c>
    </row>
    <row r="6898" s="6" customFormat="1" spans="1:2">
      <c r="A6898" s="12">
        <f>DATE(2012,12,31)-606</f>
        <v>40668</v>
      </c>
      <c r="B6898" s="13">
        <v>276.75</v>
      </c>
    </row>
    <row r="6899" s="6" customFormat="1" spans="1:2">
      <c r="A6899" s="12">
        <f>DATE(2012,12,31)-579</f>
        <v>40695</v>
      </c>
      <c r="B6899" s="13">
        <v>123.34</v>
      </c>
    </row>
    <row r="6900" s="6" customFormat="1" spans="1:2">
      <c r="A6900" s="12">
        <f>DATE(2012,12,31)-579</f>
        <v>40695</v>
      </c>
      <c r="B6900" s="13">
        <v>1642.47</v>
      </c>
    </row>
    <row r="6901" s="6" customFormat="1" spans="1:2">
      <c r="A6901" s="12">
        <f>DATE(2012,12,31)-131</f>
        <v>41143</v>
      </c>
      <c r="B6901" s="13">
        <v>375.11</v>
      </c>
    </row>
    <row r="6902" spans="1:2">
      <c r="A6902" s="14">
        <f>DATE(2012,12,31)-276</f>
        <v>40998</v>
      </c>
      <c r="B6902" s="15">
        <v>109.92</v>
      </c>
    </row>
    <row r="6903" s="6" customFormat="1" spans="1:2">
      <c r="A6903" s="12">
        <f>DATE(2012,12,31)-241</f>
        <v>41033</v>
      </c>
      <c r="B6903" s="13">
        <v>22145.37</v>
      </c>
    </row>
    <row r="6904" spans="1:2">
      <c r="A6904" s="14">
        <f>DATE(2012,12,31)-18</f>
        <v>41256</v>
      </c>
      <c r="B6904" s="15">
        <v>1537.5</v>
      </c>
    </row>
    <row r="6905" s="6" customFormat="1" spans="1:2">
      <c r="A6905" s="12">
        <f>DATE(2012,12,31)-503</f>
        <v>40771</v>
      </c>
      <c r="B6905" s="13">
        <v>1457.78</v>
      </c>
    </row>
    <row r="6906" s="6" customFormat="1" spans="1:2">
      <c r="A6906" s="12">
        <f>DATE(2012,12,31)-1395</f>
        <v>39879</v>
      </c>
      <c r="B6906" s="13">
        <v>9418.14</v>
      </c>
    </row>
    <row r="6907" s="6" customFormat="1" spans="1:2">
      <c r="A6907" s="12">
        <f>DATE(2012,12,31)-1191</f>
        <v>40083</v>
      </c>
      <c r="B6907" s="13">
        <v>1981.26</v>
      </c>
    </row>
    <row r="6908" s="6" customFormat="1" spans="1:2">
      <c r="A6908" s="12">
        <f>DATE(2012,12,31)-144</f>
        <v>41130</v>
      </c>
      <c r="B6908" s="13">
        <v>131.12</v>
      </c>
    </row>
    <row r="6909" s="6" customFormat="1" spans="1:2">
      <c r="A6909" s="12">
        <f>DATE(2012,12,31)-708</f>
        <v>40566</v>
      </c>
      <c r="B6909" s="13">
        <v>396.15</v>
      </c>
    </row>
    <row r="6910" spans="1:2">
      <c r="A6910" s="14">
        <f>DATE(2012,12,31)-899</f>
        <v>40375</v>
      </c>
      <c r="B6910" s="15">
        <v>103.2</v>
      </c>
    </row>
    <row r="6911" s="6" customFormat="1" spans="1:2">
      <c r="A6911" s="12">
        <f>DATE(2012,12,31)-899</f>
        <v>40375</v>
      </c>
      <c r="B6911" s="13">
        <v>144.14</v>
      </c>
    </row>
    <row r="6912" s="6" customFormat="1" spans="1:2">
      <c r="A6912" s="12">
        <f>DATE(2012,12,31)-899</f>
        <v>40375</v>
      </c>
      <c r="B6912" s="13">
        <v>30.65</v>
      </c>
    </row>
    <row r="6913" s="6" customFormat="1" spans="1:2">
      <c r="A6913" s="12">
        <f>DATE(2012,12,31)-523</f>
        <v>40751</v>
      </c>
      <c r="B6913" s="13">
        <v>5615.4</v>
      </c>
    </row>
    <row r="6914" s="6" customFormat="1" spans="1:2">
      <c r="A6914" s="12">
        <f>DATE(2012,12,31)-1141</f>
        <v>40133</v>
      </c>
      <c r="B6914" s="13">
        <v>318.94</v>
      </c>
    </row>
    <row r="6915" s="6" customFormat="1" spans="1:2">
      <c r="A6915" s="12">
        <f>DATE(2012,12,31)-1440</f>
        <v>39834</v>
      </c>
      <c r="B6915" s="13">
        <v>97.74</v>
      </c>
    </row>
    <row r="6916" s="6" customFormat="1" spans="1:2">
      <c r="A6916" s="12">
        <f>DATE(2012,12,31)-1440</f>
        <v>39834</v>
      </c>
      <c r="B6916" s="13">
        <v>335.59</v>
      </c>
    </row>
    <row r="6917" spans="1:2">
      <c r="A6917" s="14">
        <f>DATE(2012,12,31)-286</f>
        <v>40988</v>
      </c>
      <c r="B6917" s="15">
        <v>44.1</v>
      </c>
    </row>
    <row r="6918" s="6" customFormat="1" spans="1:2">
      <c r="A6918" s="12">
        <f>DATE(2012,12,31)-1351</f>
        <v>39923</v>
      </c>
      <c r="B6918" s="13">
        <v>150.29</v>
      </c>
    </row>
    <row r="6919" s="6" customFormat="1" spans="1:2">
      <c r="A6919" s="12">
        <f>DATE(2012,12,31)-1020</f>
        <v>40254</v>
      </c>
      <c r="B6919" s="13">
        <v>730.51</v>
      </c>
    </row>
    <row r="6920" s="6" customFormat="1" spans="1:2">
      <c r="A6920" s="12">
        <f>DATE(2012,12,31)-1445</f>
        <v>39829</v>
      </c>
      <c r="B6920" s="13">
        <v>503.75</v>
      </c>
    </row>
    <row r="6921" s="6" customFormat="1" spans="1:2">
      <c r="A6921" s="12">
        <f>DATE(2012,12,31)-746</f>
        <v>40528</v>
      </c>
      <c r="B6921" s="13">
        <v>507.44</v>
      </c>
    </row>
    <row r="6922" spans="1:2">
      <c r="A6922" s="14">
        <f>DATE(2012,12,31)-665</f>
        <v>40609</v>
      </c>
      <c r="B6922" s="15">
        <v>1692.03</v>
      </c>
    </row>
    <row r="6923" s="6" customFormat="1" spans="1:2">
      <c r="A6923" s="12">
        <f>DATE(2012,12,31)-705</f>
        <v>40569</v>
      </c>
      <c r="B6923" s="13">
        <v>1756.46</v>
      </c>
    </row>
    <row r="6924" s="6" customFormat="1" spans="1:2">
      <c r="A6924" s="12">
        <f>DATE(2012,12,31)-298</f>
        <v>40976</v>
      </c>
      <c r="B6924" s="13">
        <v>4878.64</v>
      </c>
    </row>
    <row r="6925" s="6" customFormat="1" spans="1:2">
      <c r="A6925" s="12">
        <f>DATE(2012,12,31)-1337</f>
        <v>39937</v>
      </c>
      <c r="B6925" s="13">
        <v>1056.6435</v>
      </c>
    </row>
    <row r="6926" spans="1:2">
      <c r="A6926" s="14">
        <f>DATE(2012,12,31)-283</f>
        <v>40991</v>
      </c>
      <c r="B6926" s="15">
        <v>403.73</v>
      </c>
    </row>
    <row r="6927" s="6" customFormat="1" spans="1:2">
      <c r="A6927" s="12">
        <f>DATE(2012,12,31)-283</f>
        <v>40991</v>
      </c>
      <c r="B6927" s="13">
        <v>86.85</v>
      </c>
    </row>
    <row r="6928" s="6" customFormat="1" spans="1:2">
      <c r="A6928" s="12">
        <f>DATE(2012,12,31)-283</f>
        <v>40991</v>
      </c>
      <c r="B6928" s="13">
        <v>132.31</v>
      </c>
    </row>
    <row r="6929" s="6" customFormat="1" spans="1:2">
      <c r="A6929" s="12">
        <f>DATE(2012,12,31)-877</f>
        <v>40397</v>
      </c>
      <c r="B6929" s="13">
        <v>196.07</v>
      </c>
    </row>
    <row r="6930" s="6" customFormat="1" spans="1:2">
      <c r="A6930" s="12">
        <f>DATE(2012,12,31)-1243</f>
        <v>40031</v>
      </c>
      <c r="B6930" s="13">
        <v>259.25</v>
      </c>
    </row>
    <row r="6931" s="6" customFormat="1" spans="1:2">
      <c r="A6931" s="12">
        <f>DATE(2012,12,31)-1125</f>
        <v>40149</v>
      </c>
      <c r="B6931" s="13">
        <v>93.22</v>
      </c>
    </row>
    <row r="6932" s="6" customFormat="1" spans="1:2">
      <c r="A6932" s="12">
        <f>DATE(2012,12,31)-1457</f>
        <v>39817</v>
      </c>
      <c r="B6932" s="13">
        <v>1039.56</v>
      </c>
    </row>
    <row r="6933" s="6" customFormat="1" spans="1:2">
      <c r="A6933" s="12">
        <f>DATE(2012,12,31)-1195</f>
        <v>40079</v>
      </c>
      <c r="B6933" s="13">
        <v>1929.19</v>
      </c>
    </row>
    <row r="6934" s="6" customFormat="1" spans="1:2">
      <c r="A6934" s="12">
        <f>DATE(2012,12,31)-457</f>
        <v>40817</v>
      </c>
      <c r="B6934" s="13">
        <v>44.84</v>
      </c>
    </row>
    <row r="6935" s="6" customFormat="1" spans="1:2">
      <c r="A6935" s="12">
        <f>DATE(2012,12,31)-457</f>
        <v>40817</v>
      </c>
      <c r="B6935" s="13">
        <v>1281.1795</v>
      </c>
    </row>
    <row r="6936" s="6" customFormat="1" spans="1:2">
      <c r="A6936" s="12">
        <f>DATE(2012,12,31)-457</f>
        <v>40817</v>
      </c>
      <c r="B6936" s="13">
        <v>710.33</v>
      </c>
    </row>
    <row r="6937" s="6" customFormat="1" spans="1:2">
      <c r="A6937" s="12">
        <f>DATE(2012,12,31)-707</f>
        <v>40567</v>
      </c>
      <c r="B6937" s="13">
        <v>1090.6</v>
      </c>
    </row>
    <row r="6938" s="6" customFormat="1" spans="1:2">
      <c r="A6938" s="12">
        <f>DATE(2012,12,31)-565</f>
        <v>40709</v>
      </c>
      <c r="B6938" s="13">
        <v>99.13</v>
      </c>
    </row>
    <row r="6939" s="6" customFormat="1" spans="1:2">
      <c r="A6939" s="12">
        <f>DATE(2012,12,31)-687</f>
        <v>40587</v>
      </c>
      <c r="B6939" s="13">
        <v>49.04</v>
      </c>
    </row>
    <row r="6940" s="6" customFormat="1" spans="1:2">
      <c r="A6940" s="12">
        <f>DATE(2012,12,31)-687</f>
        <v>40587</v>
      </c>
      <c r="B6940" s="13">
        <v>2320.35</v>
      </c>
    </row>
    <row r="6941" s="6" customFormat="1" spans="1:2">
      <c r="A6941" s="12">
        <f>DATE(2012,12,31)-820</f>
        <v>40454</v>
      </c>
      <c r="B6941" s="13">
        <v>395.37</v>
      </c>
    </row>
    <row r="6942" s="6" customFormat="1" spans="1:2">
      <c r="A6942" s="12">
        <f>DATE(2012,12,31)-784</f>
        <v>40490</v>
      </c>
      <c r="B6942" s="13">
        <v>634.38</v>
      </c>
    </row>
    <row r="6943" s="6" customFormat="1" spans="1:2">
      <c r="A6943" s="12">
        <f>DATE(2012,12,31)-784</f>
        <v>40490</v>
      </c>
      <c r="B6943" s="13">
        <v>5196.19</v>
      </c>
    </row>
    <row r="6944" s="6" customFormat="1" spans="1:2">
      <c r="A6944" s="12">
        <f>DATE(2012,12,31)-784</f>
        <v>40490</v>
      </c>
      <c r="B6944" s="13">
        <v>50.47</v>
      </c>
    </row>
    <row r="6945" s="6" customFormat="1" spans="1:2">
      <c r="A6945" s="12">
        <f>DATE(2012,12,31)-664</f>
        <v>40610</v>
      </c>
      <c r="B6945" s="13">
        <v>341.1</v>
      </c>
    </row>
    <row r="6946" s="6" customFormat="1" spans="1:2">
      <c r="A6946" s="12">
        <f>DATE(2012,12,31)-1225</f>
        <v>40049</v>
      </c>
      <c r="B6946" s="13">
        <v>1614.97</v>
      </c>
    </row>
    <row r="6947" s="6" customFormat="1" spans="1:2">
      <c r="A6947" s="12">
        <f>DATE(2012,12,31)-1225</f>
        <v>40049</v>
      </c>
      <c r="B6947" s="13">
        <v>2119.0415</v>
      </c>
    </row>
    <row r="6948" s="6" customFormat="1" spans="1:2">
      <c r="A6948" s="12">
        <f>DATE(2012,12,31)-650</f>
        <v>40624</v>
      </c>
      <c r="B6948" s="13">
        <v>1900.226</v>
      </c>
    </row>
    <row r="6949" spans="1:2">
      <c r="A6949" s="14">
        <f>DATE(2012,12,31)-489</f>
        <v>40785</v>
      </c>
      <c r="B6949" s="15">
        <v>272.39</v>
      </c>
    </row>
    <row r="6950" s="6" customFormat="1" spans="1:2">
      <c r="A6950" s="12">
        <f>DATE(2012,12,31)-1271</f>
        <v>40003</v>
      </c>
      <c r="B6950" s="13">
        <v>519.65</v>
      </c>
    </row>
    <row r="6951" spans="1:2">
      <c r="A6951" s="14">
        <f>DATE(2012,12,31)-1271</f>
        <v>40003</v>
      </c>
      <c r="B6951" s="15">
        <v>16949.44</v>
      </c>
    </row>
    <row r="6952" s="6" customFormat="1" spans="1:2">
      <c r="A6952" s="12">
        <f>DATE(2012,12,31)-861</f>
        <v>40413</v>
      </c>
      <c r="B6952" s="13">
        <v>274.32</v>
      </c>
    </row>
    <row r="6953" s="6" customFormat="1" spans="1:2">
      <c r="A6953" s="12">
        <f>DATE(2012,12,31)-110</f>
        <v>41164</v>
      </c>
      <c r="B6953" s="13">
        <v>75.73</v>
      </c>
    </row>
    <row r="6954" spans="1:2">
      <c r="A6954" s="14">
        <f>DATE(2012,12,31)-1206</f>
        <v>40068</v>
      </c>
      <c r="B6954" s="15">
        <v>88.4</v>
      </c>
    </row>
    <row r="6955" s="6" customFormat="1" spans="1:2">
      <c r="A6955" s="12">
        <f>DATE(2012,12,31)-1206</f>
        <v>40068</v>
      </c>
      <c r="B6955" s="13">
        <v>259.83</v>
      </c>
    </row>
    <row r="6956" s="6" customFormat="1" spans="1:2">
      <c r="A6956" s="12">
        <f>DATE(2012,12,31)-690</f>
        <v>40584</v>
      </c>
      <c r="B6956" s="13">
        <v>171.14</v>
      </c>
    </row>
    <row r="6957" s="6" customFormat="1" spans="1:2">
      <c r="A6957" s="12">
        <f>DATE(2012,12,31)-683</f>
        <v>40591</v>
      </c>
      <c r="B6957" s="13">
        <v>756.15</v>
      </c>
    </row>
    <row r="6958" s="6" customFormat="1" spans="1:2">
      <c r="A6958" s="12">
        <f>DATE(2012,12,31)-683</f>
        <v>40591</v>
      </c>
      <c r="B6958" s="13">
        <v>18.15</v>
      </c>
    </row>
    <row r="6959" s="6" customFormat="1" spans="1:2">
      <c r="A6959" s="12">
        <f>DATE(2012,12,31)-586</f>
        <v>40688</v>
      </c>
      <c r="B6959" s="13">
        <v>204.15</v>
      </c>
    </row>
    <row r="6960" s="6" customFormat="1" spans="1:2">
      <c r="A6960" s="12">
        <f>DATE(2012,12,31)-586</f>
        <v>40688</v>
      </c>
      <c r="B6960" s="13">
        <v>33.11</v>
      </c>
    </row>
    <row r="6961" s="6" customFormat="1" spans="1:2">
      <c r="A6961" s="12">
        <f>DATE(2012,12,31)-1074</f>
        <v>40200</v>
      </c>
      <c r="B6961" s="13">
        <v>3.41</v>
      </c>
    </row>
    <row r="6962" s="6" customFormat="1" spans="1:2">
      <c r="A6962" s="12">
        <f>DATE(2012,12,31)-164</f>
        <v>41110</v>
      </c>
      <c r="B6962" s="13">
        <v>139.54</v>
      </c>
    </row>
    <row r="6963" s="6" customFormat="1" spans="1:2">
      <c r="A6963" s="12">
        <f>DATE(2012,12,31)-164</f>
        <v>41110</v>
      </c>
      <c r="B6963" s="13">
        <v>199.52</v>
      </c>
    </row>
    <row r="6964" s="6" customFormat="1" spans="1:2">
      <c r="A6964" s="12">
        <f>DATE(2012,12,31)-164</f>
        <v>41110</v>
      </c>
      <c r="B6964" s="13">
        <v>85.66</v>
      </c>
    </row>
    <row r="6965" s="6" customFormat="1" spans="1:2">
      <c r="A6965" s="12">
        <f>DATE(2012,12,31)-408</f>
        <v>40866</v>
      </c>
      <c r="B6965" s="13">
        <v>1323.67</v>
      </c>
    </row>
    <row r="6966" s="6" customFormat="1" spans="1:2">
      <c r="A6966" s="12">
        <f>DATE(2012,12,31)-289</f>
        <v>40985</v>
      </c>
      <c r="B6966" s="13">
        <v>283.5</v>
      </c>
    </row>
    <row r="6967" s="6" customFormat="1" spans="1:2">
      <c r="A6967" s="12">
        <f>DATE(2012,12,31)-289</f>
        <v>40985</v>
      </c>
      <c r="B6967" s="13">
        <v>242.13</v>
      </c>
    </row>
    <row r="6968" s="6" customFormat="1" spans="1:2">
      <c r="A6968" s="12">
        <f>DATE(2012,12,31)-308</f>
        <v>40966</v>
      </c>
      <c r="B6968" s="13">
        <v>1921.1275</v>
      </c>
    </row>
    <row r="6969" s="6" customFormat="1" spans="1:2">
      <c r="A6969" s="12">
        <f>DATE(2012,12,31)-1330</f>
        <v>39944</v>
      </c>
      <c r="B6969" s="13">
        <v>57.28</v>
      </c>
    </row>
    <row r="6970" s="6" customFormat="1" spans="1:2">
      <c r="A6970" s="12">
        <f>DATE(2012,12,31)-1330</f>
        <v>39944</v>
      </c>
      <c r="B6970" s="13">
        <v>227.87</v>
      </c>
    </row>
    <row r="6971" s="6" customFormat="1" spans="1:2">
      <c r="A6971" s="12">
        <f>DATE(2012,12,31)-809</f>
        <v>40465</v>
      </c>
      <c r="B6971" s="13">
        <v>110.36</v>
      </c>
    </row>
    <row r="6972" s="6" customFormat="1" spans="1:2">
      <c r="A6972" s="12">
        <f>DATE(2012,12,31)-712</f>
        <v>40562</v>
      </c>
      <c r="B6972" s="13">
        <v>242.284</v>
      </c>
    </row>
    <row r="6973" s="6" customFormat="1" spans="1:2">
      <c r="A6973" s="12">
        <f>DATE(2012,12,31)-712</f>
        <v>40562</v>
      </c>
      <c r="B6973" s="13">
        <v>1795.49</v>
      </c>
    </row>
    <row r="6974" s="6" customFormat="1" spans="1:2">
      <c r="A6974" s="12">
        <f>DATE(2012,12,31)-712</f>
        <v>40562</v>
      </c>
      <c r="B6974" s="13">
        <v>926.58</v>
      </c>
    </row>
    <row r="6975" s="6" customFormat="1" spans="1:2">
      <c r="A6975" s="12">
        <f>DATE(2012,12,31)-742</f>
        <v>40532</v>
      </c>
      <c r="B6975" s="13">
        <v>7731.09</v>
      </c>
    </row>
    <row r="6976" s="6" customFormat="1" spans="1:2">
      <c r="A6976" s="12">
        <f>DATE(2012,12,31)-742</f>
        <v>40532</v>
      </c>
      <c r="B6976" s="13">
        <v>10162.576</v>
      </c>
    </row>
    <row r="6977" s="6" customFormat="1" spans="1:2">
      <c r="A6977" s="12">
        <f>DATE(2012,12,31)-742</f>
        <v>40532</v>
      </c>
      <c r="B6977" s="13">
        <v>5834.6465</v>
      </c>
    </row>
    <row r="6978" s="6" customFormat="1" spans="1:2">
      <c r="A6978" s="12">
        <f>DATE(2012,12,31)-980</f>
        <v>40294</v>
      </c>
      <c r="B6978" s="13">
        <v>1854.94</v>
      </c>
    </row>
    <row r="6979" s="6" customFormat="1" spans="1:2">
      <c r="A6979" s="12">
        <f>DATE(2012,12,31)-1213</f>
        <v>40061</v>
      </c>
      <c r="B6979" s="13">
        <v>5155.35</v>
      </c>
    </row>
    <row r="6980" s="6" customFormat="1" spans="1:2">
      <c r="A6980" s="12">
        <f>DATE(2012,12,31)-1366</f>
        <v>39908</v>
      </c>
      <c r="B6980" s="13">
        <v>1093.6355</v>
      </c>
    </row>
    <row r="6981" s="6" customFormat="1" spans="1:2">
      <c r="A6981" s="12">
        <f>DATE(2012,12,31)-41</f>
        <v>41233</v>
      </c>
      <c r="B6981" s="13">
        <v>1502.47</v>
      </c>
    </row>
    <row r="6982" spans="1:2">
      <c r="A6982" s="14">
        <f>DATE(2012,12,31)-41</f>
        <v>41233</v>
      </c>
      <c r="B6982" s="15">
        <v>2014.13</v>
      </c>
    </row>
    <row r="6983" spans="1:2">
      <c r="A6983" s="14">
        <f>DATE(2012,12,31)-1078</f>
        <v>40196</v>
      </c>
      <c r="B6983" s="15">
        <v>35.48</v>
      </c>
    </row>
    <row r="6984" s="6" customFormat="1" spans="1:2">
      <c r="A6984" s="12">
        <f>DATE(2012,12,31)-1078</f>
        <v>40196</v>
      </c>
      <c r="B6984" s="13">
        <v>15</v>
      </c>
    </row>
    <row r="6985" s="6" customFormat="1" spans="1:2">
      <c r="A6985" s="12">
        <f>DATE(2012,12,31)-1184</f>
        <v>40090</v>
      </c>
      <c r="B6985" s="13">
        <v>103.72</v>
      </c>
    </row>
    <row r="6986" s="6" customFormat="1" spans="1:2">
      <c r="A6986" s="12">
        <f>DATE(2012,12,31)-1184</f>
        <v>40090</v>
      </c>
      <c r="B6986" s="13">
        <v>185.15</v>
      </c>
    </row>
    <row r="6987" s="6" customFormat="1" spans="1:2">
      <c r="A6987" s="12">
        <f>DATE(2012,12,31)-1184</f>
        <v>40090</v>
      </c>
      <c r="B6987" s="13">
        <v>308.64</v>
      </c>
    </row>
    <row r="6988" s="6" customFormat="1" spans="1:2">
      <c r="A6988" s="12">
        <f>DATE(2012,12,31)-847</f>
        <v>40427</v>
      </c>
      <c r="B6988" s="13">
        <v>5369.46</v>
      </c>
    </row>
    <row r="6989" s="6" customFormat="1" spans="1:2">
      <c r="A6989" s="12">
        <f>DATE(2012,12,31)-847</f>
        <v>40427</v>
      </c>
      <c r="B6989" s="13">
        <v>1439.96</v>
      </c>
    </row>
    <row r="6990" s="6" customFormat="1" spans="1:2">
      <c r="A6990" s="12">
        <f>DATE(2012,12,31)-74</f>
        <v>41200</v>
      </c>
      <c r="B6990" s="13">
        <v>13.45</v>
      </c>
    </row>
    <row r="6991" s="6" customFormat="1" spans="1:2">
      <c r="A6991" s="12">
        <f>DATE(2012,12,31)-74</f>
        <v>41200</v>
      </c>
      <c r="B6991" s="13">
        <v>75.79</v>
      </c>
    </row>
    <row r="6992" s="6" customFormat="1" spans="1:2">
      <c r="A6992" s="12">
        <f>DATE(2012,12,31)-1154</f>
        <v>40120</v>
      </c>
      <c r="B6992" s="13">
        <v>538.51</v>
      </c>
    </row>
    <row r="6993" s="6" customFormat="1" spans="1:2">
      <c r="A6993" s="12">
        <f>DATE(2012,12,31)-633</f>
        <v>40641</v>
      </c>
      <c r="B6993" s="13">
        <v>13671.94</v>
      </c>
    </row>
    <row r="6994" spans="1:2">
      <c r="A6994" s="14">
        <f>DATE(2012,12,31)-961</f>
        <v>40313</v>
      </c>
      <c r="B6994" s="15">
        <v>58.86</v>
      </c>
    </row>
    <row r="6995" s="6" customFormat="1" spans="1:2">
      <c r="A6995" s="12">
        <f>DATE(2012,12,31)-577</f>
        <v>40697</v>
      </c>
      <c r="B6995" s="13">
        <v>47.44</v>
      </c>
    </row>
    <row r="6996" s="6" customFormat="1" spans="1:2">
      <c r="A6996" s="12">
        <f>DATE(2012,12,31)-1019</f>
        <v>40255</v>
      </c>
      <c r="B6996" s="13">
        <v>337.38</v>
      </c>
    </row>
    <row r="6997" s="6" customFormat="1" spans="1:2">
      <c r="A6997" s="12">
        <f>DATE(2012,12,31)-207</f>
        <v>41067</v>
      </c>
      <c r="B6997" s="13">
        <v>4169.93</v>
      </c>
    </row>
    <row r="6998" s="6" customFormat="1" spans="1:2">
      <c r="A6998" s="12">
        <f>DATE(2012,12,31)-674</f>
        <v>40600</v>
      </c>
      <c r="B6998" s="13">
        <v>325.58</v>
      </c>
    </row>
    <row r="6999" s="6" customFormat="1" spans="1:2">
      <c r="A6999" s="12">
        <f>DATE(2012,12,31)-674</f>
        <v>40600</v>
      </c>
      <c r="B6999" s="13">
        <v>458.8</v>
      </c>
    </row>
    <row r="7000" s="6" customFormat="1" spans="1:2">
      <c r="A7000" s="12">
        <f>DATE(2012,12,31)-875</f>
        <v>40399</v>
      </c>
      <c r="B7000" s="13">
        <v>2288.642</v>
      </c>
    </row>
    <row r="7001" s="6" customFormat="1" spans="1:2">
      <c r="A7001" s="12">
        <f>DATE(2012,12,31)-1180</f>
        <v>40094</v>
      </c>
      <c r="B7001" s="13">
        <v>1504.01</v>
      </c>
    </row>
    <row r="7002" s="6" customFormat="1" spans="1:2">
      <c r="A7002" s="12">
        <f>DATE(2012,12,31)-1180</f>
        <v>40094</v>
      </c>
      <c r="B7002" s="13">
        <v>163.62</v>
      </c>
    </row>
    <row r="7003" s="6" customFormat="1" spans="1:2">
      <c r="A7003" s="12">
        <f>DATE(2012,12,31)-334</f>
        <v>40940</v>
      </c>
      <c r="B7003" s="13">
        <v>17965.45</v>
      </c>
    </row>
    <row r="7004" s="6" customFormat="1" spans="1:2">
      <c r="A7004" s="12">
        <f>DATE(2012,12,31)-215</f>
        <v>41059</v>
      </c>
      <c r="B7004" s="13">
        <v>289.73</v>
      </c>
    </row>
    <row r="7005" spans="1:2">
      <c r="A7005" s="14">
        <f>DATE(2012,12,31)-952</f>
        <v>40322</v>
      </c>
      <c r="B7005" s="15">
        <v>116.55</v>
      </c>
    </row>
    <row r="7006" s="6" customFormat="1" spans="1:2">
      <c r="A7006" s="12">
        <f>DATE(2012,12,31)-709</f>
        <v>40565</v>
      </c>
      <c r="B7006" s="13">
        <v>38.76</v>
      </c>
    </row>
    <row r="7007" s="6" customFormat="1" spans="1:2">
      <c r="A7007" s="12">
        <f>DATE(2012,12,31)-843</f>
        <v>40431</v>
      </c>
      <c r="B7007" s="13">
        <v>1863.02</v>
      </c>
    </row>
    <row r="7008" spans="1:2">
      <c r="A7008" s="14">
        <f>DATE(2012,12,31)-843</f>
        <v>40431</v>
      </c>
      <c r="B7008" s="15">
        <v>53.3</v>
      </c>
    </row>
    <row r="7009" spans="1:2">
      <c r="A7009" s="14">
        <f>DATE(2012,12,31)-896</f>
        <v>40378</v>
      </c>
      <c r="B7009" s="15">
        <v>178.51</v>
      </c>
    </row>
    <row r="7010" s="6" customFormat="1" spans="1:2">
      <c r="A7010" s="12">
        <f>DATE(2012,12,31)-896</f>
        <v>40378</v>
      </c>
      <c r="B7010" s="13">
        <v>31.32</v>
      </c>
    </row>
    <row r="7011" s="6" customFormat="1" spans="1:2">
      <c r="A7011" s="12">
        <f>DATE(2012,12,31)-896</f>
        <v>40378</v>
      </c>
      <c r="B7011" s="13">
        <v>1391.7645</v>
      </c>
    </row>
    <row r="7012" s="6" customFormat="1" spans="1:2">
      <c r="A7012" s="12">
        <f>DATE(2012,12,31)-866</f>
        <v>40408</v>
      </c>
      <c r="B7012" s="13">
        <v>102.04</v>
      </c>
    </row>
    <row r="7013" s="6" customFormat="1" spans="1:2">
      <c r="A7013" s="12">
        <f>DATE(2012,12,31)-1122</f>
        <v>40152</v>
      </c>
      <c r="B7013" s="13">
        <v>9704.37</v>
      </c>
    </row>
    <row r="7014" s="6" customFormat="1" spans="1:2">
      <c r="A7014" s="12">
        <f>DATE(2012,12,31)-1122</f>
        <v>40152</v>
      </c>
      <c r="B7014" s="13">
        <v>211.94</v>
      </c>
    </row>
    <row r="7015" s="6" customFormat="1" spans="1:2">
      <c r="A7015" s="12">
        <f>DATE(2012,12,31)-686</f>
        <v>40588</v>
      </c>
      <c r="B7015" s="13">
        <v>390.35</v>
      </c>
    </row>
    <row r="7016" s="6" customFormat="1" spans="1:2">
      <c r="A7016" s="12">
        <f>DATE(2012,12,31)-951</f>
        <v>40323</v>
      </c>
      <c r="B7016" s="13">
        <v>51.21</v>
      </c>
    </row>
    <row r="7017" s="6" customFormat="1" spans="1:2">
      <c r="A7017" s="12">
        <f>DATE(2012,12,31)-951</f>
        <v>40323</v>
      </c>
      <c r="B7017" s="13">
        <v>2195.55</v>
      </c>
    </row>
    <row r="7018" s="6" customFormat="1" spans="1:2">
      <c r="A7018" s="12">
        <f>DATE(2012,12,31)-1065</f>
        <v>40209</v>
      </c>
      <c r="B7018" s="13">
        <v>887.98</v>
      </c>
    </row>
    <row r="7019" s="6" customFormat="1" spans="1:2">
      <c r="A7019" s="12">
        <f>DATE(2012,12,31)-1065</f>
        <v>40209</v>
      </c>
      <c r="B7019" s="13">
        <v>72.46</v>
      </c>
    </row>
    <row r="7020" s="6" customFormat="1" spans="1:2">
      <c r="A7020" s="12">
        <f>DATE(2012,12,31)-591</f>
        <v>40683</v>
      </c>
      <c r="B7020" s="13">
        <v>2010.89</v>
      </c>
    </row>
    <row r="7021" s="6" customFormat="1" spans="1:2">
      <c r="A7021" s="12">
        <f>DATE(2012,12,31)-808</f>
        <v>40466</v>
      </c>
      <c r="B7021" s="13">
        <v>536.83</v>
      </c>
    </row>
    <row r="7022" spans="1:2">
      <c r="A7022" s="14">
        <f>DATE(2012,12,31)-808</f>
        <v>40466</v>
      </c>
      <c r="B7022" s="15">
        <v>1734.31</v>
      </c>
    </row>
    <row r="7023" spans="1:2">
      <c r="A7023" s="14">
        <f>DATE(2012,12,31)-74</f>
        <v>41200</v>
      </c>
      <c r="B7023" s="15">
        <v>86.48</v>
      </c>
    </row>
    <row r="7024" s="6" customFormat="1" spans="1:2">
      <c r="A7024" s="12">
        <f>DATE(2012,12,31)-657</f>
        <v>40617</v>
      </c>
      <c r="B7024" s="13">
        <v>243.18</v>
      </c>
    </row>
    <row r="7025" s="6" customFormat="1" spans="1:2">
      <c r="A7025" s="12">
        <f>DATE(2012,12,31)-1234</f>
        <v>40040</v>
      </c>
      <c r="B7025" s="13">
        <v>1811.3</v>
      </c>
    </row>
    <row r="7026" s="6" customFormat="1" spans="1:2">
      <c r="A7026" s="12">
        <f>DATE(2012,12,31)-1234</f>
        <v>40040</v>
      </c>
      <c r="B7026" s="13">
        <v>4095.76</v>
      </c>
    </row>
    <row r="7027" s="6" customFormat="1" spans="1:2">
      <c r="A7027" s="12">
        <f>DATE(2012,12,31)-1234</f>
        <v>40040</v>
      </c>
      <c r="B7027" s="13">
        <v>482.37</v>
      </c>
    </row>
    <row r="7028" s="6" customFormat="1" spans="1:2">
      <c r="A7028" s="12">
        <f>DATE(2012,12,31)-1153</f>
        <v>40121</v>
      </c>
      <c r="B7028" s="13">
        <v>58.98</v>
      </c>
    </row>
    <row r="7029" s="6" customFormat="1" spans="1:2">
      <c r="A7029" s="12">
        <f>DATE(2012,12,31)-1355</f>
        <v>39919</v>
      </c>
      <c r="B7029" s="13">
        <v>122.99</v>
      </c>
    </row>
    <row r="7030" s="6" customFormat="1" spans="1:2">
      <c r="A7030" s="12">
        <f>DATE(2012,12,31)-1355</f>
        <v>39919</v>
      </c>
      <c r="B7030" s="13">
        <v>14734.71</v>
      </c>
    </row>
    <row r="7031" s="6" customFormat="1" spans="1:2">
      <c r="A7031" s="12">
        <f>DATE(2012,12,31)-1379</f>
        <v>39895</v>
      </c>
      <c r="B7031" s="13">
        <v>551.44</v>
      </c>
    </row>
    <row r="7032" s="6" customFormat="1" spans="1:2">
      <c r="A7032" s="12">
        <f>DATE(2012,12,31)-55</f>
        <v>41219</v>
      </c>
      <c r="B7032" s="13">
        <v>122.05</v>
      </c>
    </row>
    <row r="7033" s="6" customFormat="1" spans="1:2">
      <c r="A7033" s="12">
        <f>DATE(2012,12,31)-1278</f>
        <v>39996</v>
      </c>
      <c r="B7033" s="13">
        <v>1455.04</v>
      </c>
    </row>
    <row r="7034" s="6" customFormat="1" spans="1:2">
      <c r="A7034" s="12">
        <f>DATE(2012,12,31)-1311</f>
        <v>39963</v>
      </c>
      <c r="B7034" s="13">
        <v>3482.41</v>
      </c>
    </row>
    <row r="7035" s="6" customFormat="1" spans="1:2">
      <c r="A7035" s="12">
        <f>DATE(2012,12,31)-233</f>
        <v>41041</v>
      </c>
      <c r="B7035" s="13">
        <v>142.88</v>
      </c>
    </row>
    <row r="7036" s="6" customFormat="1" spans="1:2">
      <c r="A7036" s="12">
        <f>DATE(2012,12,31)-233</f>
        <v>41041</v>
      </c>
      <c r="B7036" s="13">
        <v>264.92</v>
      </c>
    </row>
    <row r="7037" s="6" customFormat="1" spans="1:2">
      <c r="A7037" s="12">
        <f>DATE(2012,12,31)-646</f>
        <v>40628</v>
      </c>
      <c r="B7037" s="13">
        <v>3780.43</v>
      </c>
    </row>
    <row r="7038" s="6" customFormat="1" spans="1:2">
      <c r="A7038" s="12">
        <f>DATE(2012,12,31)-646</f>
        <v>40628</v>
      </c>
      <c r="B7038" s="13">
        <v>1961.68</v>
      </c>
    </row>
    <row r="7039" spans="1:2">
      <c r="A7039" s="14">
        <f>DATE(2012,12,31)-548</f>
        <v>40726</v>
      </c>
      <c r="B7039" s="15">
        <v>876.01</v>
      </c>
    </row>
    <row r="7040" s="6" customFormat="1" spans="1:2">
      <c r="A7040" s="12">
        <f>DATE(2012,12,31)-1303</f>
        <v>39971</v>
      </c>
      <c r="B7040" s="13">
        <v>2161.36</v>
      </c>
    </row>
    <row r="7041" spans="1:2">
      <c r="A7041" s="14">
        <f>DATE(2012,12,31)-1303</f>
        <v>39971</v>
      </c>
      <c r="B7041" s="15">
        <v>2494.92</v>
      </c>
    </row>
    <row r="7042" s="6" customFormat="1" spans="1:2">
      <c r="A7042" s="12">
        <f>DATE(2012,12,31)-347</f>
        <v>40927</v>
      </c>
      <c r="B7042" s="13">
        <v>6628.55</v>
      </c>
    </row>
    <row r="7043" s="6" customFormat="1" spans="1:2">
      <c r="A7043" s="12">
        <f>DATE(2012,12,31)-461</f>
        <v>40813</v>
      </c>
      <c r="B7043" s="13">
        <v>105.94</v>
      </c>
    </row>
    <row r="7044" s="6" customFormat="1" spans="1:2">
      <c r="A7044" s="12">
        <f>DATE(2012,12,31)-661</f>
        <v>40613</v>
      </c>
      <c r="B7044" s="13">
        <v>1337.08</v>
      </c>
    </row>
    <row r="7045" s="6" customFormat="1" spans="1:2">
      <c r="A7045" s="12">
        <f>DATE(2012,12,31)-186</f>
        <v>41088</v>
      </c>
      <c r="B7045" s="13">
        <v>6892.07</v>
      </c>
    </row>
    <row r="7046" s="6" customFormat="1" spans="1:2">
      <c r="A7046" s="12">
        <f>DATE(2012,12,31)-363</f>
        <v>40911</v>
      </c>
      <c r="B7046" s="13">
        <v>5859.25</v>
      </c>
    </row>
    <row r="7047" s="6" customFormat="1" spans="1:2">
      <c r="A7047" s="12">
        <f>DATE(2012,12,31)-446</f>
        <v>40828</v>
      </c>
      <c r="B7047" s="13">
        <v>1758.41</v>
      </c>
    </row>
    <row r="7048" s="6" customFormat="1" spans="1:2">
      <c r="A7048" s="12">
        <f>DATE(2012,12,31)-482</f>
        <v>40792</v>
      </c>
      <c r="B7048" s="13">
        <v>64.86</v>
      </c>
    </row>
    <row r="7049" spans="1:2">
      <c r="A7049" s="14">
        <f>DATE(2012,12,31)-482</f>
        <v>40792</v>
      </c>
      <c r="B7049" s="15">
        <v>109.39</v>
      </c>
    </row>
    <row r="7050" s="6" customFormat="1" spans="1:2">
      <c r="A7050" s="12">
        <f>DATE(2012,12,31)-1312</f>
        <v>39962</v>
      </c>
      <c r="B7050" s="13">
        <v>801.45</v>
      </c>
    </row>
    <row r="7051" s="6" customFormat="1" spans="1:2">
      <c r="A7051" s="12">
        <f>DATE(2012,12,31)-40</f>
        <v>41234</v>
      </c>
      <c r="B7051" s="13">
        <v>1538.8655</v>
      </c>
    </row>
    <row r="7052" s="6" customFormat="1" spans="1:2">
      <c r="A7052" s="12">
        <f>DATE(2012,12,31)-139</f>
        <v>41135</v>
      </c>
      <c r="B7052" s="13">
        <v>267.06</v>
      </c>
    </row>
    <row r="7053" s="6" customFormat="1" spans="1:2">
      <c r="A7053" s="12">
        <f>DATE(2012,12,31)-139</f>
        <v>41135</v>
      </c>
      <c r="B7053" s="13">
        <v>82.98</v>
      </c>
    </row>
    <row r="7054" s="6" customFormat="1" spans="1:2">
      <c r="A7054" s="12">
        <f>DATE(2012,12,31)-580</f>
        <v>40694</v>
      </c>
      <c r="B7054" s="13">
        <v>1974.66</v>
      </c>
    </row>
    <row r="7055" s="6" customFormat="1" spans="1:2">
      <c r="A7055" s="12">
        <f>DATE(2012,12,31)-580</f>
        <v>40694</v>
      </c>
      <c r="B7055" s="13">
        <v>73.44</v>
      </c>
    </row>
    <row r="7056" spans="1:2">
      <c r="A7056" s="14">
        <f>DATE(2012,12,31)-534</f>
        <v>40740</v>
      </c>
      <c r="B7056" s="15">
        <v>423.04</v>
      </c>
    </row>
    <row r="7057" s="6" customFormat="1" spans="1:2">
      <c r="A7057" s="12">
        <f>DATE(2012,12,31)-534</f>
        <v>40740</v>
      </c>
      <c r="B7057" s="13">
        <v>2197.4115</v>
      </c>
    </row>
    <row r="7058" s="6" customFormat="1" spans="1:2">
      <c r="A7058" s="12">
        <f>DATE(2012,12,31)-304</f>
        <v>40970</v>
      </c>
      <c r="B7058" s="13">
        <v>11041.42</v>
      </c>
    </row>
    <row r="7059" s="6" customFormat="1" spans="1:2">
      <c r="A7059" s="12">
        <f>DATE(2012,12,31)-123</f>
        <v>41151</v>
      </c>
      <c r="B7059" s="13">
        <v>683.46</v>
      </c>
    </row>
    <row r="7060" s="6" customFormat="1" spans="1:2">
      <c r="A7060" s="12">
        <f>DATE(2012,12,31)-481</f>
        <v>40793</v>
      </c>
      <c r="B7060" s="13">
        <v>389.28</v>
      </c>
    </row>
    <row r="7061" s="6" customFormat="1" spans="1:2">
      <c r="A7061" s="12">
        <f>DATE(2012,12,31)-330</f>
        <v>40944</v>
      </c>
      <c r="B7061" s="13">
        <v>1505.67</v>
      </c>
    </row>
    <row r="7062" s="6" customFormat="1" spans="1:2">
      <c r="A7062" s="12">
        <f>DATE(2012,12,31)-959</f>
        <v>40315</v>
      </c>
      <c r="B7062" s="13">
        <v>173.47</v>
      </c>
    </row>
    <row r="7063" s="6" customFormat="1" spans="1:2">
      <c r="A7063" s="12">
        <f>DATE(2012,12,31)-959</f>
        <v>40315</v>
      </c>
      <c r="B7063" s="13">
        <v>2832.88</v>
      </c>
    </row>
    <row r="7064" s="6" customFormat="1" spans="1:2">
      <c r="A7064" s="12">
        <f>DATE(2012,12,31)-1348</f>
        <v>39926</v>
      </c>
      <c r="B7064" s="13">
        <v>29.12</v>
      </c>
    </row>
    <row r="7065" s="6" customFormat="1" spans="1:2">
      <c r="A7065" s="12">
        <f>DATE(2012,12,31)-1168</f>
        <v>40106</v>
      </c>
      <c r="B7065" s="13">
        <v>3267.41</v>
      </c>
    </row>
    <row r="7066" s="6" customFormat="1" spans="1:2">
      <c r="A7066" s="12">
        <f>DATE(2012,12,31)-1168</f>
        <v>40106</v>
      </c>
      <c r="B7066" s="13">
        <v>26126.92</v>
      </c>
    </row>
    <row r="7067" spans="1:2">
      <c r="A7067" s="14">
        <f>DATE(2012,12,31)-1163</f>
        <v>40111</v>
      </c>
      <c r="B7067" s="15">
        <v>194.2</v>
      </c>
    </row>
    <row r="7068" s="6" customFormat="1" spans="1:2">
      <c r="A7068" s="12">
        <f>DATE(2012,12,31)-1163</f>
        <v>40111</v>
      </c>
      <c r="B7068" s="13">
        <v>16451.33</v>
      </c>
    </row>
    <row r="7069" s="6" customFormat="1" spans="1:2">
      <c r="A7069" s="12">
        <f>DATE(2012,12,31)-1163</f>
        <v>40111</v>
      </c>
      <c r="B7069" s="13">
        <v>485.97</v>
      </c>
    </row>
    <row r="7070" s="6" customFormat="1" spans="1:2">
      <c r="A7070" s="12">
        <f>DATE(2012,12,31)-1163</f>
        <v>40111</v>
      </c>
      <c r="B7070" s="13">
        <v>109.71</v>
      </c>
    </row>
    <row r="7071" s="6" customFormat="1" spans="1:2">
      <c r="A7071" s="12">
        <f>DATE(2012,12,31)-379</f>
        <v>40895</v>
      </c>
      <c r="B7071" s="13">
        <v>315.45</v>
      </c>
    </row>
    <row r="7072" spans="1:2">
      <c r="A7072" s="14">
        <f>DATE(2012,12,31)-379</f>
        <v>40895</v>
      </c>
      <c r="B7072" s="15">
        <v>60.02</v>
      </c>
    </row>
    <row r="7073" s="6" customFormat="1" spans="1:2">
      <c r="A7073" s="12">
        <f>DATE(2012,12,31)-379</f>
        <v>40895</v>
      </c>
      <c r="B7073" s="13">
        <v>7413.29</v>
      </c>
    </row>
    <row r="7074" spans="1:2">
      <c r="A7074" s="14">
        <f>DATE(2012,12,31)-783</f>
        <v>40491</v>
      </c>
      <c r="B7074" s="15">
        <v>1614.84</v>
      </c>
    </row>
    <row r="7075" spans="1:2">
      <c r="A7075" s="14">
        <f>DATE(2012,12,31)-381</f>
        <v>40893</v>
      </c>
      <c r="B7075" s="15">
        <v>600.22</v>
      </c>
    </row>
    <row r="7076" s="6" customFormat="1" spans="1:2">
      <c r="A7076" s="12">
        <f>DATE(2012,12,31)-836</f>
        <v>40438</v>
      </c>
      <c r="B7076" s="13">
        <v>327.95</v>
      </c>
    </row>
    <row r="7077" s="6" customFormat="1" spans="1:2">
      <c r="A7077" s="12">
        <f>DATE(2012,12,31)-836</f>
        <v>40438</v>
      </c>
      <c r="B7077" s="13">
        <v>5606.91</v>
      </c>
    </row>
    <row r="7078" s="6" customFormat="1" spans="1:2">
      <c r="A7078" s="12">
        <f>DATE(2012,12,31)-308</f>
        <v>40966</v>
      </c>
      <c r="B7078" s="13">
        <v>9758.7</v>
      </c>
    </row>
    <row r="7079" s="6" customFormat="1" spans="1:2">
      <c r="A7079" s="12">
        <f>DATE(2012,12,31)-769</f>
        <v>40505</v>
      </c>
      <c r="B7079" s="13">
        <v>129.88</v>
      </c>
    </row>
    <row r="7080" s="6" customFormat="1" spans="1:2">
      <c r="A7080" s="12">
        <f>DATE(2012,12,31)-769</f>
        <v>40505</v>
      </c>
      <c r="B7080" s="13">
        <v>2441.1405</v>
      </c>
    </row>
    <row r="7081" s="6" customFormat="1" spans="1:2">
      <c r="A7081" s="12">
        <f>DATE(2012,12,31)-427</f>
        <v>40847</v>
      </c>
      <c r="B7081" s="13">
        <v>9248.74</v>
      </c>
    </row>
    <row r="7082" s="6" customFormat="1" spans="1:2">
      <c r="A7082" s="12">
        <f>DATE(2012,12,31)-427</f>
        <v>40847</v>
      </c>
      <c r="B7082" s="13">
        <v>98.88</v>
      </c>
    </row>
    <row r="7083" s="6" customFormat="1" spans="1:2">
      <c r="A7083" s="12">
        <f>DATE(2012,12,31)-1118</f>
        <v>40156</v>
      </c>
      <c r="B7083" s="13">
        <v>64.0305</v>
      </c>
    </row>
    <row r="7084" s="6" customFormat="1" spans="1:2">
      <c r="A7084" s="12">
        <f>DATE(2012,12,31)-844</f>
        <v>40430</v>
      </c>
      <c r="B7084" s="13">
        <v>470.39</v>
      </c>
    </row>
    <row r="7085" s="6" customFormat="1" spans="1:2">
      <c r="A7085" s="12">
        <f>DATE(2012,12,31)-844</f>
        <v>40430</v>
      </c>
      <c r="B7085" s="13">
        <v>15.04</v>
      </c>
    </row>
    <row r="7086" s="6" customFormat="1" spans="1:2">
      <c r="A7086" s="12">
        <f>DATE(2012,12,31)-172</f>
        <v>41102</v>
      </c>
      <c r="B7086" s="13">
        <v>128.5</v>
      </c>
    </row>
    <row r="7087" s="6" customFormat="1" spans="1:2">
      <c r="A7087" s="12">
        <f>DATE(2012,12,31)-1018</f>
        <v>40256</v>
      </c>
      <c r="B7087" s="13">
        <v>2422.721</v>
      </c>
    </row>
    <row r="7088" s="6" customFormat="1" spans="1:2">
      <c r="A7088" s="12">
        <f>DATE(2012,12,31)-325</f>
        <v>40949</v>
      </c>
      <c r="B7088" s="13">
        <v>638.72</v>
      </c>
    </row>
    <row r="7089" s="6" customFormat="1" spans="1:2">
      <c r="A7089" s="12">
        <f>DATE(2012,12,31)-1176</f>
        <v>40098</v>
      </c>
      <c r="B7089" s="13">
        <v>487.72</v>
      </c>
    </row>
    <row r="7090" s="6" customFormat="1" spans="1:2">
      <c r="A7090" s="12">
        <f>DATE(2012,12,31)-660</f>
        <v>40614</v>
      </c>
      <c r="B7090" s="13">
        <v>8673.9</v>
      </c>
    </row>
    <row r="7091" s="6" customFormat="1" spans="1:2">
      <c r="A7091" s="12">
        <f>DATE(2012,12,31)-534</f>
        <v>40740</v>
      </c>
      <c r="B7091" s="13">
        <v>255.65</v>
      </c>
    </row>
    <row r="7092" s="6" customFormat="1" spans="1:2">
      <c r="A7092" s="12">
        <f>DATE(2012,12,31)-1375</f>
        <v>39899</v>
      </c>
      <c r="B7092" s="13">
        <v>286.07</v>
      </c>
    </row>
    <row r="7093" s="6" customFormat="1" spans="1:2">
      <c r="A7093" s="12">
        <f>DATE(2012,12,31)-1375</f>
        <v>39899</v>
      </c>
      <c r="B7093" s="13">
        <v>733.92</v>
      </c>
    </row>
    <row r="7094" s="6" customFormat="1" spans="1:2">
      <c r="A7094" s="12">
        <f>DATE(2012,12,31)-1375</f>
        <v>39899</v>
      </c>
      <c r="B7094" s="13">
        <v>99.11</v>
      </c>
    </row>
    <row r="7095" s="6" customFormat="1" spans="1:2">
      <c r="A7095" s="12">
        <f>DATE(2012,12,31)-86</f>
        <v>41188</v>
      </c>
      <c r="B7095" s="13">
        <v>5518.5315</v>
      </c>
    </row>
    <row r="7096" s="6" customFormat="1" spans="1:2">
      <c r="A7096" s="12">
        <f>DATE(2012,12,31)-328</f>
        <v>40946</v>
      </c>
      <c r="B7096" s="13">
        <v>1635.29</v>
      </c>
    </row>
    <row r="7097" s="6" customFormat="1" spans="1:2">
      <c r="A7097" s="12">
        <f>DATE(2012,12,31)-328</f>
        <v>40946</v>
      </c>
      <c r="B7097" s="13">
        <v>316.35</v>
      </c>
    </row>
    <row r="7098" s="6" customFormat="1" spans="1:2">
      <c r="A7098" s="12">
        <f>DATE(2012,12,31)-1259</f>
        <v>40015</v>
      </c>
      <c r="B7098" s="13">
        <v>1244.72</v>
      </c>
    </row>
    <row r="7099" s="6" customFormat="1" spans="1:2">
      <c r="A7099" s="12">
        <f>DATE(2012,12,31)-88</f>
        <v>41186</v>
      </c>
      <c r="B7099" s="13">
        <v>307.37</v>
      </c>
    </row>
    <row r="7100" s="6" customFormat="1" spans="1:2">
      <c r="A7100" s="12">
        <f>DATE(2012,12,31)-1335</f>
        <v>39939</v>
      </c>
      <c r="B7100" s="13">
        <v>1599.54</v>
      </c>
    </row>
    <row r="7101" s="6" customFormat="1" spans="1:2">
      <c r="A7101" s="12">
        <f>DATE(2012,12,31)-1335</f>
        <v>39939</v>
      </c>
      <c r="B7101" s="13">
        <v>942.42</v>
      </c>
    </row>
    <row r="7102" spans="1:2">
      <c r="A7102" s="14">
        <f>DATE(2012,12,31)-568</f>
        <v>40706</v>
      </c>
      <c r="B7102" s="15">
        <v>188.47</v>
      </c>
    </row>
    <row r="7103" s="6" customFormat="1" spans="1:2">
      <c r="A7103" s="12">
        <f>DATE(2012,12,31)-380</f>
        <v>40894</v>
      </c>
      <c r="B7103" s="13">
        <v>137.5</v>
      </c>
    </row>
    <row r="7104" s="6" customFormat="1" spans="1:2">
      <c r="A7104" s="12">
        <f>DATE(2012,12,31)-380</f>
        <v>40894</v>
      </c>
      <c r="B7104" s="13">
        <v>5744.24</v>
      </c>
    </row>
    <row r="7105" s="6" customFormat="1" spans="1:2">
      <c r="A7105" s="12">
        <f>DATE(2012,12,31)-380</f>
        <v>40894</v>
      </c>
      <c r="B7105" s="13">
        <v>452.15</v>
      </c>
    </row>
    <row r="7106" s="6" customFormat="1" spans="1:2">
      <c r="A7106" s="12">
        <f>DATE(2012,12,31)-853</f>
        <v>40421</v>
      </c>
      <c r="B7106" s="13">
        <v>366.84</v>
      </c>
    </row>
    <row r="7107" s="6" customFormat="1" spans="1:2">
      <c r="A7107" s="12">
        <f>DATE(2012,12,31)-213</f>
        <v>41061</v>
      </c>
      <c r="B7107" s="13">
        <v>6739.92</v>
      </c>
    </row>
    <row r="7108" s="6" customFormat="1" spans="1:2">
      <c r="A7108" s="12">
        <f>DATE(2012,12,31)-181</f>
        <v>41093</v>
      </c>
      <c r="B7108" s="13">
        <v>8551.544</v>
      </c>
    </row>
    <row r="7109" s="6" customFormat="1" spans="1:2">
      <c r="A7109" s="12">
        <f>DATE(2012,12,31)-1259</f>
        <v>40015</v>
      </c>
      <c r="B7109" s="13">
        <v>1422.31</v>
      </c>
    </row>
    <row r="7110" s="6" customFormat="1" spans="1:2">
      <c r="A7110" s="12">
        <f>DATE(2012,12,31)-724</f>
        <v>40550</v>
      </c>
      <c r="B7110" s="13">
        <v>834.0625</v>
      </c>
    </row>
    <row r="7111" s="6" customFormat="1" spans="1:2">
      <c r="A7111" s="12">
        <f>DATE(2012,12,31)-696</f>
        <v>40578</v>
      </c>
      <c r="B7111" s="13">
        <v>73.55</v>
      </c>
    </row>
    <row r="7112" s="6" customFormat="1" spans="1:2">
      <c r="A7112" s="12">
        <f>DATE(2012,12,31)-696</f>
        <v>40578</v>
      </c>
      <c r="B7112" s="13">
        <v>4804.0385</v>
      </c>
    </row>
    <row r="7113" s="6" customFormat="1" spans="1:2">
      <c r="A7113" s="12">
        <f>DATE(2012,12,31)-1</f>
        <v>41273</v>
      </c>
      <c r="B7113" s="13">
        <v>391.12</v>
      </c>
    </row>
    <row r="7114" s="6" customFormat="1" spans="1:2">
      <c r="A7114" s="12">
        <f>DATE(2012,12,31)-1</f>
        <v>41273</v>
      </c>
      <c r="B7114" s="13">
        <v>448.1</v>
      </c>
    </row>
    <row r="7115" s="6" customFormat="1" spans="1:2">
      <c r="A7115" s="12">
        <f>DATE(2012,12,31)-203</f>
        <v>41071</v>
      </c>
      <c r="B7115" s="13">
        <v>34.09</v>
      </c>
    </row>
    <row r="7116" s="6" customFormat="1" spans="1:2">
      <c r="A7116" s="12">
        <f>DATE(2012,12,31)-275</f>
        <v>40999</v>
      </c>
      <c r="B7116" s="13">
        <v>816.09</v>
      </c>
    </row>
    <row r="7117" s="6" customFormat="1" spans="1:2">
      <c r="A7117" s="12">
        <f>DATE(2012,12,31)-1245</f>
        <v>40029</v>
      </c>
      <c r="B7117" s="13">
        <v>5678.5525</v>
      </c>
    </row>
    <row r="7118" spans="1:2">
      <c r="A7118" s="14">
        <f>DATE(2012,12,31)-259</f>
        <v>41015</v>
      </c>
      <c r="B7118" s="15">
        <v>86.53</v>
      </c>
    </row>
    <row r="7119" s="6" customFormat="1" spans="1:2">
      <c r="A7119" s="12">
        <f>DATE(2012,12,31)-552</f>
        <v>40722</v>
      </c>
      <c r="B7119" s="13">
        <v>3063.1</v>
      </c>
    </row>
    <row r="7120" s="6" customFormat="1" spans="1:2">
      <c r="A7120" s="12">
        <f>DATE(2012,12,31)-552</f>
        <v>40722</v>
      </c>
      <c r="B7120" s="13">
        <v>229.03</v>
      </c>
    </row>
    <row r="7121" s="6" customFormat="1" spans="1:2">
      <c r="A7121" s="12">
        <f>DATE(2012,12,31)-499</f>
        <v>40775</v>
      </c>
      <c r="B7121" s="13">
        <v>269.66</v>
      </c>
    </row>
    <row r="7122" s="6" customFormat="1" spans="1:2">
      <c r="A7122" s="12">
        <f>DATE(2012,12,31)-422</f>
        <v>40852</v>
      </c>
      <c r="B7122" s="13">
        <v>48</v>
      </c>
    </row>
    <row r="7123" s="6" customFormat="1" spans="1:2">
      <c r="A7123" s="12">
        <f>DATE(2012,12,31)-939</f>
        <v>40335</v>
      </c>
      <c r="B7123" s="13">
        <v>5144.8715</v>
      </c>
    </row>
    <row r="7124" s="6" customFormat="1" spans="1:2">
      <c r="A7124" s="12">
        <f>DATE(2012,12,31)-886</f>
        <v>40388</v>
      </c>
      <c r="B7124" s="13">
        <v>2766.818</v>
      </c>
    </row>
    <row r="7125" s="6" customFormat="1" spans="1:2">
      <c r="A7125" s="12">
        <f>DATE(2012,12,31)-348</f>
        <v>40926</v>
      </c>
      <c r="B7125" s="13">
        <v>155.89</v>
      </c>
    </row>
    <row r="7126" s="6" customFormat="1" spans="1:2">
      <c r="A7126" s="12">
        <f>DATE(2012,12,31)-348</f>
        <v>40926</v>
      </c>
      <c r="B7126" s="13">
        <v>1333.18</v>
      </c>
    </row>
    <row r="7127" s="6" customFormat="1" spans="1:2">
      <c r="A7127" s="12">
        <f>DATE(2012,12,31)-348</f>
        <v>40926</v>
      </c>
      <c r="B7127" s="13">
        <v>117.27</v>
      </c>
    </row>
    <row r="7128" s="6" customFormat="1" spans="1:2">
      <c r="A7128" s="12">
        <f>DATE(2012,12,31)-1361</f>
        <v>39913</v>
      </c>
      <c r="B7128" s="13">
        <v>65.7</v>
      </c>
    </row>
    <row r="7129" s="6" customFormat="1" spans="1:2">
      <c r="A7129" s="12">
        <f>DATE(2012,12,31)-1361</f>
        <v>39913</v>
      </c>
      <c r="B7129" s="13">
        <v>1685.07</v>
      </c>
    </row>
    <row r="7130" spans="1:2">
      <c r="A7130" s="14">
        <f>DATE(2012,12,31)-1186</f>
        <v>40088</v>
      </c>
      <c r="B7130" s="15">
        <v>7036.11</v>
      </c>
    </row>
    <row r="7131" s="6" customFormat="1" spans="1:2">
      <c r="A7131" s="12">
        <f>DATE(2012,12,31)-962</f>
        <v>40312</v>
      </c>
      <c r="B7131" s="13">
        <v>2475.08</v>
      </c>
    </row>
    <row r="7132" s="6" customFormat="1" spans="1:2">
      <c r="A7132" s="12">
        <f>DATE(2012,12,31)-962</f>
        <v>40312</v>
      </c>
      <c r="B7132" s="13">
        <v>1610.42</v>
      </c>
    </row>
    <row r="7133" s="6" customFormat="1" spans="1:2">
      <c r="A7133" s="12">
        <f>DATE(2012,12,31)-769</f>
        <v>40505</v>
      </c>
      <c r="B7133" s="13">
        <v>1290.2065</v>
      </c>
    </row>
    <row r="7134" spans="1:2">
      <c r="A7134" s="14">
        <f>DATE(2012,12,31)-97</f>
        <v>41177</v>
      </c>
      <c r="B7134" s="15">
        <v>772.67</v>
      </c>
    </row>
    <row r="7135" s="6" customFormat="1" spans="1:2">
      <c r="A7135" s="12">
        <f>DATE(2012,12,31)-53</f>
        <v>41221</v>
      </c>
      <c r="B7135" s="13">
        <v>112.05</v>
      </c>
    </row>
    <row r="7136" s="6" customFormat="1" spans="1:2">
      <c r="A7136" s="12">
        <f>DATE(2012,12,31)-326</f>
        <v>40948</v>
      </c>
      <c r="B7136" s="13">
        <v>61.098</v>
      </c>
    </row>
    <row r="7137" spans="1:2">
      <c r="A7137" s="14">
        <f>DATE(2012,12,31)-108</f>
        <v>41166</v>
      </c>
      <c r="B7137" s="15">
        <v>132.01</v>
      </c>
    </row>
    <row r="7138" s="6" customFormat="1" spans="1:2">
      <c r="A7138" s="12">
        <f>DATE(2012,12,31)-108</f>
        <v>41166</v>
      </c>
      <c r="B7138" s="13">
        <v>626.33</v>
      </c>
    </row>
    <row r="7139" s="6" customFormat="1" spans="1:2">
      <c r="A7139" s="12">
        <f>DATE(2012,12,31)-108</f>
        <v>41166</v>
      </c>
      <c r="B7139" s="13">
        <v>394.34</v>
      </c>
    </row>
    <row r="7140" s="6" customFormat="1" spans="1:2">
      <c r="A7140" s="12">
        <f>DATE(2012,12,31)-738</f>
        <v>40536</v>
      </c>
      <c r="B7140" s="13">
        <v>291.66</v>
      </c>
    </row>
    <row r="7141" s="6" customFormat="1" spans="1:2">
      <c r="A7141" s="12">
        <f>DATE(2012,12,31)-924</f>
        <v>40350</v>
      </c>
      <c r="B7141" s="13">
        <v>783.48</v>
      </c>
    </row>
    <row r="7142" s="6" customFormat="1" spans="1:2">
      <c r="A7142" s="12">
        <f>DATE(2012,12,31)-139</f>
        <v>41135</v>
      </c>
      <c r="B7142" s="13">
        <v>1135.24</v>
      </c>
    </row>
    <row r="7143" s="6" customFormat="1" spans="1:2">
      <c r="A7143" s="12">
        <f>DATE(2012,12,31)-139</f>
        <v>41135</v>
      </c>
      <c r="B7143" s="13">
        <v>2136.93</v>
      </c>
    </row>
    <row r="7144" s="6" customFormat="1" spans="1:2">
      <c r="A7144" s="12">
        <f>DATE(2012,12,31)-409</f>
        <v>40865</v>
      </c>
      <c r="B7144" s="13">
        <v>1617.88</v>
      </c>
    </row>
    <row r="7145" s="6" customFormat="1" spans="1:2">
      <c r="A7145" s="12">
        <f>DATE(2012,12,31)-381</f>
        <v>40893</v>
      </c>
      <c r="B7145" s="13">
        <v>312.05</v>
      </c>
    </row>
    <row r="7146" s="6" customFormat="1" spans="1:2">
      <c r="A7146" s="12">
        <f>DATE(2012,12,31)-262</f>
        <v>41012</v>
      </c>
      <c r="B7146" s="13">
        <v>30.89</v>
      </c>
    </row>
    <row r="7147" spans="1:2">
      <c r="A7147" s="14">
        <f>DATE(2012,12,31)-262</f>
        <v>41012</v>
      </c>
      <c r="B7147" s="15">
        <v>170.46</v>
      </c>
    </row>
    <row r="7148" s="6" customFormat="1" spans="1:2">
      <c r="A7148" s="12">
        <f>DATE(2012,12,31)-376</f>
        <v>40898</v>
      </c>
      <c r="B7148" s="13">
        <v>26622.55</v>
      </c>
    </row>
    <row r="7149" s="6" customFormat="1" spans="1:2">
      <c r="A7149" s="12">
        <f>DATE(2012,12,31)-21</f>
        <v>41253</v>
      </c>
      <c r="B7149" s="13">
        <v>233.01</v>
      </c>
    </row>
    <row r="7150" spans="1:2">
      <c r="A7150" s="14">
        <f>DATE(2012,12,31)-21</f>
        <v>41253</v>
      </c>
      <c r="B7150" s="15">
        <v>225.72</v>
      </c>
    </row>
    <row r="7151" s="6" customFormat="1" spans="1:2">
      <c r="A7151" s="12">
        <f>DATE(2012,12,31)-1118</f>
        <v>40156</v>
      </c>
      <c r="B7151" s="13">
        <v>26.5</v>
      </c>
    </row>
    <row r="7152" s="6" customFormat="1" spans="1:2">
      <c r="A7152" s="12">
        <f>DATE(2012,12,31)-296</f>
        <v>40978</v>
      </c>
      <c r="B7152" s="13">
        <v>4769.0695</v>
      </c>
    </row>
    <row r="7153" s="6" customFormat="1" spans="1:2">
      <c r="A7153" s="12">
        <f>DATE(2012,12,31)-312</f>
        <v>40962</v>
      </c>
      <c r="B7153" s="13">
        <v>4046.25</v>
      </c>
    </row>
    <row r="7154" s="6" customFormat="1" spans="1:2">
      <c r="A7154" s="12">
        <f>DATE(2012,12,31)-1377</f>
        <v>39897</v>
      </c>
      <c r="B7154" s="13">
        <v>1610.29</v>
      </c>
    </row>
    <row r="7155" s="6" customFormat="1" spans="1:2">
      <c r="A7155" s="12">
        <f>DATE(2012,12,31)-1377</f>
        <v>39897</v>
      </c>
      <c r="B7155" s="13">
        <v>617.51</v>
      </c>
    </row>
    <row r="7156" s="6" customFormat="1" spans="1:2">
      <c r="A7156" s="12">
        <f>DATE(2012,12,31)-1377</f>
        <v>39897</v>
      </c>
      <c r="B7156" s="13">
        <v>278.83</v>
      </c>
    </row>
    <row r="7157" s="6" customFormat="1" spans="1:2">
      <c r="A7157" s="12">
        <f>DATE(2012,12,31)-1377</f>
        <v>39897</v>
      </c>
      <c r="B7157" s="13">
        <v>1605.22</v>
      </c>
    </row>
    <row r="7158" s="6" customFormat="1" spans="1:2">
      <c r="A7158" s="12">
        <f>DATE(2012,12,31)-242</f>
        <v>41032</v>
      </c>
      <c r="B7158" s="13">
        <v>4394.78</v>
      </c>
    </row>
    <row r="7159" s="6" customFormat="1" spans="1:2">
      <c r="A7159" s="12">
        <f>DATE(2012,12,31)-354</f>
        <v>40920</v>
      </c>
      <c r="B7159" s="13">
        <v>21.07</v>
      </c>
    </row>
    <row r="7160" s="6" customFormat="1" spans="1:2">
      <c r="A7160" s="12">
        <f>DATE(2012,12,31)-354</f>
        <v>40920</v>
      </c>
      <c r="B7160" s="13">
        <v>430.41</v>
      </c>
    </row>
    <row r="7161" s="6" customFormat="1" spans="1:2">
      <c r="A7161" s="12">
        <f>DATE(2012,12,31)-798</f>
        <v>40476</v>
      </c>
      <c r="B7161" s="13">
        <v>3969.43</v>
      </c>
    </row>
    <row r="7162" s="6" customFormat="1" spans="1:2">
      <c r="A7162" s="12">
        <f>DATE(2012,12,31)-798</f>
        <v>40476</v>
      </c>
      <c r="B7162" s="13">
        <v>2882.707</v>
      </c>
    </row>
    <row r="7163" s="6" customFormat="1" spans="1:2">
      <c r="A7163" s="12">
        <f>DATE(2012,12,31)-50</f>
        <v>41224</v>
      </c>
      <c r="B7163" s="13">
        <v>356.28</v>
      </c>
    </row>
    <row r="7164" s="6" customFormat="1" spans="1:2">
      <c r="A7164" s="12">
        <f>DATE(2012,12,31)-443</f>
        <v>40831</v>
      </c>
      <c r="B7164" s="13">
        <v>344.24</v>
      </c>
    </row>
    <row r="7165" s="6" customFormat="1" spans="1:2">
      <c r="A7165" s="12">
        <f>DATE(2012,12,31)-495</f>
        <v>40779</v>
      </c>
      <c r="B7165" s="13">
        <v>167.55</v>
      </c>
    </row>
    <row r="7166" s="6" customFormat="1" spans="1:2">
      <c r="A7166" s="12">
        <f>DATE(2012,12,31)-797</f>
        <v>40477</v>
      </c>
      <c r="B7166" s="13">
        <v>689.67</v>
      </c>
    </row>
    <row r="7167" s="6" customFormat="1" spans="1:2">
      <c r="A7167" s="12">
        <f>DATE(2012,12,31)-88</f>
        <v>41186</v>
      </c>
      <c r="B7167" s="13">
        <v>2219.79</v>
      </c>
    </row>
    <row r="7168" s="6" customFormat="1" spans="1:2">
      <c r="A7168" s="12">
        <f>DATE(2012,12,31)-88</f>
        <v>41186</v>
      </c>
      <c r="B7168" s="13">
        <v>237.36</v>
      </c>
    </row>
    <row r="7169" s="6" customFormat="1" spans="1:2">
      <c r="A7169" s="12">
        <f>DATE(2012,12,31)-560</f>
        <v>40714</v>
      </c>
      <c r="B7169" s="13">
        <v>46.55</v>
      </c>
    </row>
    <row r="7170" s="6" customFormat="1" spans="1:2">
      <c r="A7170" s="12">
        <f>DATE(2012,12,31)-654</f>
        <v>40620</v>
      </c>
      <c r="B7170" s="13">
        <v>76.06</v>
      </c>
    </row>
    <row r="7171" s="6" customFormat="1" spans="1:2">
      <c r="A7171" s="12">
        <f>DATE(2012,12,31)-654</f>
        <v>40620</v>
      </c>
      <c r="B7171" s="13">
        <v>18056.68</v>
      </c>
    </row>
    <row r="7172" s="6" customFormat="1" spans="1:2">
      <c r="A7172" s="12">
        <f>DATE(2012,12,31)-1043</f>
        <v>40231</v>
      </c>
      <c r="B7172" s="13">
        <v>1501.8</v>
      </c>
    </row>
    <row r="7173" s="6" customFormat="1" spans="1:2">
      <c r="A7173" s="12">
        <f>DATE(2012,12,31)-146</f>
        <v>41128</v>
      </c>
      <c r="B7173" s="13">
        <v>195.23</v>
      </c>
    </row>
    <row r="7174" s="6" customFormat="1" spans="1:2">
      <c r="A7174" s="12">
        <f>DATE(2012,12,31)-146</f>
        <v>41128</v>
      </c>
      <c r="B7174" s="13">
        <v>4051.8</v>
      </c>
    </row>
    <row r="7175" s="6" customFormat="1" spans="1:2">
      <c r="A7175" s="12">
        <f>DATE(2012,12,31)-1145</f>
        <v>40129</v>
      </c>
      <c r="B7175" s="13">
        <v>254.89</v>
      </c>
    </row>
    <row r="7176" s="6" customFormat="1" spans="1:2">
      <c r="A7176" s="12">
        <f>DATE(2012,12,31)-936</f>
        <v>40338</v>
      </c>
      <c r="B7176" s="13">
        <v>78.22</v>
      </c>
    </row>
    <row r="7177" s="6" customFormat="1" spans="1:2">
      <c r="A7177" s="12">
        <f>DATE(2012,12,31)-936</f>
        <v>40338</v>
      </c>
      <c r="B7177" s="13">
        <v>51.65</v>
      </c>
    </row>
    <row r="7178" s="6" customFormat="1" spans="1:2">
      <c r="A7178" s="12">
        <f>DATE(2012,12,31)-357</f>
        <v>40917</v>
      </c>
      <c r="B7178" s="13">
        <v>113.98</v>
      </c>
    </row>
    <row r="7179" s="6" customFormat="1" spans="1:2">
      <c r="A7179" s="12">
        <f>DATE(2012,12,31)-357</f>
        <v>40917</v>
      </c>
      <c r="B7179" s="13">
        <v>88.94</v>
      </c>
    </row>
    <row r="7180" s="6" customFormat="1" spans="1:2">
      <c r="A7180" s="12">
        <f>DATE(2012,12,31)-761</f>
        <v>40513</v>
      </c>
      <c r="B7180" s="13">
        <v>357.01</v>
      </c>
    </row>
    <row r="7181" s="6" customFormat="1" spans="1:2">
      <c r="A7181" s="12">
        <f>DATE(2012,12,31)-690</f>
        <v>40584</v>
      </c>
      <c r="B7181" s="13">
        <v>858.53</v>
      </c>
    </row>
    <row r="7182" spans="1:2">
      <c r="A7182" s="14">
        <f>DATE(2012,12,31)-558</f>
        <v>40716</v>
      </c>
      <c r="B7182" s="15">
        <v>417.88</v>
      </c>
    </row>
    <row r="7183" s="6" customFormat="1" spans="1:2">
      <c r="A7183" s="12">
        <f>DATE(2012,12,31)-380</f>
        <v>40894</v>
      </c>
      <c r="B7183" s="13">
        <v>28.34</v>
      </c>
    </row>
    <row r="7184" s="6" customFormat="1" spans="1:2">
      <c r="A7184" s="12">
        <f>DATE(2012,12,31)-380</f>
        <v>40894</v>
      </c>
      <c r="B7184" s="13">
        <v>405.3395</v>
      </c>
    </row>
    <row r="7185" s="6" customFormat="1" spans="1:2">
      <c r="A7185" s="12">
        <f>DATE(2012,12,31)-974</f>
        <v>40300</v>
      </c>
      <c r="B7185" s="13">
        <v>1561.96</v>
      </c>
    </row>
    <row r="7186" s="6" customFormat="1" spans="1:2">
      <c r="A7186" s="12">
        <f>DATE(2012,12,31)-303</f>
        <v>40971</v>
      </c>
      <c r="B7186" s="13">
        <v>4846.68</v>
      </c>
    </row>
    <row r="7187" s="6" customFormat="1" spans="1:2">
      <c r="A7187" s="12">
        <f>DATE(2012,12,31)-303</f>
        <v>40971</v>
      </c>
      <c r="B7187" s="13">
        <v>32.69</v>
      </c>
    </row>
    <row r="7188" s="6" customFormat="1" spans="1:2">
      <c r="A7188" s="12">
        <f>DATE(2012,12,31)-303</f>
        <v>40971</v>
      </c>
      <c r="B7188" s="13">
        <v>38.88</v>
      </c>
    </row>
    <row r="7189" s="6" customFormat="1" spans="1:2">
      <c r="A7189" s="12">
        <f>DATE(2012,12,31)-544</f>
        <v>40730</v>
      </c>
      <c r="B7189" s="13">
        <v>286.26</v>
      </c>
    </row>
    <row r="7190" s="6" customFormat="1" spans="1:2">
      <c r="A7190" s="12">
        <f>DATE(2012,12,31)-516</f>
        <v>40758</v>
      </c>
      <c r="B7190" s="13">
        <v>493.56</v>
      </c>
    </row>
    <row r="7191" s="6" customFormat="1" spans="1:2">
      <c r="A7191" s="12">
        <f>DATE(2012,12,31)-1023</f>
        <v>40251</v>
      </c>
      <c r="B7191" s="13">
        <v>2723.1</v>
      </c>
    </row>
    <row r="7192" s="6" customFormat="1" spans="1:2">
      <c r="A7192" s="12">
        <f>DATE(2012,12,31)-1023</f>
        <v>40251</v>
      </c>
      <c r="B7192" s="13">
        <v>347.2675</v>
      </c>
    </row>
    <row r="7193" s="6" customFormat="1" spans="1:2">
      <c r="A7193" s="12">
        <f>DATE(2012,12,31)-420</f>
        <v>40854</v>
      </c>
      <c r="B7193" s="13">
        <v>360.24</v>
      </c>
    </row>
    <row r="7194" s="6" customFormat="1" spans="1:2">
      <c r="A7194" s="12">
        <f>DATE(2012,12,31)-420</f>
        <v>40854</v>
      </c>
      <c r="B7194" s="13">
        <v>1463.27</v>
      </c>
    </row>
    <row r="7195" s="6" customFormat="1" spans="1:2">
      <c r="A7195" s="12">
        <f>DATE(2012,12,31)-400</f>
        <v>40874</v>
      </c>
      <c r="B7195" s="13">
        <v>21366.51</v>
      </c>
    </row>
    <row r="7196" s="6" customFormat="1" spans="1:2">
      <c r="A7196" s="12">
        <f>DATE(2012,12,31)-400</f>
        <v>40874</v>
      </c>
      <c r="B7196" s="13">
        <v>320.04</v>
      </c>
    </row>
    <row r="7197" s="6" customFormat="1" spans="1:2">
      <c r="A7197" s="12">
        <f>DATE(2012,12,31)-400</f>
        <v>40874</v>
      </c>
      <c r="B7197" s="13">
        <v>88.57</v>
      </c>
    </row>
    <row r="7198" s="6" customFormat="1" spans="1:2">
      <c r="A7198" s="12">
        <f>DATE(2012,12,31)-400</f>
        <v>40874</v>
      </c>
      <c r="B7198" s="13">
        <v>73.97</v>
      </c>
    </row>
    <row r="7199" s="6" customFormat="1" spans="1:2">
      <c r="A7199" s="12">
        <f>DATE(2012,12,31)-1376</f>
        <v>39898</v>
      </c>
      <c r="B7199" s="13">
        <v>545.04</v>
      </c>
    </row>
    <row r="7200" s="6" customFormat="1" spans="1:2">
      <c r="A7200" s="12">
        <f>DATE(2012,12,31)-1376</f>
        <v>39898</v>
      </c>
      <c r="B7200" s="13">
        <v>606.91</v>
      </c>
    </row>
    <row r="7201" s="6" customFormat="1" spans="1:2">
      <c r="A7201" s="12">
        <f>DATE(2012,12,31)-65</f>
        <v>41209</v>
      </c>
      <c r="B7201" s="13">
        <v>45.69</v>
      </c>
    </row>
    <row r="7202" s="6" customFormat="1" spans="1:2">
      <c r="A7202" s="12">
        <f>DATE(2012,12,31)-427</f>
        <v>40847</v>
      </c>
      <c r="B7202" s="13">
        <v>1749.07</v>
      </c>
    </row>
    <row r="7203" s="6" customFormat="1" spans="1:2">
      <c r="A7203" s="12">
        <f>DATE(2012,12,31)-427</f>
        <v>40847</v>
      </c>
      <c r="B7203" s="13">
        <v>37.9</v>
      </c>
    </row>
    <row r="7204" s="6" customFormat="1" spans="1:2">
      <c r="A7204" s="12">
        <f>DATE(2012,12,31)-1008</f>
        <v>40266</v>
      </c>
      <c r="B7204" s="13">
        <v>245.4</v>
      </c>
    </row>
    <row r="7205" s="6" customFormat="1" spans="1:2">
      <c r="A7205" s="12">
        <f>DATE(2012,12,31)-1008</f>
        <v>40266</v>
      </c>
      <c r="B7205" s="13">
        <v>4177.66</v>
      </c>
    </row>
    <row r="7206" spans="1:2">
      <c r="A7206" s="14">
        <f>DATE(2012,12,31)-302</f>
        <v>40972</v>
      </c>
      <c r="B7206" s="15">
        <v>823.98</v>
      </c>
    </row>
    <row r="7207" s="6" customFormat="1" spans="1:2">
      <c r="A7207" s="12">
        <f>DATE(2012,12,31)-806</f>
        <v>40468</v>
      </c>
      <c r="B7207" s="13">
        <v>5620.2</v>
      </c>
    </row>
    <row r="7208" s="6" customFormat="1" spans="1:2">
      <c r="A7208" s="12">
        <f>DATE(2012,12,31)-1216</f>
        <v>40058</v>
      </c>
      <c r="B7208" s="13">
        <v>100.6</v>
      </c>
    </row>
    <row r="7209" spans="1:2">
      <c r="A7209" s="14">
        <f>DATE(2012,12,31)-1216</f>
        <v>40058</v>
      </c>
      <c r="B7209" s="15">
        <v>958.06</v>
      </c>
    </row>
    <row r="7210" spans="1:2">
      <c r="A7210" s="14">
        <f>DATE(2012,12,31)-1216</f>
        <v>40058</v>
      </c>
      <c r="B7210" s="15">
        <v>14.75</v>
      </c>
    </row>
    <row r="7211" s="6" customFormat="1" spans="1:2">
      <c r="A7211" s="12">
        <f>DATE(2012,12,31)-1216</f>
        <v>40058</v>
      </c>
      <c r="B7211" s="13">
        <v>11262.04</v>
      </c>
    </row>
    <row r="7212" spans="1:2">
      <c r="A7212" s="14">
        <f>DATE(2012,12,31)-298</f>
        <v>40976</v>
      </c>
      <c r="B7212" s="15">
        <v>173.97</v>
      </c>
    </row>
    <row r="7213" s="6" customFormat="1" spans="1:2">
      <c r="A7213" s="12">
        <f>DATE(2012,12,31)-1448</f>
        <v>39826</v>
      </c>
      <c r="B7213" s="13">
        <v>39.23</v>
      </c>
    </row>
    <row r="7214" s="6" customFormat="1" spans="1:2">
      <c r="A7214" s="12">
        <f>DATE(2012,12,31)-365</f>
        <v>40909</v>
      </c>
      <c r="B7214" s="13">
        <v>2354.8</v>
      </c>
    </row>
    <row r="7215" s="6" customFormat="1" spans="1:2">
      <c r="A7215" s="12">
        <f>DATE(2012,12,31)-365</f>
        <v>40909</v>
      </c>
      <c r="B7215" s="13">
        <v>187.88</v>
      </c>
    </row>
    <row r="7216" s="6" customFormat="1" spans="1:2">
      <c r="A7216" s="12">
        <f>DATE(2012,12,31)-579</f>
        <v>40695</v>
      </c>
      <c r="B7216" s="13">
        <v>470.11</v>
      </c>
    </row>
    <row r="7217" s="6" customFormat="1" spans="1:2">
      <c r="A7217" s="12">
        <f>DATE(2012,12,31)-579</f>
        <v>40695</v>
      </c>
      <c r="B7217" s="13">
        <v>10854.83</v>
      </c>
    </row>
    <row r="7218" s="6" customFormat="1" spans="1:2">
      <c r="A7218" s="12">
        <f>DATE(2012,12,31)-579</f>
        <v>40695</v>
      </c>
      <c r="B7218" s="13">
        <v>51.23</v>
      </c>
    </row>
    <row r="7219" s="6" customFormat="1" spans="1:2">
      <c r="A7219" s="12">
        <f>DATE(2012,12,31)-632</f>
        <v>40642</v>
      </c>
      <c r="B7219" s="13">
        <v>195.51</v>
      </c>
    </row>
    <row r="7220" s="6" customFormat="1" spans="1:2">
      <c r="A7220" s="12">
        <f>DATE(2012,12,31)-632</f>
        <v>40642</v>
      </c>
      <c r="B7220" s="13">
        <v>4992.63</v>
      </c>
    </row>
    <row r="7221" s="6" customFormat="1" spans="1:2">
      <c r="A7221" s="12">
        <f>DATE(2012,12,31)-477</f>
        <v>40797</v>
      </c>
      <c r="B7221" s="13">
        <v>248.92</v>
      </c>
    </row>
    <row r="7222" s="6" customFormat="1" spans="1:2">
      <c r="A7222" s="12">
        <f>DATE(2012,12,31)-653</f>
        <v>40621</v>
      </c>
      <c r="B7222" s="13">
        <v>133.07</v>
      </c>
    </row>
    <row r="7223" spans="1:2">
      <c r="A7223" s="14">
        <f>DATE(2012,12,31)-1213</f>
        <v>40061</v>
      </c>
      <c r="B7223" s="15">
        <v>194.09</v>
      </c>
    </row>
    <row r="7224" s="6" customFormat="1" spans="1:2">
      <c r="A7224" s="12">
        <f>DATE(2012,12,31)-179</f>
        <v>41095</v>
      </c>
      <c r="B7224" s="13">
        <v>12.11</v>
      </c>
    </row>
    <row r="7225" spans="1:2">
      <c r="A7225" s="14">
        <f>DATE(2012,12,31)-681</f>
        <v>40593</v>
      </c>
      <c r="B7225" s="15">
        <v>3465.97</v>
      </c>
    </row>
    <row r="7226" s="6" customFormat="1" spans="1:2">
      <c r="A7226" s="12">
        <f>DATE(2012,12,31)-681</f>
        <v>40593</v>
      </c>
      <c r="B7226" s="13">
        <v>1307.88</v>
      </c>
    </row>
    <row r="7227" s="6" customFormat="1" spans="1:2">
      <c r="A7227" s="12">
        <f>DATE(2012,12,31)-891</f>
        <v>40383</v>
      </c>
      <c r="B7227" s="13">
        <v>1846.2</v>
      </c>
    </row>
    <row r="7228" spans="1:2">
      <c r="A7228" s="14">
        <f>DATE(2012,12,31)-891</f>
        <v>40383</v>
      </c>
      <c r="B7228" s="15">
        <v>32.03</v>
      </c>
    </row>
    <row r="7229" spans="1:2">
      <c r="A7229" s="14">
        <f>DATE(2012,12,31)-891</f>
        <v>40383</v>
      </c>
      <c r="B7229" s="15">
        <v>185.82</v>
      </c>
    </row>
    <row r="7230" spans="1:2">
      <c r="A7230" s="14">
        <f>DATE(2012,12,31)-891</f>
        <v>40383</v>
      </c>
      <c r="B7230" s="15">
        <v>372.69</v>
      </c>
    </row>
    <row r="7231" s="6" customFormat="1" spans="1:2">
      <c r="A7231" s="12">
        <f>DATE(2012,12,31)-416</f>
        <v>40858</v>
      </c>
      <c r="B7231" s="13">
        <v>646.55</v>
      </c>
    </row>
    <row r="7232" s="6" customFormat="1" spans="1:2">
      <c r="A7232" s="12">
        <f>DATE(2012,12,31)-416</f>
        <v>40858</v>
      </c>
      <c r="B7232" s="13">
        <v>1875.18</v>
      </c>
    </row>
    <row r="7233" s="6" customFormat="1" spans="1:2">
      <c r="A7233" s="12">
        <f>DATE(2012,12,31)-416</f>
        <v>40858</v>
      </c>
      <c r="B7233" s="13">
        <v>3587.72</v>
      </c>
    </row>
    <row r="7234" spans="1:2">
      <c r="A7234" s="14">
        <f>DATE(2012,12,31)-10</f>
        <v>41264</v>
      </c>
      <c r="B7234" s="15">
        <v>1390.17</v>
      </c>
    </row>
    <row r="7235" s="6" customFormat="1" spans="1:2">
      <c r="A7235" s="12">
        <f>DATE(2012,12,31)-829</f>
        <v>40445</v>
      </c>
      <c r="B7235" s="13">
        <v>104.51</v>
      </c>
    </row>
    <row r="7236" s="6" customFormat="1" spans="1:2">
      <c r="A7236" s="12">
        <f>DATE(2012,12,31)-1315</f>
        <v>39959</v>
      </c>
      <c r="B7236" s="13">
        <v>227.5</v>
      </c>
    </row>
    <row r="7237" s="6" customFormat="1" spans="1:2">
      <c r="A7237" s="12">
        <f>DATE(2012,12,31)-1315</f>
        <v>39959</v>
      </c>
      <c r="B7237" s="13">
        <v>2292.1015</v>
      </c>
    </row>
    <row r="7238" s="6" customFormat="1" spans="1:2">
      <c r="A7238" s="12">
        <f>DATE(2012,12,31)-399</f>
        <v>40875</v>
      </c>
      <c r="B7238" s="13">
        <v>54.22</v>
      </c>
    </row>
    <row r="7239" s="6" customFormat="1" spans="1:2">
      <c r="A7239" s="12">
        <f>DATE(2012,12,31)-399</f>
        <v>40875</v>
      </c>
      <c r="B7239" s="13">
        <v>431.11</v>
      </c>
    </row>
    <row r="7240" s="6" customFormat="1" spans="1:2">
      <c r="A7240" s="12">
        <f>DATE(2012,12,31)-252</f>
        <v>41022</v>
      </c>
      <c r="B7240" s="13">
        <v>2193.93</v>
      </c>
    </row>
    <row r="7241" s="6" customFormat="1" spans="1:2">
      <c r="A7241" s="12">
        <f>DATE(2012,12,31)-252</f>
        <v>41022</v>
      </c>
      <c r="B7241" s="13">
        <v>812.498</v>
      </c>
    </row>
    <row r="7242" s="6" customFormat="1" spans="1:2">
      <c r="A7242" s="12">
        <f>DATE(2012,12,31)-252</f>
        <v>41022</v>
      </c>
      <c r="B7242" s="13">
        <v>4657.6515</v>
      </c>
    </row>
    <row r="7243" s="6" customFormat="1" spans="1:2">
      <c r="A7243" s="12">
        <f>DATE(2012,12,31)-1335</f>
        <v>39939</v>
      </c>
      <c r="B7243" s="13">
        <v>265.92</v>
      </c>
    </row>
    <row r="7244" s="6" customFormat="1" spans="1:2">
      <c r="A7244" s="12">
        <f>DATE(2012,12,31)-300</f>
        <v>40974</v>
      </c>
      <c r="B7244" s="13">
        <v>95.0555</v>
      </c>
    </row>
    <row r="7245" s="6" customFormat="1" spans="1:2">
      <c r="A7245" s="12">
        <f>DATE(2012,12,31)-860</f>
        <v>40414</v>
      </c>
      <c r="B7245" s="13">
        <v>1382.31</v>
      </c>
    </row>
    <row r="7246" s="6" customFormat="1" spans="1:2">
      <c r="A7246" s="12">
        <f>DATE(2012,12,31)-860</f>
        <v>40414</v>
      </c>
      <c r="B7246" s="13">
        <v>991.36</v>
      </c>
    </row>
    <row r="7247" s="6" customFormat="1" spans="1:2">
      <c r="A7247" s="12">
        <f>DATE(2012,12,31)-487</f>
        <v>40787</v>
      </c>
      <c r="B7247" s="13">
        <v>206.34</v>
      </c>
    </row>
    <row r="7248" s="6" customFormat="1" spans="1:2">
      <c r="A7248" s="12">
        <f>DATE(2012,12,31)-1403</f>
        <v>39871</v>
      </c>
      <c r="B7248" s="13">
        <v>11613.13</v>
      </c>
    </row>
    <row r="7249" s="6" customFormat="1" spans="1:2">
      <c r="A7249" s="12">
        <f>DATE(2012,12,31)-594</f>
        <v>40680</v>
      </c>
      <c r="B7249" s="13">
        <v>503.3275</v>
      </c>
    </row>
    <row r="7250" s="6" customFormat="1" spans="1:2">
      <c r="A7250" s="12">
        <f>DATE(2012,12,31)-75</f>
        <v>41199</v>
      </c>
      <c r="B7250" s="13">
        <v>65.5</v>
      </c>
    </row>
    <row r="7251" s="6" customFormat="1" spans="1:2">
      <c r="A7251" s="12">
        <f>DATE(2012,12,31)-1347</f>
        <v>39927</v>
      </c>
      <c r="B7251" s="13">
        <v>113.19</v>
      </c>
    </row>
    <row r="7252" s="6" customFormat="1" spans="1:2">
      <c r="A7252" s="12">
        <f>DATE(2012,12,31)-1347</f>
        <v>39927</v>
      </c>
      <c r="B7252" s="13">
        <v>196.04</v>
      </c>
    </row>
    <row r="7253" s="6" customFormat="1" spans="1:2">
      <c r="A7253" s="12">
        <f>DATE(2012,12,31)-1347</f>
        <v>39927</v>
      </c>
      <c r="B7253" s="13">
        <v>140.02</v>
      </c>
    </row>
    <row r="7254" s="6" customFormat="1" spans="1:2">
      <c r="A7254" s="12">
        <f>DATE(2012,12,31)-1213</f>
        <v>40061</v>
      </c>
      <c r="B7254" s="13">
        <v>3231.564</v>
      </c>
    </row>
    <row r="7255" s="6" customFormat="1" spans="1:2">
      <c r="A7255" s="12">
        <f>DATE(2012,12,31)-484</f>
        <v>40790</v>
      </c>
      <c r="B7255" s="13">
        <v>196.98</v>
      </c>
    </row>
    <row r="7256" s="6" customFormat="1" spans="1:2">
      <c r="A7256" s="12">
        <f>DATE(2012,12,31)-484</f>
        <v>40790</v>
      </c>
      <c r="B7256" s="13">
        <v>1756.695</v>
      </c>
    </row>
    <row r="7257" s="6" customFormat="1" spans="1:2">
      <c r="A7257" s="12">
        <f>DATE(2012,12,31)-355</f>
        <v>40919</v>
      </c>
      <c r="B7257" s="13">
        <v>171.71</v>
      </c>
    </row>
    <row r="7258" s="6" customFormat="1" spans="1:2">
      <c r="A7258" s="12">
        <f>DATE(2012,12,31)-455</f>
        <v>40819</v>
      </c>
      <c r="B7258" s="13">
        <v>1326.04</v>
      </c>
    </row>
    <row r="7259" s="6" customFormat="1" spans="1:2">
      <c r="A7259" s="12">
        <f>DATE(2012,12,31)-455</f>
        <v>40819</v>
      </c>
      <c r="B7259" s="13">
        <v>3881.89</v>
      </c>
    </row>
    <row r="7260" s="6" customFormat="1" spans="1:2">
      <c r="A7260" s="12">
        <f>DATE(2012,12,31)-705</f>
        <v>40569</v>
      </c>
      <c r="B7260" s="13">
        <v>1290.37</v>
      </c>
    </row>
    <row r="7261" s="6" customFormat="1" spans="1:2">
      <c r="A7261" s="12">
        <f>DATE(2012,12,31)-705</f>
        <v>40569</v>
      </c>
      <c r="B7261" s="13">
        <v>23.18</v>
      </c>
    </row>
    <row r="7262" s="6" customFormat="1" spans="1:2">
      <c r="A7262" s="12">
        <f>DATE(2012,12,31)-1109</f>
        <v>40165</v>
      </c>
      <c r="B7262" s="13">
        <v>1064.7865</v>
      </c>
    </row>
    <row r="7263" s="6" customFormat="1" spans="1:2">
      <c r="A7263" s="12">
        <f>DATE(2012,12,31)-1306</f>
        <v>39968</v>
      </c>
      <c r="B7263" s="13">
        <v>2489.85</v>
      </c>
    </row>
    <row r="7264" s="6" customFormat="1" spans="1:2">
      <c r="A7264" s="12">
        <f>DATE(2012,12,31)-317</f>
        <v>40957</v>
      </c>
      <c r="B7264" s="13">
        <v>1884.208</v>
      </c>
    </row>
    <row r="7265" s="6" customFormat="1" spans="1:2">
      <c r="A7265" s="12">
        <f>DATE(2012,12,31)-317</f>
        <v>40957</v>
      </c>
      <c r="B7265" s="13">
        <v>93.3385</v>
      </c>
    </row>
    <row r="7266" s="6" customFormat="1" spans="1:2">
      <c r="A7266" s="12">
        <f>DATE(2012,12,31)-1286</f>
        <v>39988</v>
      </c>
      <c r="B7266" s="13">
        <v>392.81</v>
      </c>
    </row>
    <row r="7267" s="6" customFormat="1" spans="1:2">
      <c r="A7267" s="12">
        <f>DATE(2012,12,31)-1286</f>
        <v>39988</v>
      </c>
      <c r="B7267" s="13">
        <v>375.76</v>
      </c>
    </row>
    <row r="7268" s="6" customFormat="1" spans="1:2">
      <c r="A7268" s="12">
        <f>DATE(2012,12,31)-261</f>
        <v>41013</v>
      </c>
      <c r="B7268" s="13">
        <v>68.54</v>
      </c>
    </row>
    <row r="7269" s="6" customFormat="1" spans="1:2">
      <c r="A7269" s="12">
        <f>DATE(2012,12,31)-261</f>
        <v>41013</v>
      </c>
      <c r="B7269" s="13">
        <v>10351.01</v>
      </c>
    </row>
    <row r="7270" s="6" customFormat="1" spans="1:2">
      <c r="A7270" s="12">
        <f>DATE(2012,12,31)-1130</f>
        <v>40144</v>
      </c>
      <c r="B7270" s="13">
        <v>20872.16</v>
      </c>
    </row>
    <row r="7271" s="6" customFormat="1" spans="1:2">
      <c r="A7271" s="12">
        <f>DATE(2012,12,31)-151</f>
        <v>41123</v>
      </c>
      <c r="B7271" s="13">
        <v>2006.38</v>
      </c>
    </row>
    <row r="7272" s="6" customFormat="1" spans="1:2">
      <c r="A7272" s="12">
        <f>DATE(2012,12,31)-353</f>
        <v>40921</v>
      </c>
      <c r="B7272" s="13">
        <v>163.27</v>
      </c>
    </row>
    <row r="7273" s="6" customFormat="1" spans="1:2">
      <c r="A7273" s="12">
        <f>DATE(2012,12,31)-353</f>
        <v>40921</v>
      </c>
      <c r="B7273" s="13">
        <v>24559.91</v>
      </c>
    </row>
    <row r="7274" s="6" customFormat="1" spans="1:2">
      <c r="A7274" s="12">
        <f>DATE(2012,12,31)-353</f>
        <v>40921</v>
      </c>
      <c r="B7274" s="13">
        <v>1217.5</v>
      </c>
    </row>
    <row r="7275" s="6" customFormat="1" spans="1:2">
      <c r="A7275" s="12">
        <f>DATE(2012,12,31)-353</f>
        <v>40921</v>
      </c>
      <c r="B7275" s="13">
        <v>441.53</v>
      </c>
    </row>
    <row r="7276" s="6" customFormat="1" spans="1:2">
      <c r="A7276" s="12">
        <f>DATE(2012,12,31)-1126</f>
        <v>40148</v>
      </c>
      <c r="B7276" s="13">
        <v>67.97</v>
      </c>
    </row>
    <row r="7277" s="6" customFormat="1" spans="1:2">
      <c r="A7277" s="12">
        <f>DATE(2012,12,31)-400</f>
        <v>40874</v>
      </c>
      <c r="B7277" s="13">
        <v>136.85</v>
      </c>
    </row>
    <row r="7278" s="6" customFormat="1" spans="1:2">
      <c r="A7278" s="12">
        <f>DATE(2012,12,31)-400</f>
        <v>40874</v>
      </c>
      <c r="B7278" s="13">
        <v>12.74</v>
      </c>
    </row>
    <row r="7279" s="6" customFormat="1" spans="1:2">
      <c r="A7279" s="12">
        <f>DATE(2012,12,31)-1027</f>
        <v>40247</v>
      </c>
      <c r="B7279" s="13">
        <v>812.06</v>
      </c>
    </row>
    <row r="7280" s="6" customFormat="1" spans="1:2">
      <c r="A7280" s="12">
        <f>DATE(2012,12,31)-841</f>
        <v>40433</v>
      </c>
      <c r="B7280" s="13">
        <v>104.27</v>
      </c>
    </row>
    <row r="7281" s="6" customFormat="1" spans="1:2">
      <c r="A7281" s="12">
        <f>DATE(2012,12,31)-770</f>
        <v>40504</v>
      </c>
      <c r="B7281" s="13">
        <v>13.52</v>
      </c>
    </row>
    <row r="7282" s="6" customFormat="1" spans="1:2">
      <c r="A7282" s="12">
        <f>DATE(2012,12,31)-117</f>
        <v>41157</v>
      </c>
      <c r="B7282" s="13">
        <v>63.33</v>
      </c>
    </row>
    <row r="7283" s="6" customFormat="1" spans="1:2">
      <c r="A7283" s="12">
        <f>DATE(2012,12,31)-117</f>
        <v>41157</v>
      </c>
      <c r="B7283" s="13">
        <v>1436.55</v>
      </c>
    </row>
    <row r="7284" s="6" customFormat="1" spans="1:2">
      <c r="A7284" s="12">
        <f>DATE(2012,12,31)-1013</f>
        <v>40261</v>
      </c>
      <c r="B7284" s="13">
        <v>3922.96</v>
      </c>
    </row>
    <row r="7285" s="6" customFormat="1" spans="1:2">
      <c r="A7285" s="12">
        <f>DATE(2012,12,31)-547</f>
        <v>40727</v>
      </c>
      <c r="B7285" s="13">
        <v>15.6</v>
      </c>
    </row>
    <row r="7286" s="6" customFormat="1" spans="1:2">
      <c r="A7286" s="12">
        <f>DATE(2012,12,31)-547</f>
        <v>40727</v>
      </c>
      <c r="B7286" s="13">
        <v>631.499</v>
      </c>
    </row>
    <row r="7287" s="6" customFormat="1" spans="1:2">
      <c r="A7287" s="12">
        <f>DATE(2012,12,31)-426</f>
        <v>40848</v>
      </c>
      <c r="B7287" s="13">
        <v>261.16</v>
      </c>
    </row>
    <row r="7288" s="6" customFormat="1" spans="1:2">
      <c r="A7288" s="12">
        <f>DATE(2012,12,31)-426</f>
        <v>40848</v>
      </c>
      <c r="B7288" s="13">
        <v>155.22</v>
      </c>
    </row>
    <row r="7289" s="6" customFormat="1" spans="1:2">
      <c r="A7289" s="12">
        <f>DATE(2012,12,31)-262</f>
        <v>41012</v>
      </c>
      <c r="B7289" s="13">
        <v>1824.848</v>
      </c>
    </row>
    <row r="7290" spans="1:2">
      <c r="A7290" s="14">
        <f>DATE(2012,12,31)-1032</f>
        <v>40242</v>
      </c>
      <c r="B7290" s="15">
        <v>17.89</v>
      </c>
    </row>
    <row r="7291" s="6" customFormat="1" spans="1:2">
      <c r="A7291" s="12">
        <f>DATE(2012,12,31)-1032</f>
        <v>40242</v>
      </c>
      <c r="B7291" s="13">
        <v>137.18</v>
      </c>
    </row>
    <row r="7292" s="6" customFormat="1" spans="1:2">
      <c r="A7292" s="12">
        <f>DATE(2012,12,31)-751</f>
        <v>40523</v>
      </c>
      <c r="B7292" s="13">
        <v>612.93</v>
      </c>
    </row>
    <row r="7293" s="6" customFormat="1" spans="1:2">
      <c r="A7293" s="12">
        <f>DATE(2012,12,31)-751</f>
        <v>40523</v>
      </c>
      <c r="B7293" s="13">
        <v>1551.34</v>
      </c>
    </row>
    <row r="7294" s="6" customFormat="1" spans="1:2">
      <c r="A7294" s="12">
        <f>DATE(2012,12,31)-432</f>
        <v>40842</v>
      </c>
      <c r="B7294" s="13">
        <v>267</v>
      </c>
    </row>
    <row r="7295" s="6" customFormat="1" spans="1:2">
      <c r="A7295" s="12">
        <f>DATE(2012,12,31)-1066</f>
        <v>40208</v>
      </c>
      <c r="B7295" s="13">
        <v>3.85</v>
      </c>
    </row>
    <row r="7296" s="6" customFormat="1" spans="1:2">
      <c r="A7296" s="12">
        <f>DATE(2012,12,31)-1066</f>
        <v>40208</v>
      </c>
      <c r="B7296" s="13">
        <v>547.0005</v>
      </c>
    </row>
    <row r="7297" s="6" customFormat="1" spans="1:2">
      <c r="A7297" s="12">
        <f>DATE(2012,12,31)-149</f>
        <v>41125</v>
      </c>
      <c r="B7297" s="13">
        <v>91.94</v>
      </c>
    </row>
    <row r="7298" s="6" customFormat="1" spans="1:2">
      <c r="A7298" s="12">
        <f>DATE(2012,12,31)-149</f>
        <v>41125</v>
      </c>
      <c r="B7298" s="13">
        <v>377.03</v>
      </c>
    </row>
    <row r="7299" s="6" customFormat="1" spans="1:2">
      <c r="A7299" s="12">
        <f>DATE(2012,12,31)-705</f>
        <v>40569</v>
      </c>
      <c r="B7299" s="13">
        <v>92.24</v>
      </c>
    </row>
    <row r="7300" s="6" customFormat="1" spans="1:2">
      <c r="A7300" s="12">
        <f>DATE(2012,12,31)-263</f>
        <v>41011</v>
      </c>
      <c r="B7300" s="13">
        <v>131.09</v>
      </c>
    </row>
    <row r="7301" s="6" customFormat="1" spans="1:2">
      <c r="A7301" s="12">
        <f>DATE(2012,12,31)-263</f>
        <v>41011</v>
      </c>
      <c r="B7301" s="13">
        <v>1817.9</v>
      </c>
    </row>
    <row r="7302" s="6" customFormat="1" spans="1:2">
      <c r="A7302" s="12">
        <f>DATE(2012,12,31)-1418</f>
        <v>39856</v>
      </c>
      <c r="B7302" s="13">
        <v>240.52</v>
      </c>
    </row>
    <row r="7303" s="6" customFormat="1" spans="1:2">
      <c r="A7303" s="12">
        <f>DATE(2012,12,31)-123</f>
        <v>41151</v>
      </c>
      <c r="B7303" s="13">
        <v>2700.78</v>
      </c>
    </row>
    <row r="7304" s="6" customFormat="1" spans="1:2">
      <c r="A7304" s="12">
        <f>DATE(2012,12,31)-788</f>
        <v>40486</v>
      </c>
      <c r="B7304" s="13">
        <v>1236.954</v>
      </c>
    </row>
    <row r="7305" s="6" customFormat="1" spans="1:2">
      <c r="A7305" s="12">
        <f>DATE(2012,12,31)-1420</f>
        <v>39854</v>
      </c>
      <c r="B7305" s="13">
        <v>63.85</v>
      </c>
    </row>
    <row r="7306" s="6" customFormat="1" spans="1:2">
      <c r="A7306" s="12">
        <f>DATE(2012,12,31)-620</f>
        <v>40654</v>
      </c>
      <c r="B7306" s="13">
        <v>10261.25</v>
      </c>
    </row>
    <row r="7307" s="6" customFormat="1" spans="1:2">
      <c r="A7307" s="12">
        <f>DATE(2012,12,31)-509</f>
        <v>40765</v>
      </c>
      <c r="B7307" s="13">
        <v>1410.44</v>
      </c>
    </row>
    <row r="7308" s="6" customFormat="1" spans="1:2">
      <c r="A7308" s="12">
        <f>DATE(2012,12,31)-224</f>
        <v>41050</v>
      </c>
      <c r="B7308" s="13">
        <v>1134.05</v>
      </c>
    </row>
    <row r="7309" s="6" customFormat="1" spans="1:2">
      <c r="A7309" s="12">
        <f>DATE(2012,12,31)-224</f>
        <v>41050</v>
      </c>
      <c r="B7309" s="13">
        <v>1470.0495</v>
      </c>
    </row>
    <row r="7310" s="6" customFormat="1" spans="1:2">
      <c r="A7310" s="12">
        <f>DATE(2012,12,31)-1159</f>
        <v>40115</v>
      </c>
      <c r="B7310" s="13">
        <v>287.54</v>
      </c>
    </row>
    <row r="7311" s="6" customFormat="1" spans="1:2">
      <c r="A7311" s="12">
        <f>DATE(2012,12,31)-1159</f>
        <v>40115</v>
      </c>
      <c r="B7311" s="13">
        <v>88.315</v>
      </c>
    </row>
    <row r="7312" s="6" customFormat="1" spans="1:2">
      <c r="A7312" s="12">
        <f>DATE(2012,12,31)-820</f>
        <v>40454</v>
      </c>
      <c r="B7312" s="13">
        <v>2379.15</v>
      </c>
    </row>
    <row r="7313" s="6" customFormat="1" spans="1:2">
      <c r="A7313" s="12">
        <f>DATE(2012,12,31)-626</f>
        <v>40648</v>
      </c>
      <c r="B7313" s="13">
        <v>31.14</v>
      </c>
    </row>
    <row r="7314" s="6" customFormat="1" spans="1:2">
      <c r="A7314" s="12">
        <f>DATE(2012,12,31)-98</f>
        <v>41176</v>
      </c>
      <c r="B7314" s="13">
        <v>112.6</v>
      </c>
    </row>
    <row r="7315" s="6" customFormat="1" spans="1:2">
      <c r="A7315" s="12">
        <f>DATE(2012,12,31)-422</f>
        <v>40852</v>
      </c>
      <c r="B7315" s="13">
        <v>617.26</v>
      </c>
    </row>
    <row r="7316" s="6" customFormat="1" spans="1:2">
      <c r="A7316" s="12">
        <f>DATE(2012,12,31)-422</f>
        <v>40852</v>
      </c>
      <c r="B7316" s="13">
        <v>13104.992</v>
      </c>
    </row>
    <row r="7317" s="6" customFormat="1" spans="1:2">
      <c r="A7317" s="12">
        <f>DATE(2012,12,31)-1063</f>
        <v>40211</v>
      </c>
      <c r="B7317" s="13">
        <v>5.7</v>
      </c>
    </row>
    <row r="7318" s="6" customFormat="1" spans="1:2">
      <c r="A7318" s="12">
        <f>DATE(2012,12,31)-185</f>
        <v>41089</v>
      </c>
      <c r="B7318" s="13">
        <v>757.11</v>
      </c>
    </row>
    <row r="7319" spans="1:2">
      <c r="A7319" s="14">
        <f>DATE(2012,12,31)-170</f>
        <v>41104</v>
      </c>
      <c r="B7319" s="15">
        <v>5126.3</v>
      </c>
    </row>
    <row r="7320" s="6" customFormat="1" spans="1:2">
      <c r="A7320" s="12">
        <f>DATE(2012,12,31)-880</f>
        <v>40394</v>
      </c>
      <c r="B7320" s="13">
        <v>152.28</v>
      </c>
    </row>
    <row r="7321" s="6" customFormat="1" spans="1:2">
      <c r="A7321" s="12">
        <f>DATE(2012,12,31)-377</f>
        <v>40897</v>
      </c>
      <c r="B7321" s="13">
        <v>3853.47</v>
      </c>
    </row>
    <row r="7322" s="6" customFormat="1" spans="1:2">
      <c r="A7322" s="12">
        <f>DATE(2012,12,31)-377</f>
        <v>40897</v>
      </c>
      <c r="B7322" s="13">
        <v>28.23</v>
      </c>
    </row>
    <row r="7323" s="6" customFormat="1" spans="1:2">
      <c r="A7323" s="12">
        <f>DATE(2012,12,31)-1215</f>
        <v>40059</v>
      </c>
      <c r="B7323" s="13">
        <v>541.47</v>
      </c>
    </row>
    <row r="7324" s="6" customFormat="1" spans="1:2">
      <c r="A7324" s="12">
        <f>DATE(2012,12,31)-1456</f>
        <v>39818</v>
      </c>
      <c r="B7324" s="13">
        <v>700.73</v>
      </c>
    </row>
    <row r="7325" s="6" customFormat="1" spans="1:2">
      <c r="A7325" s="12">
        <f>DATE(2012,12,31)-437</f>
        <v>40837</v>
      </c>
      <c r="B7325" s="13">
        <v>655.33</v>
      </c>
    </row>
    <row r="7326" spans="1:2">
      <c r="A7326" s="14">
        <f>DATE(2012,12,31)-1115</f>
        <v>40159</v>
      </c>
      <c r="B7326" s="15">
        <v>1072.36</v>
      </c>
    </row>
    <row r="7327" s="6" customFormat="1" spans="1:2">
      <c r="A7327" s="12">
        <f>DATE(2012,12,31)-1115</f>
        <v>40159</v>
      </c>
      <c r="B7327" s="13">
        <v>857.84</v>
      </c>
    </row>
    <row r="7328" s="6" customFormat="1" spans="1:2">
      <c r="A7328" s="12">
        <f>DATE(2012,12,31)-1430</f>
        <v>39844</v>
      </c>
      <c r="B7328" s="13">
        <v>49.81</v>
      </c>
    </row>
    <row r="7329" s="6" customFormat="1" spans="1:2">
      <c r="A7329" s="12">
        <f>DATE(2012,12,31)-1430</f>
        <v>39844</v>
      </c>
      <c r="B7329" s="13">
        <v>9141.64</v>
      </c>
    </row>
    <row r="7330" spans="1:2">
      <c r="A7330" s="14">
        <f>DATE(2012,12,31)-104</f>
        <v>41170</v>
      </c>
      <c r="B7330" s="15">
        <v>3500.49</v>
      </c>
    </row>
    <row r="7331" s="6" customFormat="1" spans="1:2">
      <c r="A7331" s="12">
        <f>DATE(2012,12,31)-630</f>
        <v>40644</v>
      </c>
      <c r="B7331" s="13">
        <v>1734.4</v>
      </c>
    </row>
    <row r="7332" s="6" customFormat="1" spans="1:2">
      <c r="A7332" s="12">
        <f>DATE(2012,12,31)-630</f>
        <v>40644</v>
      </c>
      <c r="B7332" s="13">
        <v>1128.03</v>
      </c>
    </row>
    <row r="7333" s="6" customFormat="1" spans="1:2">
      <c r="A7333" s="12">
        <f>DATE(2012,12,31)-843</f>
        <v>40431</v>
      </c>
      <c r="B7333" s="13">
        <v>6767.43</v>
      </c>
    </row>
    <row r="7334" s="6" customFormat="1" spans="1:2">
      <c r="A7334" s="12">
        <f>DATE(2012,12,31)-888</f>
        <v>40386</v>
      </c>
      <c r="B7334" s="13">
        <v>1020.88</v>
      </c>
    </row>
    <row r="7335" s="6" customFormat="1" spans="1:2">
      <c r="A7335" s="12">
        <f>DATE(2012,12,31)-700</f>
        <v>40574</v>
      </c>
      <c r="B7335" s="13">
        <v>848.2</v>
      </c>
    </row>
    <row r="7336" s="6" customFormat="1" spans="1:2">
      <c r="A7336" s="12">
        <f>DATE(2012,12,31)-700</f>
        <v>40574</v>
      </c>
      <c r="B7336" s="13">
        <v>717.21</v>
      </c>
    </row>
    <row r="7337" s="6" customFormat="1" spans="1:2">
      <c r="A7337" s="12">
        <f>DATE(2012,12,31)-727</f>
        <v>40547</v>
      </c>
      <c r="B7337" s="13">
        <v>11883.2</v>
      </c>
    </row>
    <row r="7338" s="6" customFormat="1" spans="1:2">
      <c r="A7338" s="12">
        <f>DATE(2012,12,31)-1309</f>
        <v>39965</v>
      </c>
      <c r="B7338" s="13">
        <v>124.06</v>
      </c>
    </row>
    <row r="7339" s="6" customFormat="1" spans="1:2">
      <c r="A7339" s="12">
        <f>DATE(2012,12,31)-543</f>
        <v>40731</v>
      </c>
      <c r="B7339" s="13">
        <v>49.86</v>
      </c>
    </row>
    <row r="7340" spans="1:2">
      <c r="A7340" s="14">
        <f>DATE(2012,12,31)-543</f>
        <v>40731</v>
      </c>
      <c r="B7340" s="15">
        <v>197.49</v>
      </c>
    </row>
    <row r="7341" s="6" customFormat="1" spans="1:2">
      <c r="A7341" s="12">
        <f>DATE(2012,12,31)-361</f>
        <v>40913</v>
      </c>
      <c r="B7341" s="13">
        <v>4962.05</v>
      </c>
    </row>
    <row r="7342" s="6" customFormat="1" spans="1:2">
      <c r="A7342" s="12">
        <f>DATE(2012,12,31)-361</f>
        <v>40913</v>
      </c>
      <c r="B7342" s="13">
        <v>192.39</v>
      </c>
    </row>
    <row r="7343" s="6" customFormat="1" spans="1:2">
      <c r="A7343" s="12">
        <f>DATE(2012,12,31)-272</f>
        <v>41002</v>
      </c>
      <c r="B7343" s="13">
        <v>168.99</v>
      </c>
    </row>
    <row r="7344" s="6" customFormat="1" spans="1:2">
      <c r="A7344" s="12">
        <f>DATE(2012,12,31)-246</f>
        <v>41028</v>
      </c>
      <c r="B7344" s="13">
        <v>120.38</v>
      </c>
    </row>
    <row r="7345" s="6" customFormat="1" spans="1:2">
      <c r="A7345" s="12">
        <f>DATE(2012,12,31)-1374</f>
        <v>39900</v>
      </c>
      <c r="B7345" s="13">
        <v>958.18</v>
      </c>
    </row>
    <row r="7346" s="6" customFormat="1" spans="1:2">
      <c r="A7346" s="12">
        <f>DATE(2012,12,31)-665</f>
        <v>40609</v>
      </c>
      <c r="B7346" s="13">
        <v>6230.68</v>
      </c>
    </row>
    <row r="7347" s="6" customFormat="1" spans="1:2">
      <c r="A7347" s="12">
        <f>DATE(2012,12,31)-665</f>
        <v>40609</v>
      </c>
      <c r="B7347" s="13">
        <v>1391.816</v>
      </c>
    </row>
    <row r="7348" s="6" customFormat="1" spans="1:2">
      <c r="A7348" s="12">
        <f>DATE(2012,12,31)-125</f>
        <v>41149</v>
      </c>
      <c r="B7348" s="13">
        <v>367.09</v>
      </c>
    </row>
    <row r="7349" s="6" customFormat="1" spans="1:2">
      <c r="A7349" s="12">
        <f>DATE(2012,12,31)-125</f>
        <v>41149</v>
      </c>
      <c r="B7349" s="13">
        <v>139.66</v>
      </c>
    </row>
    <row r="7350" s="6" customFormat="1" spans="1:2">
      <c r="A7350" s="12">
        <f>DATE(2012,12,31)-1440</f>
        <v>39834</v>
      </c>
      <c r="B7350" s="13">
        <v>147.71</v>
      </c>
    </row>
    <row r="7351" s="6" customFormat="1" spans="1:2">
      <c r="A7351" s="12">
        <f>DATE(2012,12,31)-616</f>
        <v>40658</v>
      </c>
      <c r="B7351" s="13">
        <v>24.95</v>
      </c>
    </row>
    <row r="7352" spans="1:2">
      <c r="A7352" s="14">
        <f>DATE(2012,12,31)-1169</f>
        <v>40105</v>
      </c>
      <c r="B7352" s="15">
        <v>67.22</v>
      </c>
    </row>
    <row r="7353" s="6" customFormat="1" spans="1:2">
      <c r="A7353" s="12">
        <f>DATE(2012,12,31)-1169</f>
        <v>40105</v>
      </c>
      <c r="B7353" s="13">
        <v>76.85</v>
      </c>
    </row>
    <row r="7354" s="6" customFormat="1" spans="1:2">
      <c r="A7354" s="12">
        <f>DATE(2012,12,31)-730</f>
        <v>40544</v>
      </c>
      <c r="B7354" s="13">
        <v>1163.75</v>
      </c>
    </row>
    <row r="7355" s="6" customFormat="1" spans="1:2">
      <c r="A7355" s="12">
        <f>DATE(2012,12,31)-815</f>
        <v>40459</v>
      </c>
      <c r="B7355" s="13">
        <v>834.2155</v>
      </c>
    </row>
    <row r="7356" s="6" customFormat="1" spans="1:2">
      <c r="A7356" s="12">
        <f>DATE(2012,12,31)-566</f>
        <v>40708</v>
      </c>
      <c r="B7356" s="13">
        <v>742.84</v>
      </c>
    </row>
    <row r="7357" s="6" customFormat="1" spans="1:2">
      <c r="A7357" s="12">
        <f>DATE(2012,12,31)-566</f>
        <v>40708</v>
      </c>
      <c r="B7357" s="13">
        <v>2070.68</v>
      </c>
    </row>
    <row r="7358" s="6" customFormat="1" spans="1:2">
      <c r="A7358" s="12">
        <f>DATE(2012,12,31)-566</f>
        <v>40708</v>
      </c>
      <c r="B7358" s="13">
        <v>764.13</v>
      </c>
    </row>
    <row r="7359" s="6" customFormat="1" spans="1:2">
      <c r="A7359" s="12">
        <f>DATE(2012,12,31)-299</f>
        <v>40975</v>
      </c>
      <c r="B7359" s="13">
        <v>64.34</v>
      </c>
    </row>
    <row r="7360" s="6" customFormat="1" spans="1:2">
      <c r="A7360" s="12">
        <f>DATE(2012,12,31)-299</f>
        <v>40975</v>
      </c>
      <c r="B7360" s="13">
        <v>693.02</v>
      </c>
    </row>
    <row r="7361" s="6" customFormat="1" spans="1:2">
      <c r="A7361" s="12">
        <f>DATE(2012,12,31)-723</f>
        <v>40551</v>
      </c>
      <c r="B7361" s="13">
        <v>1499.5275</v>
      </c>
    </row>
    <row r="7362" s="6" customFormat="1" spans="1:2">
      <c r="A7362" s="12">
        <f>DATE(2012,12,31)-237</f>
        <v>41037</v>
      </c>
      <c r="B7362" s="13">
        <v>2045.066</v>
      </c>
    </row>
    <row r="7363" s="6" customFormat="1" spans="1:2">
      <c r="A7363" s="12">
        <f>DATE(2012,12,31)-237</f>
        <v>41037</v>
      </c>
      <c r="B7363" s="13">
        <v>26.41</v>
      </c>
    </row>
    <row r="7364" s="6" customFormat="1" spans="1:2">
      <c r="A7364" s="12">
        <f>DATE(2012,12,31)-448</f>
        <v>40826</v>
      </c>
      <c r="B7364" s="13">
        <v>20.25</v>
      </c>
    </row>
    <row r="7365" s="6" customFormat="1" spans="1:2">
      <c r="A7365" s="12">
        <f>DATE(2012,12,31)-448</f>
        <v>40826</v>
      </c>
      <c r="B7365" s="13">
        <v>52.62</v>
      </c>
    </row>
    <row r="7366" s="6" customFormat="1" spans="1:2">
      <c r="A7366" s="12">
        <f>DATE(2012,12,31)-125</f>
        <v>41149</v>
      </c>
      <c r="B7366" s="13">
        <v>979.44</v>
      </c>
    </row>
    <row r="7367" s="6" customFormat="1" spans="1:2">
      <c r="A7367" s="12">
        <f>DATE(2012,12,31)-155</f>
        <v>41119</v>
      </c>
      <c r="B7367" s="13">
        <v>112.79</v>
      </c>
    </row>
    <row r="7368" s="6" customFormat="1" spans="1:2">
      <c r="A7368" s="12">
        <f>DATE(2012,12,31)-175</f>
        <v>41099</v>
      </c>
      <c r="B7368" s="13">
        <v>1041.66</v>
      </c>
    </row>
    <row r="7369" s="6" customFormat="1" spans="1:2">
      <c r="A7369" s="12">
        <f>DATE(2012,12,31)-465</f>
        <v>40809</v>
      </c>
      <c r="B7369" s="13">
        <v>220.79</v>
      </c>
    </row>
    <row r="7370" s="6" customFormat="1" spans="1:2">
      <c r="A7370" s="12">
        <f>DATE(2012,12,31)-465</f>
        <v>40809</v>
      </c>
      <c r="B7370" s="13">
        <v>755.19</v>
      </c>
    </row>
    <row r="7371" spans="1:2">
      <c r="A7371" s="14">
        <f>DATE(2012,12,31)-465</f>
        <v>40809</v>
      </c>
      <c r="B7371" s="15">
        <v>201.14</v>
      </c>
    </row>
    <row r="7372" s="6" customFormat="1" spans="1:2">
      <c r="A7372" s="12">
        <f>DATE(2012,12,31)-784</f>
        <v>40490</v>
      </c>
      <c r="B7372" s="13">
        <v>125.54</v>
      </c>
    </row>
    <row r="7373" s="6" customFormat="1" spans="1:2">
      <c r="A7373" s="12">
        <f>DATE(2012,12,31)-911</f>
        <v>40363</v>
      </c>
      <c r="B7373" s="13">
        <v>5699.22</v>
      </c>
    </row>
    <row r="7374" s="6" customFormat="1" spans="1:2">
      <c r="A7374" s="12">
        <f>DATE(2012,12,31)-813</f>
        <v>40461</v>
      </c>
      <c r="B7374" s="13">
        <v>26.08</v>
      </c>
    </row>
    <row r="7375" s="6" customFormat="1" spans="1:2">
      <c r="A7375" s="12">
        <f>DATE(2012,12,31)-460</f>
        <v>40814</v>
      </c>
      <c r="B7375" s="13">
        <v>596.56</v>
      </c>
    </row>
    <row r="7376" spans="1:2">
      <c r="A7376" s="14">
        <f>DATE(2012,12,31)-767</f>
        <v>40507</v>
      </c>
      <c r="B7376" s="15">
        <v>667.55</v>
      </c>
    </row>
    <row r="7377" s="6" customFormat="1" spans="1:2">
      <c r="A7377" s="12">
        <f>DATE(2012,12,31)-373</f>
        <v>40901</v>
      </c>
      <c r="B7377" s="13">
        <v>317.82</v>
      </c>
    </row>
    <row r="7378" spans="1:2">
      <c r="A7378" s="14">
        <f>DATE(2012,12,31)-348</f>
        <v>40926</v>
      </c>
      <c r="B7378" s="15">
        <v>5934.39</v>
      </c>
    </row>
    <row r="7379" s="6" customFormat="1" spans="1:2">
      <c r="A7379" s="12">
        <f>DATE(2012,12,31)-995</f>
        <v>40279</v>
      </c>
      <c r="B7379" s="13">
        <v>30.17</v>
      </c>
    </row>
    <row r="7380" s="6" customFormat="1" spans="1:2">
      <c r="A7380" s="12">
        <f>DATE(2012,12,31)-995</f>
        <v>40279</v>
      </c>
      <c r="B7380" s="13">
        <v>1158.601</v>
      </c>
    </row>
    <row r="7381" s="6" customFormat="1" spans="1:2">
      <c r="A7381" s="12">
        <f>DATE(2012,12,31)-1236</f>
        <v>40038</v>
      </c>
      <c r="B7381" s="13">
        <v>1917.61</v>
      </c>
    </row>
    <row r="7382" s="6" customFormat="1" spans="1:2">
      <c r="A7382" s="12">
        <f>DATE(2012,12,31)-684</f>
        <v>40590</v>
      </c>
      <c r="B7382" s="13">
        <v>138.05</v>
      </c>
    </row>
    <row r="7383" s="6" customFormat="1" spans="1:2">
      <c r="A7383" s="12">
        <f>DATE(2012,12,31)-1393</f>
        <v>39881</v>
      </c>
      <c r="B7383" s="13">
        <v>118.51</v>
      </c>
    </row>
    <row r="7384" s="6" customFormat="1" spans="1:2">
      <c r="A7384" s="12">
        <f>DATE(2012,12,31)-801</f>
        <v>40473</v>
      </c>
      <c r="B7384" s="13">
        <v>48.26</v>
      </c>
    </row>
    <row r="7385" s="6" customFormat="1" spans="1:2">
      <c r="A7385" s="12">
        <f>DATE(2012,12,31)-801</f>
        <v>40473</v>
      </c>
      <c r="B7385" s="13">
        <v>1718.43</v>
      </c>
    </row>
    <row r="7386" s="6" customFormat="1" spans="1:2">
      <c r="A7386" s="12">
        <f>DATE(2012,12,31)-801</f>
        <v>40473</v>
      </c>
      <c r="B7386" s="13">
        <v>8920.08</v>
      </c>
    </row>
    <row r="7387" spans="1:2">
      <c r="A7387" s="14">
        <f>DATE(2012,12,31)-801</f>
        <v>40473</v>
      </c>
      <c r="B7387" s="15">
        <v>188.7</v>
      </c>
    </row>
    <row r="7388" s="6" customFormat="1" spans="1:2">
      <c r="A7388" s="12">
        <f>DATE(2012,12,31)-801</f>
        <v>40473</v>
      </c>
      <c r="B7388" s="13">
        <v>14358.64</v>
      </c>
    </row>
    <row r="7389" spans="1:2">
      <c r="A7389" s="14">
        <f>DATE(2012,12,31)-1227</f>
        <v>40047</v>
      </c>
      <c r="B7389" s="15">
        <v>2055.98</v>
      </c>
    </row>
    <row r="7390" s="6" customFormat="1" spans="1:2">
      <c r="A7390" s="12">
        <f>DATE(2012,12,31)-591</f>
        <v>40683</v>
      </c>
      <c r="B7390" s="13">
        <v>101.14</v>
      </c>
    </row>
    <row r="7391" s="6" customFormat="1" spans="1:2">
      <c r="A7391" s="12">
        <f>DATE(2012,12,31)-633</f>
        <v>40641</v>
      </c>
      <c r="B7391" s="13">
        <v>701.46</v>
      </c>
    </row>
    <row r="7392" s="6" customFormat="1" spans="1:2">
      <c r="A7392" s="12">
        <f>DATE(2012,12,31)-633</f>
        <v>40641</v>
      </c>
      <c r="B7392" s="13">
        <v>53.94</v>
      </c>
    </row>
    <row r="7393" s="6" customFormat="1" spans="1:2">
      <c r="A7393" s="12">
        <f>DATE(2012,12,31)-633</f>
        <v>40641</v>
      </c>
      <c r="B7393" s="13">
        <v>46.94</v>
      </c>
    </row>
    <row r="7394" s="6" customFormat="1" spans="1:2">
      <c r="A7394" s="12">
        <f>DATE(2012,12,31)-633</f>
        <v>40641</v>
      </c>
      <c r="B7394" s="13">
        <v>77.99</v>
      </c>
    </row>
    <row r="7395" s="6" customFormat="1" spans="1:2">
      <c r="A7395" s="12">
        <f>DATE(2012,12,31)-419</f>
        <v>40855</v>
      </c>
      <c r="B7395" s="13">
        <v>136.98</v>
      </c>
    </row>
    <row r="7396" spans="1:2">
      <c r="A7396" s="14">
        <f>DATE(2012,12,31)-419</f>
        <v>40855</v>
      </c>
      <c r="B7396" s="15">
        <v>225.17</v>
      </c>
    </row>
    <row r="7397" s="6" customFormat="1" spans="1:2">
      <c r="A7397" s="12">
        <f>DATE(2012,12,31)-419</f>
        <v>40855</v>
      </c>
      <c r="B7397" s="13">
        <v>1112.157</v>
      </c>
    </row>
    <row r="7398" s="6" customFormat="1" spans="1:2">
      <c r="A7398" s="12">
        <f>DATE(2012,12,31)-419</f>
        <v>40855</v>
      </c>
      <c r="B7398" s="13">
        <v>1865.5885</v>
      </c>
    </row>
    <row r="7399" spans="1:2">
      <c r="A7399" s="14">
        <f>DATE(2012,12,31)-233</f>
        <v>41041</v>
      </c>
      <c r="B7399" s="15">
        <v>26.23</v>
      </c>
    </row>
    <row r="7400" s="6" customFormat="1" spans="1:2">
      <c r="A7400" s="12">
        <f>DATE(2012,12,31)-858</f>
        <v>40416</v>
      </c>
      <c r="B7400" s="13">
        <v>210.46</v>
      </c>
    </row>
    <row r="7401" s="6" customFormat="1" spans="1:2">
      <c r="A7401" s="12">
        <f>DATE(2012,12,31)-523</f>
        <v>40751</v>
      </c>
      <c r="B7401" s="13">
        <v>92.15</v>
      </c>
    </row>
    <row r="7402" s="6" customFormat="1" spans="1:2">
      <c r="A7402" s="12">
        <f>DATE(2012,12,31)-1006</f>
        <v>40268</v>
      </c>
      <c r="B7402" s="13">
        <v>5735.79</v>
      </c>
    </row>
    <row r="7403" s="6" customFormat="1" spans="1:2">
      <c r="A7403" s="12">
        <f>DATE(2012,12,31)-291</f>
        <v>40983</v>
      </c>
      <c r="B7403" s="13">
        <v>33.39</v>
      </c>
    </row>
    <row r="7404" s="6" customFormat="1" spans="1:2">
      <c r="A7404" s="12">
        <f>DATE(2012,12,31)-250</f>
        <v>41024</v>
      </c>
      <c r="B7404" s="13">
        <v>43.61</v>
      </c>
    </row>
    <row r="7405" s="6" customFormat="1" spans="1:2">
      <c r="A7405" s="12">
        <f>DATE(2012,12,31)-250</f>
        <v>41024</v>
      </c>
      <c r="B7405" s="13">
        <v>343.05</v>
      </c>
    </row>
    <row r="7406" s="6" customFormat="1" spans="1:2">
      <c r="A7406" s="12">
        <f>DATE(2012,12,31)-250</f>
        <v>41024</v>
      </c>
      <c r="B7406" s="13">
        <v>44.63</v>
      </c>
    </row>
    <row r="7407" s="6" customFormat="1" spans="1:2">
      <c r="A7407" s="12">
        <f>DATE(2012,12,31)-233</f>
        <v>41041</v>
      </c>
      <c r="B7407" s="13">
        <v>187.13</v>
      </c>
    </row>
    <row r="7408" s="6" customFormat="1" spans="1:2">
      <c r="A7408" s="12">
        <f>DATE(2012,12,31)-233</f>
        <v>41041</v>
      </c>
      <c r="B7408" s="13">
        <v>2255.1945</v>
      </c>
    </row>
    <row r="7409" s="6" customFormat="1" spans="1:2">
      <c r="A7409" s="12">
        <f>DATE(2012,12,31)-1020</f>
        <v>40254</v>
      </c>
      <c r="B7409" s="13">
        <v>195.57</v>
      </c>
    </row>
    <row r="7410" s="6" customFormat="1" spans="1:2">
      <c r="A7410" s="12">
        <f>DATE(2012,12,31)-309</f>
        <v>40965</v>
      </c>
      <c r="B7410" s="13">
        <v>322.82</v>
      </c>
    </row>
    <row r="7411" s="6" customFormat="1" spans="1:2">
      <c r="A7411" s="12">
        <f>DATE(2012,12,31)-797</f>
        <v>40477</v>
      </c>
      <c r="B7411" s="13">
        <v>1323.31</v>
      </c>
    </row>
    <row r="7412" s="6" customFormat="1" spans="1:2">
      <c r="A7412" s="12">
        <f>DATE(2012,12,31)-1253</f>
        <v>40021</v>
      </c>
      <c r="B7412" s="13">
        <v>223.34</v>
      </c>
    </row>
    <row r="7413" s="6" customFormat="1" spans="1:2">
      <c r="A7413" s="12">
        <f>DATE(2012,12,31)-424</f>
        <v>40850</v>
      </c>
      <c r="B7413" s="13">
        <v>509.49</v>
      </c>
    </row>
    <row r="7414" s="6" customFormat="1" spans="1:2">
      <c r="A7414" s="12">
        <f>DATE(2012,12,31)-1015</f>
        <v>40259</v>
      </c>
      <c r="B7414" s="13">
        <v>739.07</v>
      </c>
    </row>
    <row r="7415" s="6" customFormat="1" spans="1:2">
      <c r="A7415" s="12">
        <f>DATE(2012,12,31)-1015</f>
        <v>40259</v>
      </c>
      <c r="B7415" s="13">
        <v>38.58</v>
      </c>
    </row>
    <row r="7416" s="6" customFormat="1" spans="1:2">
      <c r="A7416" s="12">
        <f>DATE(2012,12,31)-228</f>
        <v>41046</v>
      </c>
      <c r="B7416" s="13">
        <v>22.75</v>
      </c>
    </row>
    <row r="7417" s="6" customFormat="1" spans="1:2">
      <c r="A7417" s="12">
        <f>DATE(2012,12,31)-1218</f>
        <v>40056</v>
      </c>
      <c r="B7417" s="13">
        <v>265.75</v>
      </c>
    </row>
    <row r="7418" s="6" customFormat="1" spans="1:2">
      <c r="A7418" s="12">
        <f>DATE(2012,12,31)-600</f>
        <v>40674</v>
      </c>
      <c r="B7418" s="13">
        <v>1893.29</v>
      </c>
    </row>
    <row r="7419" s="6" customFormat="1" spans="1:2">
      <c r="A7419" s="12">
        <f>DATE(2012,12,31)-600</f>
        <v>40674</v>
      </c>
      <c r="B7419" s="13">
        <v>2628.047</v>
      </c>
    </row>
    <row r="7420" s="6" customFormat="1" spans="1:2">
      <c r="A7420" s="12">
        <f>DATE(2012,12,31)-1397</f>
        <v>39877</v>
      </c>
      <c r="B7420" s="13">
        <v>2051.8235</v>
      </c>
    </row>
    <row r="7421" s="6" customFormat="1" spans="1:2">
      <c r="A7421" s="12">
        <f>DATE(2012,12,31)-1397</f>
        <v>39877</v>
      </c>
      <c r="B7421" s="13">
        <v>185.79</v>
      </c>
    </row>
    <row r="7422" s="6" customFormat="1" spans="1:2">
      <c r="A7422" s="12">
        <f>DATE(2012,12,31)-1397</f>
        <v>39877</v>
      </c>
      <c r="B7422" s="13">
        <v>196.41</v>
      </c>
    </row>
    <row r="7423" s="6" customFormat="1" spans="1:2">
      <c r="A7423" s="12">
        <f>DATE(2012,12,31)-1397</f>
        <v>39877</v>
      </c>
      <c r="B7423" s="13">
        <v>186.67</v>
      </c>
    </row>
    <row r="7424" s="6" customFormat="1" spans="1:2">
      <c r="A7424" s="12">
        <f>DATE(2012,12,31)-1195</f>
        <v>40079</v>
      </c>
      <c r="B7424" s="13">
        <v>575.36</v>
      </c>
    </row>
    <row r="7425" s="6" customFormat="1" spans="1:2">
      <c r="A7425" s="12">
        <f>DATE(2012,12,31)-296</f>
        <v>40978</v>
      </c>
      <c r="B7425" s="13">
        <v>186.93</v>
      </c>
    </row>
    <row r="7426" s="6" customFormat="1" spans="1:2">
      <c r="A7426" s="12">
        <f>DATE(2012,12,31)-56</f>
        <v>41218</v>
      </c>
      <c r="B7426" s="13">
        <v>621.21</v>
      </c>
    </row>
    <row r="7427" s="6" customFormat="1" spans="1:2">
      <c r="A7427" s="12">
        <f>DATE(2012,12,31)-496</f>
        <v>40778</v>
      </c>
      <c r="B7427" s="13">
        <v>214.19</v>
      </c>
    </row>
    <row r="7428" s="6" customFormat="1" spans="1:2">
      <c r="A7428" s="12">
        <f>DATE(2012,12,31)-1194</f>
        <v>40080</v>
      </c>
      <c r="B7428" s="13">
        <v>268.18</v>
      </c>
    </row>
    <row r="7429" s="6" customFormat="1" spans="1:2">
      <c r="A7429" s="12">
        <f>DATE(2012,12,31)-1194</f>
        <v>40080</v>
      </c>
      <c r="B7429" s="13">
        <v>477.054</v>
      </c>
    </row>
    <row r="7430" s="6" customFormat="1" spans="1:2">
      <c r="A7430" s="12">
        <f>DATE(2012,12,31)-27</f>
        <v>41247</v>
      </c>
      <c r="B7430" s="13">
        <v>228.01</v>
      </c>
    </row>
    <row r="7431" s="6" customFormat="1" spans="1:2">
      <c r="A7431" s="12">
        <f>DATE(2012,12,31)-309</f>
        <v>40965</v>
      </c>
      <c r="B7431" s="13">
        <v>433.44</v>
      </c>
    </row>
    <row r="7432" s="6" customFormat="1" spans="1:2">
      <c r="A7432" s="12">
        <f>DATE(2012,12,31)-1169</f>
        <v>40105</v>
      </c>
      <c r="B7432" s="13">
        <v>21.71</v>
      </c>
    </row>
    <row r="7433" spans="1:2">
      <c r="A7433" s="14">
        <f>DATE(2012,12,31)-170</f>
        <v>41104</v>
      </c>
      <c r="B7433" s="15">
        <v>13.29</v>
      </c>
    </row>
    <row r="7434" s="6" customFormat="1" spans="1:2">
      <c r="A7434" s="12">
        <f>DATE(2012,12,31)-794</f>
        <v>40480</v>
      </c>
      <c r="B7434" s="13">
        <v>2423.06</v>
      </c>
    </row>
    <row r="7435" s="6" customFormat="1" spans="1:2">
      <c r="A7435" s="12">
        <f>DATE(2012,12,31)-1231</f>
        <v>40043</v>
      </c>
      <c r="B7435" s="13">
        <v>5442.142</v>
      </c>
    </row>
    <row r="7436" s="6" customFormat="1" spans="1:2">
      <c r="A7436" s="12">
        <f>DATE(2012,12,31)-1369</f>
        <v>39905</v>
      </c>
      <c r="B7436" s="13">
        <v>14075.99</v>
      </c>
    </row>
    <row r="7437" s="6" customFormat="1" spans="1:2">
      <c r="A7437" s="12">
        <f>DATE(2012,12,31)-430</f>
        <v>40844</v>
      </c>
      <c r="B7437" s="13">
        <v>25.07</v>
      </c>
    </row>
    <row r="7438" s="6" customFormat="1" spans="1:2">
      <c r="A7438" s="12">
        <f>DATE(2012,12,31)-221</f>
        <v>41053</v>
      </c>
      <c r="B7438" s="13">
        <v>1042.96</v>
      </c>
    </row>
    <row r="7439" s="6" customFormat="1" spans="1:2">
      <c r="A7439" s="12">
        <f>DATE(2012,12,31)-1276</f>
        <v>39998</v>
      </c>
      <c r="B7439" s="13">
        <v>8413.23</v>
      </c>
    </row>
    <row r="7440" s="6" customFormat="1" spans="1:2">
      <c r="A7440" s="12">
        <f>DATE(2012,12,31)-1276</f>
        <v>39998</v>
      </c>
      <c r="B7440" s="13">
        <v>105.45</v>
      </c>
    </row>
    <row r="7441" s="6" customFormat="1" spans="1:2">
      <c r="A7441" s="12">
        <f>DATE(2012,12,31)-834</f>
        <v>40440</v>
      </c>
      <c r="B7441" s="13">
        <v>2667.92</v>
      </c>
    </row>
    <row r="7442" s="6" customFormat="1" spans="1:2">
      <c r="A7442" s="12">
        <f>DATE(2012,12,31)-834</f>
        <v>40440</v>
      </c>
      <c r="B7442" s="13">
        <v>2236.15</v>
      </c>
    </row>
    <row r="7443" spans="1:2">
      <c r="A7443" s="14">
        <f>DATE(2012,12,31)-1041</f>
        <v>40233</v>
      </c>
      <c r="B7443" s="15">
        <v>181.95</v>
      </c>
    </row>
    <row r="7444" s="6" customFormat="1" spans="1:2">
      <c r="A7444" s="12">
        <f>DATE(2012,12,31)-996</f>
        <v>40278</v>
      </c>
      <c r="B7444" s="13">
        <v>11002.66</v>
      </c>
    </row>
    <row r="7445" spans="1:2">
      <c r="A7445" s="14">
        <f>DATE(2012,12,31)-1296</f>
        <v>39978</v>
      </c>
      <c r="B7445" s="15">
        <v>7046.61</v>
      </c>
    </row>
    <row r="7446" s="6" customFormat="1" spans="1:2">
      <c r="A7446" s="12">
        <f>DATE(2012,12,31)-171</f>
        <v>41103</v>
      </c>
      <c r="B7446" s="13">
        <v>13934.53</v>
      </c>
    </row>
    <row r="7447" s="6" customFormat="1" spans="1:2">
      <c r="A7447" s="12">
        <f>DATE(2012,12,31)-171</f>
        <v>41103</v>
      </c>
      <c r="B7447" s="13">
        <v>1233.76</v>
      </c>
    </row>
    <row r="7448" s="6" customFormat="1" spans="1:2">
      <c r="A7448" s="12">
        <f>DATE(2012,12,31)-171</f>
        <v>41103</v>
      </c>
      <c r="B7448" s="13">
        <v>2377.28</v>
      </c>
    </row>
    <row r="7449" s="6" customFormat="1" spans="1:2">
      <c r="A7449" s="12">
        <f>DATE(2012,12,31)-827</f>
        <v>40447</v>
      </c>
      <c r="B7449" s="13">
        <v>287.43</v>
      </c>
    </row>
    <row r="7450" s="6" customFormat="1" spans="1:2">
      <c r="A7450" s="12">
        <f>DATE(2012,12,31)-1100</f>
        <v>40174</v>
      </c>
      <c r="B7450" s="13">
        <v>88.17</v>
      </c>
    </row>
    <row r="7451" s="6" customFormat="1" spans="1:2">
      <c r="A7451" s="12">
        <f>DATE(2012,12,31)-1100</f>
        <v>40174</v>
      </c>
      <c r="B7451" s="13">
        <v>4760.02</v>
      </c>
    </row>
    <row r="7452" s="6" customFormat="1" spans="1:2">
      <c r="A7452" s="12">
        <f>DATE(2012,12,31)-1242</f>
        <v>40032</v>
      </c>
      <c r="B7452" s="13">
        <v>642.8</v>
      </c>
    </row>
    <row r="7453" s="6" customFormat="1" spans="1:2">
      <c r="A7453" s="12">
        <f>DATE(2012,12,31)-398</f>
        <v>40876</v>
      </c>
      <c r="B7453" s="13">
        <v>667.64</v>
      </c>
    </row>
    <row r="7454" s="6" customFormat="1" spans="1:2">
      <c r="A7454" s="12">
        <f>DATE(2012,12,31)-1203</f>
        <v>40071</v>
      </c>
      <c r="B7454" s="13">
        <v>2544.73</v>
      </c>
    </row>
    <row r="7455" s="6" customFormat="1" spans="1:2">
      <c r="A7455" s="12">
        <f>DATE(2012,12,31)-1225</f>
        <v>40049</v>
      </c>
      <c r="B7455" s="13">
        <v>345.37</v>
      </c>
    </row>
    <row r="7456" spans="1:2">
      <c r="A7456" s="14">
        <f>DATE(2012,12,31)-450</f>
        <v>40824</v>
      </c>
      <c r="B7456" s="15">
        <v>1477.63</v>
      </c>
    </row>
    <row r="7457" s="6" customFormat="1" spans="1:2">
      <c r="A7457" s="12">
        <f>DATE(2012,12,31)-450</f>
        <v>40824</v>
      </c>
      <c r="B7457" s="13">
        <v>19.46</v>
      </c>
    </row>
    <row r="7458" s="6" customFormat="1" spans="1:2">
      <c r="A7458" s="12">
        <f>DATE(2012,12,31)-450</f>
        <v>40824</v>
      </c>
      <c r="B7458" s="13">
        <v>148.8</v>
      </c>
    </row>
    <row r="7459" s="6" customFormat="1" spans="1:2">
      <c r="A7459" s="12">
        <f>DATE(2012,12,31)-68</f>
        <v>41206</v>
      </c>
      <c r="B7459" s="13">
        <v>105.95</v>
      </c>
    </row>
    <row r="7460" spans="1:2">
      <c r="A7460" s="14">
        <f>DATE(2012,12,31)-68</f>
        <v>41206</v>
      </c>
      <c r="B7460" s="15">
        <v>73.8</v>
      </c>
    </row>
    <row r="7461" spans="1:2">
      <c r="A7461" s="14">
        <f>DATE(2012,12,31)-1299</f>
        <v>39975</v>
      </c>
      <c r="B7461" s="15">
        <v>481.4</v>
      </c>
    </row>
    <row r="7462" spans="1:2">
      <c r="A7462" s="14">
        <f>DATE(2012,12,31)-1299</f>
        <v>39975</v>
      </c>
      <c r="B7462" s="15">
        <v>93.85</v>
      </c>
    </row>
    <row r="7463" spans="1:2">
      <c r="A7463" s="14">
        <f>DATE(2012,12,31)-1299</f>
        <v>39975</v>
      </c>
      <c r="B7463" s="15">
        <v>85.87</v>
      </c>
    </row>
    <row r="7464" spans="1:2">
      <c r="A7464" s="14">
        <f>DATE(2012,12,31)-1299</f>
        <v>39975</v>
      </c>
      <c r="B7464" s="15">
        <v>8127.32</v>
      </c>
    </row>
    <row r="7465" s="6" customFormat="1" spans="1:2">
      <c r="A7465" s="12">
        <f>DATE(2012,12,31)-240</f>
        <v>41034</v>
      </c>
      <c r="B7465" s="13">
        <v>3114.05</v>
      </c>
    </row>
    <row r="7466" s="6" customFormat="1" spans="1:2">
      <c r="A7466" s="12">
        <f>DATE(2012,12,31)-240</f>
        <v>41034</v>
      </c>
      <c r="B7466" s="13">
        <v>8161.93</v>
      </c>
    </row>
    <row r="7467" spans="1:2">
      <c r="A7467" s="14">
        <f>DATE(2012,12,31)-240</f>
        <v>41034</v>
      </c>
      <c r="B7467" s="15">
        <v>1314.65</v>
      </c>
    </row>
    <row r="7468" spans="1:2">
      <c r="A7468" s="14">
        <f>DATE(2012,12,31)-240</f>
        <v>41034</v>
      </c>
      <c r="B7468" s="15">
        <v>4479.16</v>
      </c>
    </row>
    <row r="7469" s="6" customFormat="1" spans="1:2">
      <c r="A7469" s="12">
        <f>DATE(2012,12,31)-1147</f>
        <v>40127</v>
      </c>
      <c r="B7469" s="13">
        <v>1072.22</v>
      </c>
    </row>
    <row r="7470" s="6" customFormat="1" spans="1:2">
      <c r="A7470" s="12">
        <f>DATE(2012,12,31)-1147</f>
        <v>40127</v>
      </c>
      <c r="B7470" s="13">
        <v>342.85</v>
      </c>
    </row>
    <row r="7471" spans="1:2">
      <c r="A7471" s="14">
        <f>DATE(2012,12,31)-1147</f>
        <v>40127</v>
      </c>
      <c r="B7471" s="15">
        <v>62.48</v>
      </c>
    </row>
    <row r="7472" spans="1:2">
      <c r="A7472" s="14">
        <f>DATE(2012,12,31)-1410</f>
        <v>39864</v>
      </c>
      <c r="B7472" s="15">
        <v>241.1</v>
      </c>
    </row>
    <row r="7473" s="6" customFormat="1" spans="1:2">
      <c r="A7473" s="12">
        <f>DATE(2012,12,31)-1410</f>
        <v>39864</v>
      </c>
      <c r="B7473" s="13">
        <v>491.93</v>
      </c>
    </row>
    <row r="7474" s="6" customFormat="1" spans="1:2">
      <c r="A7474" s="12">
        <f>DATE(2012,12,31)-62</f>
        <v>41212</v>
      </c>
      <c r="B7474" s="13">
        <v>738.69</v>
      </c>
    </row>
    <row r="7475" s="6" customFormat="1" spans="1:2">
      <c r="A7475" s="12">
        <f>DATE(2012,12,31)-62</f>
        <v>41212</v>
      </c>
      <c r="B7475" s="13">
        <v>1015.4</v>
      </c>
    </row>
    <row r="7476" s="6" customFormat="1" spans="1:2">
      <c r="A7476" s="12">
        <f>DATE(2012,12,31)-917</f>
        <v>40357</v>
      </c>
      <c r="B7476" s="13">
        <v>4281.13</v>
      </c>
    </row>
    <row r="7477" s="6" customFormat="1" spans="1:2">
      <c r="A7477" s="12">
        <f>DATE(2012,12,31)-291</f>
        <v>40983</v>
      </c>
      <c r="B7477" s="13">
        <v>238.06</v>
      </c>
    </row>
    <row r="7478" s="6" customFormat="1" spans="1:2">
      <c r="A7478" s="12">
        <f>DATE(2012,12,31)-969</f>
        <v>40305</v>
      </c>
      <c r="B7478" s="13">
        <v>184.09</v>
      </c>
    </row>
    <row r="7479" s="6" customFormat="1" spans="1:2">
      <c r="A7479" s="12">
        <f>DATE(2012,12,31)-1387</f>
        <v>39887</v>
      </c>
      <c r="B7479" s="13">
        <v>93.73</v>
      </c>
    </row>
    <row r="7480" s="6" customFormat="1" spans="1:2">
      <c r="A7480" s="12">
        <f>DATE(2012,12,31)-266</f>
        <v>41008</v>
      </c>
      <c r="B7480" s="13">
        <v>669.69</v>
      </c>
    </row>
    <row r="7481" s="6" customFormat="1" spans="1:2">
      <c r="A7481" s="12">
        <f>DATE(2012,12,31)-174</f>
        <v>41100</v>
      </c>
      <c r="B7481" s="13">
        <v>55.59</v>
      </c>
    </row>
    <row r="7482" s="6" customFormat="1" spans="1:2">
      <c r="A7482" s="12">
        <f>DATE(2012,12,31)-881</f>
        <v>40393</v>
      </c>
      <c r="B7482" s="13">
        <v>506.49</v>
      </c>
    </row>
    <row r="7483" s="6" customFormat="1" spans="1:2">
      <c r="A7483" s="12">
        <f>DATE(2012,12,31)-881</f>
        <v>40393</v>
      </c>
      <c r="B7483" s="13">
        <v>8367.68</v>
      </c>
    </row>
    <row r="7484" s="6" customFormat="1" spans="1:2">
      <c r="A7484" s="12">
        <f>DATE(2012,12,31)-881</f>
        <v>40393</v>
      </c>
      <c r="B7484" s="13">
        <v>74.31</v>
      </c>
    </row>
    <row r="7485" spans="1:2">
      <c r="A7485" s="14">
        <f>DATE(2012,12,31)-166</f>
        <v>41108</v>
      </c>
      <c r="B7485" s="15">
        <v>103.92</v>
      </c>
    </row>
    <row r="7486" s="6" customFormat="1" spans="1:2">
      <c r="A7486" s="12">
        <f>DATE(2012,12,31)-655</f>
        <v>40619</v>
      </c>
      <c r="B7486" s="13">
        <v>451.09</v>
      </c>
    </row>
    <row r="7487" s="6" customFormat="1" spans="1:2">
      <c r="A7487" s="12">
        <f>DATE(2012,12,31)-228</f>
        <v>41046</v>
      </c>
      <c r="B7487" s="13">
        <v>112.36</v>
      </c>
    </row>
    <row r="7488" s="6" customFormat="1" spans="1:2">
      <c r="A7488" s="12">
        <f>DATE(2012,12,31)-228</f>
        <v>41046</v>
      </c>
      <c r="B7488" s="13">
        <v>481.049</v>
      </c>
    </row>
    <row r="7489" s="6" customFormat="1" spans="1:2">
      <c r="A7489" s="12">
        <f>DATE(2012,12,31)-1006</f>
        <v>40268</v>
      </c>
      <c r="B7489" s="13">
        <v>98.24</v>
      </c>
    </row>
    <row r="7490" s="6" customFormat="1" spans="1:2">
      <c r="A7490" s="12">
        <f>DATE(2012,12,31)-570</f>
        <v>40704</v>
      </c>
      <c r="B7490" s="13">
        <v>236.68</v>
      </c>
    </row>
    <row r="7491" spans="1:2">
      <c r="A7491" s="14">
        <f>DATE(2012,12,31)-570</f>
        <v>40704</v>
      </c>
      <c r="B7491" s="15">
        <v>6255.81</v>
      </c>
    </row>
    <row r="7492" spans="1:2">
      <c r="A7492" s="14">
        <f>DATE(2012,12,31)-570</f>
        <v>40704</v>
      </c>
      <c r="B7492" s="15">
        <v>616.5</v>
      </c>
    </row>
    <row r="7493" spans="1:2">
      <c r="A7493" s="14">
        <f>DATE(2012,12,31)-198</f>
        <v>41076</v>
      </c>
      <c r="B7493" s="15">
        <v>55.33</v>
      </c>
    </row>
    <row r="7494" s="6" customFormat="1" spans="1:2">
      <c r="A7494" s="12">
        <f>DATE(2012,12,31)-931</f>
        <v>40343</v>
      </c>
      <c r="B7494" s="13">
        <v>1966.26</v>
      </c>
    </row>
    <row r="7495" spans="1:2">
      <c r="A7495" s="14">
        <f>DATE(2012,12,31)-436</f>
        <v>40838</v>
      </c>
      <c r="B7495" s="15">
        <v>1502.66</v>
      </c>
    </row>
    <row r="7496" s="6" customFormat="1" spans="1:2">
      <c r="A7496" s="12">
        <f>DATE(2012,12,31)-2</f>
        <v>41272</v>
      </c>
      <c r="B7496" s="13">
        <v>181.8</v>
      </c>
    </row>
    <row r="7497" s="6" customFormat="1" spans="1:2">
      <c r="A7497" s="12">
        <f>DATE(2012,12,31)-213</f>
        <v>41061</v>
      </c>
      <c r="B7497" s="13">
        <v>136.16</v>
      </c>
    </row>
    <row r="7498" s="6" customFormat="1" spans="1:2">
      <c r="A7498" s="12">
        <f>DATE(2012,12,31)-1175</f>
        <v>40099</v>
      </c>
      <c r="B7498" s="13">
        <v>3122.55</v>
      </c>
    </row>
    <row r="7499" spans="1:2">
      <c r="A7499" s="14">
        <f>DATE(2012,12,31)-493</f>
        <v>40781</v>
      </c>
      <c r="B7499" s="15">
        <v>1131.15</v>
      </c>
    </row>
    <row r="7500" s="6" customFormat="1" spans="1:2">
      <c r="A7500" s="12">
        <f>DATE(2012,12,31)-336</f>
        <v>40938</v>
      </c>
      <c r="B7500" s="13">
        <v>264.6</v>
      </c>
    </row>
    <row r="7501" s="6" customFormat="1" spans="1:2">
      <c r="A7501" s="12">
        <f>DATE(2012,12,31)-336</f>
        <v>40938</v>
      </c>
      <c r="B7501" s="13">
        <v>3356.735</v>
      </c>
    </row>
    <row r="7502" s="6" customFormat="1" spans="1:2">
      <c r="A7502" s="12">
        <f>DATE(2012,12,31)-1187</f>
        <v>40087</v>
      </c>
      <c r="B7502" s="13">
        <v>623.71</v>
      </c>
    </row>
    <row r="7503" s="6" customFormat="1" spans="1:2">
      <c r="A7503" s="12">
        <f>DATE(2012,12,31)-1352</f>
        <v>39922</v>
      </c>
      <c r="B7503" s="13">
        <v>2317.65</v>
      </c>
    </row>
    <row r="7504" s="6" customFormat="1" spans="1:2">
      <c r="A7504" s="12">
        <f>DATE(2012,12,31)-1352</f>
        <v>39922</v>
      </c>
      <c r="B7504" s="13">
        <v>4987.73</v>
      </c>
    </row>
    <row r="7505" s="6" customFormat="1" spans="1:2">
      <c r="A7505" s="12">
        <f>DATE(2012,12,31)-632</f>
        <v>40642</v>
      </c>
      <c r="B7505" s="13">
        <v>1646.05</v>
      </c>
    </row>
    <row r="7506" s="6" customFormat="1" spans="1:2">
      <c r="A7506" s="12">
        <f>DATE(2012,12,31)-942</f>
        <v>40332</v>
      </c>
      <c r="B7506" s="13">
        <v>7807.45</v>
      </c>
    </row>
    <row r="7507" s="6" customFormat="1" spans="1:2">
      <c r="A7507" s="12">
        <f>DATE(2012,12,31)-1439</f>
        <v>39835</v>
      </c>
      <c r="B7507" s="13">
        <v>562.8</v>
      </c>
    </row>
    <row r="7508" s="6" customFormat="1" spans="1:2">
      <c r="A7508" s="12">
        <f>DATE(2012,12,31)-1439</f>
        <v>39835</v>
      </c>
      <c r="B7508" s="13">
        <v>4584.73</v>
      </c>
    </row>
    <row r="7509" s="6" customFormat="1" spans="1:2">
      <c r="A7509" s="12">
        <f>DATE(2012,12,31)-1439</f>
        <v>39835</v>
      </c>
      <c r="B7509" s="13">
        <v>4039.72</v>
      </c>
    </row>
    <row r="7510" s="6" customFormat="1" spans="1:2">
      <c r="A7510" s="12">
        <f>DATE(2012,12,31)-1439</f>
        <v>39835</v>
      </c>
      <c r="B7510" s="13">
        <v>2570.944</v>
      </c>
    </row>
    <row r="7511" s="6" customFormat="1" spans="1:2">
      <c r="A7511" s="12">
        <f>DATE(2012,12,31)-1273</f>
        <v>40001</v>
      </c>
      <c r="B7511" s="13">
        <v>691.52</v>
      </c>
    </row>
    <row r="7512" s="6" customFormat="1" spans="1:2">
      <c r="A7512" s="12">
        <f>DATE(2012,12,31)-1273</f>
        <v>40001</v>
      </c>
      <c r="B7512" s="13">
        <v>2756.17</v>
      </c>
    </row>
    <row r="7513" s="6" customFormat="1" spans="1:2">
      <c r="A7513" s="12">
        <f>DATE(2012,12,31)-1273</f>
        <v>40001</v>
      </c>
      <c r="B7513" s="13">
        <v>5159.3725</v>
      </c>
    </row>
    <row r="7514" s="6" customFormat="1" spans="1:2">
      <c r="A7514" s="12">
        <f>DATE(2012,12,31)-484</f>
        <v>40790</v>
      </c>
      <c r="B7514" s="13">
        <v>7922.69</v>
      </c>
    </row>
    <row r="7515" s="6" customFormat="1" spans="1:2">
      <c r="A7515" s="12">
        <f>DATE(2012,12,31)-1384</f>
        <v>39890</v>
      </c>
      <c r="B7515" s="13">
        <v>433.31</v>
      </c>
    </row>
    <row r="7516" s="6" customFormat="1" spans="1:2">
      <c r="A7516" s="12">
        <f>DATE(2012,12,31)-1375</f>
        <v>39899</v>
      </c>
      <c r="B7516" s="13">
        <v>307.65</v>
      </c>
    </row>
    <row r="7517" s="6" customFormat="1" spans="1:2">
      <c r="A7517" s="12">
        <f>DATE(2012,12,31)-668</f>
        <v>40606</v>
      </c>
      <c r="B7517" s="13">
        <v>5544.99</v>
      </c>
    </row>
    <row r="7518" s="6" customFormat="1" spans="1:2">
      <c r="A7518" s="12">
        <f>DATE(2012,12,31)-511</f>
        <v>40763</v>
      </c>
      <c r="B7518" s="13">
        <v>1779.87</v>
      </c>
    </row>
    <row r="7519" s="6" customFormat="1" spans="1:2">
      <c r="A7519" s="12">
        <f>DATE(2012,12,31)-21</f>
        <v>41253</v>
      </c>
      <c r="B7519" s="13">
        <v>172.9</v>
      </c>
    </row>
    <row r="7520" s="6" customFormat="1" spans="1:2">
      <c r="A7520" s="12">
        <f>DATE(2012,12,31)-60</f>
        <v>41214</v>
      </c>
      <c r="B7520" s="13">
        <v>4263.9315</v>
      </c>
    </row>
    <row r="7521" s="6" customFormat="1" spans="1:2">
      <c r="A7521" s="12">
        <f>DATE(2012,12,31)-1279</f>
        <v>39995</v>
      </c>
      <c r="B7521" s="13">
        <v>4233.15</v>
      </c>
    </row>
    <row r="7522" s="6" customFormat="1" spans="1:2">
      <c r="A7522" s="12">
        <f>DATE(2012,12,31)-335</f>
        <v>40939</v>
      </c>
      <c r="B7522" s="13">
        <v>648.58</v>
      </c>
    </row>
    <row r="7523" s="6" customFormat="1" spans="1:2">
      <c r="A7523" s="12">
        <f>DATE(2012,12,31)-335</f>
        <v>40939</v>
      </c>
      <c r="B7523" s="13">
        <v>270.56</v>
      </c>
    </row>
    <row r="7524" s="6" customFormat="1" spans="1:2">
      <c r="A7524" s="12">
        <f>DATE(2012,12,31)-162</f>
        <v>41112</v>
      </c>
      <c r="B7524" s="13">
        <v>405.6</v>
      </c>
    </row>
    <row r="7525" s="6" customFormat="1" spans="1:2">
      <c r="A7525" s="12">
        <f>DATE(2012,12,31)-508</f>
        <v>40766</v>
      </c>
      <c r="B7525" s="13">
        <v>3301.33</v>
      </c>
    </row>
    <row r="7526" s="6" customFormat="1" spans="1:2">
      <c r="A7526" s="12">
        <f>DATE(2012,12,31)-508</f>
        <v>40766</v>
      </c>
      <c r="B7526" s="13">
        <v>126.95</v>
      </c>
    </row>
    <row r="7527" s="6" customFormat="1" spans="1:2">
      <c r="A7527" s="12">
        <f>DATE(2012,12,31)-321</f>
        <v>40953</v>
      </c>
      <c r="B7527" s="13">
        <v>821.7885</v>
      </c>
    </row>
    <row r="7528" s="6" customFormat="1" spans="1:2">
      <c r="A7528" s="12">
        <f>DATE(2012,12,31)-321</f>
        <v>40953</v>
      </c>
      <c r="B7528" s="13">
        <v>5634.3525</v>
      </c>
    </row>
    <row r="7529" s="6" customFormat="1" spans="1:2">
      <c r="A7529" s="12">
        <f>DATE(2012,12,31)-1417</f>
        <v>39857</v>
      </c>
      <c r="B7529" s="13">
        <v>5483.96</v>
      </c>
    </row>
    <row r="7530" s="6" customFormat="1" spans="1:2">
      <c r="A7530" s="12">
        <f>DATE(2012,12,31)-662</f>
        <v>40612</v>
      </c>
      <c r="B7530" s="13">
        <v>57.5</v>
      </c>
    </row>
    <row r="7531" s="6" customFormat="1" spans="1:2">
      <c r="A7531" s="12">
        <f>DATE(2012,12,31)-529</f>
        <v>40745</v>
      </c>
      <c r="B7531" s="13">
        <v>2700.41</v>
      </c>
    </row>
    <row r="7532" s="6" customFormat="1" spans="1:2">
      <c r="A7532" s="12">
        <f>DATE(2012,12,31)-478</f>
        <v>40796</v>
      </c>
      <c r="B7532" s="13">
        <v>160.52</v>
      </c>
    </row>
    <row r="7533" s="6" customFormat="1" spans="1:2">
      <c r="A7533" s="12">
        <f>DATE(2012,12,31)-116</f>
        <v>41158</v>
      </c>
      <c r="B7533" s="13">
        <v>5062.18</v>
      </c>
    </row>
    <row r="7534" s="6" customFormat="1" spans="1:2">
      <c r="A7534" s="12">
        <f>DATE(2012,12,31)-359</f>
        <v>40915</v>
      </c>
      <c r="B7534" s="13">
        <v>114.17</v>
      </c>
    </row>
    <row r="7535" spans="1:2">
      <c r="A7535" s="14">
        <f>DATE(2012,12,31)-359</f>
        <v>40915</v>
      </c>
      <c r="B7535" s="15">
        <v>197.11</v>
      </c>
    </row>
    <row r="7536" s="6" customFormat="1" spans="1:2">
      <c r="A7536" s="12">
        <f>DATE(2012,12,31)-424</f>
        <v>40850</v>
      </c>
      <c r="B7536" s="13">
        <v>3329.27</v>
      </c>
    </row>
    <row r="7537" s="6" customFormat="1" spans="1:2">
      <c r="A7537" s="12">
        <f>DATE(2012,12,31)-954</f>
        <v>40320</v>
      </c>
      <c r="B7537" s="13">
        <v>261</v>
      </c>
    </row>
    <row r="7538" s="6" customFormat="1" spans="1:2">
      <c r="A7538" s="12">
        <f>DATE(2012,12,31)-954</f>
        <v>40320</v>
      </c>
      <c r="B7538" s="13">
        <v>127.56</v>
      </c>
    </row>
    <row r="7539" s="6" customFormat="1" spans="1:2">
      <c r="A7539" s="12">
        <f>DATE(2012,12,31)-1094</f>
        <v>40180</v>
      </c>
      <c r="B7539" s="13">
        <v>70.25</v>
      </c>
    </row>
    <row r="7540" s="6" customFormat="1" spans="1:2">
      <c r="A7540" s="12">
        <f>DATE(2012,12,31)-805</f>
        <v>40469</v>
      </c>
      <c r="B7540" s="13">
        <v>124.75</v>
      </c>
    </row>
    <row r="7541" s="6" customFormat="1" spans="1:2">
      <c r="A7541" s="12">
        <f>DATE(2012,12,31)-558</f>
        <v>40716</v>
      </c>
      <c r="B7541" s="13">
        <v>2011.6355</v>
      </c>
    </row>
    <row r="7542" s="6" customFormat="1" spans="1:2">
      <c r="A7542" s="12">
        <f>DATE(2012,12,31)-1216</f>
        <v>40058</v>
      </c>
      <c r="B7542" s="13">
        <v>205.87</v>
      </c>
    </row>
    <row r="7543" spans="1:2">
      <c r="A7543" s="14">
        <f>DATE(2012,12,31)-1216</f>
        <v>40058</v>
      </c>
      <c r="B7543" s="15">
        <v>65.12</v>
      </c>
    </row>
    <row r="7544" s="6" customFormat="1" spans="1:2">
      <c r="A7544" s="12">
        <f>DATE(2012,12,31)-553</f>
        <v>40721</v>
      </c>
      <c r="B7544" s="13">
        <v>2492.97</v>
      </c>
    </row>
    <row r="7545" s="6" customFormat="1" spans="1:2">
      <c r="A7545" s="12">
        <f>DATE(2012,12,31)-341</f>
        <v>40933</v>
      </c>
      <c r="B7545" s="13">
        <v>480.73</v>
      </c>
    </row>
    <row r="7546" s="6" customFormat="1" spans="1:2">
      <c r="A7546" s="12">
        <f>DATE(2012,12,31)-341</f>
        <v>40933</v>
      </c>
      <c r="B7546" s="13">
        <v>159</v>
      </c>
    </row>
    <row r="7547" s="6" customFormat="1" spans="1:2">
      <c r="A7547" s="12">
        <f>DATE(2012,12,31)-70</f>
        <v>41204</v>
      </c>
      <c r="B7547" s="13">
        <v>913.99</v>
      </c>
    </row>
    <row r="7548" s="6" customFormat="1" spans="1:2">
      <c r="A7548" s="12">
        <f>DATE(2012,12,31)-227</f>
        <v>41047</v>
      </c>
      <c r="B7548" s="13">
        <v>2608.79</v>
      </c>
    </row>
    <row r="7549" s="6" customFormat="1" spans="1:2">
      <c r="A7549" s="12">
        <f>DATE(2012,12,31)-260</f>
        <v>41014</v>
      </c>
      <c r="B7549" s="13">
        <v>2773.71</v>
      </c>
    </row>
    <row r="7550" s="6" customFormat="1" spans="1:2">
      <c r="A7550" s="12">
        <f>DATE(2012,12,31)-260</f>
        <v>41014</v>
      </c>
      <c r="B7550" s="13">
        <v>113.89</v>
      </c>
    </row>
    <row r="7551" s="6" customFormat="1" spans="1:2">
      <c r="A7551" s="12">
        <f>DATE(2012,12,31)-138</f>
        <v>41136</v>
      </c>
      <c r="B7551" s="13">
        <v>664.989</v>
      </c>
    </row>
    <row r="7552" s="6" customFormat="1" spans="1:2">
      <c r="A7552" s="12">
        <f>DATE(2012,12,31)-364</f>
        <v>40910</v>
      </c>
      <c r="B7552" s="13">
        <v>7325.63</v>
      </c>
    </row>
    <row r="7553" s="6" customFormat="1" spans="1:2">
      <c r="A7553" s="12">
        <f>DATE(2012,12,31)-437</f>
        <v>40837</v>
      </c>
      <c r="B7553" s="13">
        <v>321.21</v>
      </c>
    </row>
    <row r="7554" s="6" customFormat="1" spans="1:2">
      <c r="A7554" s="12">
        <f>DATE(2012,12,31)-1202</f>
        <v>40072</v>
      </c>
      <c r="B7554" s="13">
        <v>907.24</v>
      </c>
    </row>
    <row r="7555" s="6" customFormat="1" spans="1:2">
      <c r="A7555" s="12">
        <f>DATE(2012,12,31)-648</f>
        <v>40626</v>
      </c>
      <c r="B7555" s="13">
        <v>83.3</v>
      </c>
    </row>
    <row r="7556" s="6" customFormat="1" spans="1:2">
      <c r="A7556" s="12">
        <f>DATE(2012,12,31)-769</f>
        <v>40505</v>
      </c>
      <c r="B7556" s="13">
        <v>1583.06</v>
      </c>
    </row>
    <row r="7557" s="6" customFormat="1" spans="1:2">
      <c r="A7557" s="12">
        <f>DATE(2012,12,31)-1059</f>
        <v>40215</v>
      </c>
      <c r="B7557" s="13">
        <v>756.6</v>
      </c>
    </row>
    <row r="7558" s="6" customFormat="1" spans="1:2">
      <c r="A7558" s="12">
        <f>DATE(2012,12,31)-520</f>
        <v>40754</v>
      </c>
      <c r="B7558" s="13">
        <v>10071.09</v>
      </c>
    </row>
    <row r="7559" s="6" customFormat="1" spans="1:2">
      <c r="A7559" s="12">
        <f>DATE(2012,12,31)-1048</f>
        <v>40226</v>
      </c>
      <c r="B7559" s="13">
        <v>558.62</v>
      </c>
    </row>
    <row r="7560" s="6" customFormat="1" spans="1:2">
      <c r="A7560" s="12">
        <f>DATE(2012,12,31)-358</f>
        <v>40916</v>
      </c>
      <c r="B7560" s="13">
        <v>243.52</v>
      </c>
    </row>
    <row r="7561" s="6" customFormat="1" spans="1:2">
      <c r="A7561" s="12">
        <f>DATE(2012,12,31)-358</f>
        <v>40916</v>
      </c>
      <c r="B7561" s="13">
        <v>3849.8</v>
      </c>
    </row>
    <row r="7562" s="6" customFormat="1" spans="1:2">
      <c r="A7562" s="12">
        <f>DATE(2012,12,31)-358</f>
        <v>40916</v>
      </c>
      <c r="B7562" s="13">
        <v>198.29</v>
      </c>
    </row>
    <row r="7563" s="6" customFormat="1" spans="1:2">
      <c r="A7563" s="12">
        <f>DATE(2012,12,31)-991</f>
        <v>40283</v>
      </c>
      <c r="B7563" s="13">
        <v>952.21</v>
      </c>
    </row>
    <row r="7564" s="6" customFormat="1" spans="1:2">
      <c r="A7564" s="12">
        <f>DATE(2012,12,31)-243</f>
        <v>41031</v>
      </c>
      <c r="B7564" s="13">
        <v>3005.74</v>
      </c>
    </row>
    <row r="7565" s="6" customFormat="1" spans="1:2">
      <c r="A7565" s="12">
        <f>DATE(2012,12,31)-243</f>
        <v>41031</v>
      </c>
      <c r="B7565" s="13">
        <v>2209.5155</v>
      </c>
    </row>
    <row r="7566" s="6" customFormat="1" spans="1:2">
      <c r="A7566" s="12">
        <f>DATE(2012,12,31)-1302</f>
        <v>39972</v>
      </c>
      <c r="B7566" s="13">
        <v>3439.39</v>
      </c>
    </row>
    <row r="7567" s="6" customFormat="1" spans="1:2">
      <c r="A7567" s="12">
        <f>DATE(2012,12,31)-1302</f>
        <v>39972</v>
      </c>
      <c r="B7567" s="13">
        <v>10.48</v>
      </c>
    </row>
    <row r="7568" s="6" customFormat="1" spans="1:2">
      <c r="A7568" s="12">
        <f>DATE(2012,12,31)-426</f>
        <v>40848</v>
      </c>
      <c r="B7568" s="13">
        <v>233.2</v>
      </c>
    </row>
    <row r="7569" s="6" customFormat="1" spans="1:2">
      <c r="A7569" s="12">
        <f>DATE(2012,12,31)-426</f>
        <v>40848</v>
      </c>
      <c r="B7569" s="13">
        <v>79.53</v>
      </c>
    </row>
    <row r="7570" s="6" customFormat="1" spans="1:2">
      <c r="A7570" s="12">
        <f>DATE(2012,12,31)-426</f>
        <v>40848</v>
      </c>
      <c r="B7570" s="13">
        <v>1680.977</v>
      </c>
    </row>
    <row r="7571" s="6" customFormat="1" spans="1:2">
      <c r="A7571" s="12">
        <f>DATE(2012,12,31)-1400</f>
        <v>39874</v>
      </c>
      <c r="B7571" s="13">
        <v>421.08</v>
      </c>
    </row>
    <row r="7572" s="6" customFormat="1" spans="1:2">
      <c r="A7572" s="12">
        <f>DATE(2012,12,31)-267</f>
        <v>41007</v>
      </c>
      <c r="B7572" s="13">
        <v>4968.5</v>
      </c>
    </row>
    <row r="7573" s="6" customFormat="1" spans="1:2">
      <c r="A7573" s="12">
        <f>DATE(2012,12,31)-320</f>
        <v>40954</v>
      </c>
      <c r="B7573" s="13">
        <v>115.02</v>
      </c>
    </row>
    <row r="7574" s="6" customFormat="1" spans="1:2">
      <c r="A7574" s="12">
        <f>DATE(2012,12,31)-320</f>
        <v>40954</v>
      </c>
      <c r="B7574" s="13">
        <v>118.63</v>
      </c>
    </row>
    <row r="7575" s="6" customFormat="1" spans="1:2">
      <c r="A7575" s="12">
        <f>DATE(2012,12,31)-393</f>
        <v>40881</v>
      </c>
      <c r="B7575" s="13">
        <v>670.02</v>
      </c>
    </row>
    <row r="7576" s="6" customFormat="1" spans="1:2">
      <c r="A7576" s="12">
        <f>DATE(2012,12,31)-929</f>
        <v>40345</v>
      </c>
      <c r="B7576" s="13">
        <v>9396.27</v>
      </c>
    </row>
    <row r="7577" s="6" customFormat="1" spans="1:2">
      <c r="A7577" s="12">
        <f>DATE(2012,12,31)-1199</f>
        <v>40075</v>
      </c>
      <c r="B7577" s="13">
        <v>705.85</v>
      </c>
    </row>
    <row r="7578" s="6" customFormat="1" spans="1:2">
      <c r="A7578" s="12">
        <f>DATE(2012,12,31)-1199</f>
        <v>40075</v>
      </c>
      <c r="B7578" s="13">
        <v>321.3</v>
      </c>
    </row>
    <row r="7579" s="6" customFormat="1" spans="1:2">
      <c r="A7579" s="12">
        <f>DATE(2012,12,31)-743</f>
        <v>40531</v>
      </c>
      <c r="B7579" s="13">
        <v>653.871</v>
      </c>
    </row>
    <row r="7580" s="6" customFormat="1" spans="1:2">
      <c r="A7580" s="12">
        <f>DATE(2012,12,31)-1217</f>
        <v>40057</v>
      </c>
      <c r="B7580" s="13">
        <v>227.41</v>
      </c>
    </row>
    <row r="7581" s="6" customFormat="1" spans="1:2">
      <c r="A7581" s="12">
        <f>DATE(2012,12,31)-1217</f>
        <v>40057</v>
      </c>
      <c r="B7581" s="13">
        <v>87.44</v>
      </c>
    </row>
    <row r="7582" s="6" customFormat="1" spans="1:2">
      <c r="A7582" s="12">
        <f>DATE(2012,12,31)-805</f>
        <v>40469</v>
      </c>
      <c r="B7582" s="13">
        <v>436.67</v>
      </c>
    </row>
    <row r="7583" s="6" customFormat="1" spans="1:2">
      <c r="A7583" s="12">
        <f>DATE(2012,12,31)-805</f>
        <v>40469</v>
      </c>
      <c r="B7583" s="13">
        <v>146.72</v>
      </c>
    </row>
    <row r="7584" s="6" customFormat="1" spans="1:2">
      <c r="A7584" s="12">
        <f>DATE(2012,12,31)-805</f>
        <v>40469</v>
      </c>
      <c r="B7584" s="13">
        <v>74.83</v>
      </c>
    </row>
    <row r="7585" s="6" customFormat="1" spans="1:2">
      <c r="A7585" s="12">
        <f>DATE(2012,12,31)-1113</f>
        <v>40161</v>
      </c>
      <c r="B7585" s="13">
        <v>40.75</v>
      </c>
    </row>
    <row r="7586" s="6" customFormat="1" spans="1:2">
      <c r="A7586" s="12">
        <f>DATE(2012,12,31)-1113</f>
        <v>40161</v>
      </c>
      <c r="B7586" s="13">
        <v>424.09</v>
      </c>
    </row>
    <row r="7587" s="6" customFormat="1" spans="1:2">
      <c r="A7587" s="12">
        <f>DATE(2012,12,31)-1077</f>
        <v>40197</v>
      </c>
      <c r="B7587" s="13">
        <v>155.51</v>
      </c>
    </row>
    <row r="7588" s="6" customFormat="1" spans="1:2">
      <c r="A7588" s="12">
        <f>DATE(2012,12,31)-32</f>
        <v>41242</v>
      </c>
      <c r="B7588" s="13">
        <v>2039.082</v>
      </c>
    </row>
    <row r="7589" s="6" customFormat="1" spans="1:2">
      <c r="A7589" s="12">
        <f>DATE(2012,12,31)-32</f>
        <v>41242</v>
      </c>
      <c r="B7589" s="13">
        <v>225.46</v>
      </c>
    </row>
    <row r="7590" spans="1:2">
      <c r="A7590" s="14">
        <f>DATE(2012,12,31)-32</f>
        <v>41242</v>
      </c>
      <c r="B7590" s="15">
        <v>783.96</v>
      </c>
    </row>
    <row r="7591" spans="1:2">
      <c r="A7591" s="14">
        <f>DATE(2012,12,31)-727</f>
        <v>40547</v>
      </c>
      <c r="B7591" s="15">
        <v>92.03</v>
      </c>
    </row>
    <row r="7592" s="6" customFormat="1" spans="1:2">
      <c r="A7592" s="12">
        <f>DATE(2012,12,31)-727</f>
        <v>40547</v>
      </c>
      <c r="B7592" s="13">
        <v>207.19</v>
      </c>
    </row>
    <row r="7593" s="6" customFormat="1" spans="1:2">
      <c r="A7593" s="12">
        <f>DATE(2012,12,31)-727</f>
        <v>40547</v>
      </c>
      <c r="B7593" s="13">
        <v>88</v>
      </c>
    </row>
    <row r="7594" s="6" customFormat="1" spans="1:2">
      <c r="A7594" s="12">
        <f>DATE(2012,12,31)-379</f>
        <v>40895</v>
      </c>
      <c r="B7594" s="13">
        <v>162.25</v>
      </c>
    </row>
    <row r="7595" s="6" customFormat="1" spans="1:2">
      <c r="A7595" s="12">
        <f>DATE(2012,12,31)-287</f>
        <v>40987</v>
      </c>
      <c r="B7595" s="13">
        <v>124.71</v>
      </c>
    </row>
    <row r="7596" s="6" customFormat="1" spans="1:2">
      <c r="A7596" s="12">
        <f>DATE(2012,12,31)-1264</f>
        <v>40010</v>
      </c>
      <c r="B7596" s="13">
        <v>604.38</v>
      </c>
    </row>
    <row r="7597" s="6" customFormat="1" spans="1:2">
      <c r="A7597" s="12">
        <f>DATE(2012,12,31)-1264</f>
        <v>40010</v>
      </c>
      <c r="B7597" s="13">
        <v>2404.599</v>
      </c>
    </row>
    <row r="7598" s="6" customFormat="1" spans="1:2">
      <c r="A7598" s="12">
        <f>DATE(2012,12,31)-819</f>
        <v>40455</v>
      </c>
      <c r="B7598" s="13">
        <v>523.56</v>
      </c>
    </row>
    <row r="7599" s="6" customFormat="1" spans="1:2">
      <c r="A7599" s="12">
        <f>DATE(2012,12,31)-756</f>
        <v>40518</v>
      </c>
      <c r="B7599" s="13">
        <v>1553.868</v>
      </c>
    </row>
    <row r="7600" s="6" customFormat="1" spans="1:2">
      <c r="A7600" s="12">
        <f>DATE(2012,12,31)-1247</f>
        <v>40027</v>
      </c>
      <c r="B7600" s="13">
        <v>196.74</v>
      </c>
    </row>
    <row r="7601" s="6" customFormat="1" spans="1:2">
      <c r="A7601" s="12">
        <f>DATE(2012,12,31)-568</f>
        <v>40706</v>
      </c>
      <c r="B7601" s="13">
        <v>1971.56</v>
      </c>
    </row>
    <row r="7602" s="6" customFormat="1" spans="1:2">
      <c r="A7602" s="12">
        <f>DATE(2012,12,31)-568</f>
        <v>40706</v>
      </c>
      <c r="B7602" s="13">
        <v>154.43</v>
      </c>
    </row>
    <row r="7603" spans="1:2">
      <c r="A7603" s="14">
        <f>DATE(2012,12,31)-1343</f>
        <v>39931</v>
      </c>
      <c r="B7603" s="15">
        <v>250.29</v>
      </c>
    </row>
    <row r="7604" s="6" customFormat="1" spans="1:2">
      <c r="A7604" s="12">
        <f>DATE(2012,12,31)-1343</f>
        <v>39931</v>
      </c>
      <c r="B7604" s="13">
        <v>5258.94</v>
      </c>
    </row>
    <row r="7605" s="6" customFormat="1" spans="1:2">
      <c r="A7605" s="12">
        <f>DATE(2012,12,31)-940</f>
        <v>40334</v>
      </c>
      <c r="B7605" s="13">
        <v>471.24</v>
      </c>
    </row>
    <row r="7606" s="6" customFormat="1" spans="1:2">
      <c r="A7606" s="12">
        <f>DATE(2012,12,31)-143</f>
        <v>41131</v>
      </c>
      <c r="B7606" s="13">
        <v>73.22</v>
      </c>
    </row>
    <row r="7607" s="6" customFormat="1" spans="1:2">
      <c r="A7607" s="12">
        <f>DATE(2012,12,31)-42</f>
        <v>41232</v>
      </c>
      <c r="B7607" s="13">
        <v>109.52</v>
      </c>
    </row>
    <row r="7608" s="6" customFormat="1" spans="1:2">
      <c r="A7608" s="12">
        <f>DATE(2012,12,31)-504</f>
        <v>40770</v>
      </c>
      <c r="B7608" s="13">
        <v>262.9</v>
      </c>
    </row>
    <row r="7609" s="6" customFormat="1" spans="1:2">
      <c r="A7609" s="12">
        <f>DATE(2012,12,31)-1032</f>
        <v>40242</v>
      </c>
      <c r="B7609" s="13">
        <v>43.65</v>
      </c>
    </row>
    <row r="7610" s="6" customFormat="1" spans="1:2">
      <c r="A7610" s="12">
        <f>DATE(2012,12,31)-1032</f>
        <v>40242</v>
      </c>
      <c r="B7610" s="13">
        <v>2478.481</v>
      </c>
    </row>
    <row r="7611" s="6" customFormat="1" spans="1:2">
      <c r="A7611" s="12">
        <f>DATE(2012,12,31)-1199</f>
        <v>40075</v>
      </c>
      <c r="B7611" s="13">
        <v>112.63</v>
      </c>
    </row>
    <row r="7612" s="6" customFormat="1" spans="1:2">
      <c r="A7612" s="12">
        <f>DATE(2012,12,31)-74</f>
        <v>41200</v>
      </c>
      <c r="B7612" s="13">
        <v>2002.4</v>
      </c>
    </row>
    <row r="7613" s="6" customFormat="1" spans="1:2">
      <c r="A7613" s="12">
        <f>DATE(2012,12,31)-749</f>
        <v>40525</v>
      </c>
      <c r="B7613" s="13">
        <v>1427.14</v>
      </c>
    </row>
    <row r="7614" s="6" customFormat="1" spans="1:2">
      <c r="A7614" s="12">
        <f>DATE(2012,12,31)-1353</f>
        <v>39921</v>
      </c>
      <c r="B7614" s="13">
        <v>4711.244</v>
      </c>
    </row>
    <row r="7615" s="6" customFormat="1" spans="1:2">
      <c r="A7615" s="12">
        <f>DATE(2012,12,31)-1120</f>
        <v>40154</v>
      </c>
      <c r="B7615" s="13">
        <v>3421.88</v>
      </c>
    </row>
    <row r="7616" s="6" customFormat="1" spans="1:2">
      <c r="A7616" s="12">
        <f>DATE(2012,12,31)-355</f>
        <v>40919</v>
      </c>
      <c r="B7616" s="13">
        <v>380.28</v>
      </c>
    </row>
    <row r="7617" s="6" customFormat="1" spans="1:2">
      <c r="A7617" s="12">
        <f>DATE(2012,12,31)-676</f>
        <v>40598</v>
      </c>
      <c r="B7617" s="13">
        <v>170.02</v>
      </c>
    </row>
    <row r="7618" s="6" customFormat="1" spans="1:2">
      <c r="A7618" s="12">
        <f>DATE(2012,12,31)-11</f>
        <v>41263</v>
      </c>
      <c r="B7618" s="13">
        <v>1087.58</v>
      </c>
    </row>
    <row r="7619" spans="1:2">
      <c r="A7619" s="14">
        <f>DATE(2012,12,31)-11</f>
        <v>41263</v>
      </c>
      <c r="B7619" s="15">
        <v>4273.35</v>
      </c>
    </row>
    <row r="7620" s="6" customFormat="1" spans="1:2">
      <c r="A7620" s="12">
        <f>DATE(2012,12,31)-11</f>
        <v>41263</v>
      </c>
      <c r="B7620" s="13">
        <v>4165.04</v>
      </c>
    </row>
    <row r="7621" s="6" customFormat="1" spans="1:2">
      <c r="A7621" s="12">
        <f>DATE(2012,12,31)-1178</f>
        <v>40096</v>
      </c>
      <c r="B7621" s="13">
        <v>53.32</v>
      </c>
    </row>
    <row r="7622" s="6" customFormat="1" spans="1:2">
      <c r="A7622" s="12">
        <f>DATE(2012,12,31)-1178</f>
        <v>40096</v>
      </c>
      <c r="B7622" s="13">
        <v>64.03</v>
      </c>
    </row>
    <row r="7623" s="6" customFormat="1" spans="1:2">
      <c r="A7623" s="12">
        <f>DATE(2012,12,31)-1178</f>
        <v>40096</v>
      </c>
      <c r="B7623" s="13">
        <v>2710.5055</v>
      </c>
    </row>
    <row r="7624" s="6" customFormat="1" spans="1:2">
      <c r="A7624" s="12">
        <f>DATE(2012,12,31)-738</f>
        <v>40536</v>
      </c>
      <c r="B7624" s="13">
        <v>2834.96</v>
      </c>
    </row>
    <row r="7625" s="6" customFormat="1" spans="1:2">
      <c r="A7625" s="12">
        <f>DATE(2012,12,31)-738</f>
        <v>40536</v>
      </c>
      <c r="B7625" s="13">
        <v>953.989</v>
      </c>
    </row>
    <row r="7626" spans="1:2">
      <c r="A7626" s="14">
        <f>DATE(2012,12,31)-694</f>
        <v>40580</v>
      </c>
      <c r="B7626" s="15">
        <v>86.29</v>
      </c>
    </row>
    <row r="7627" s="6" customFormat="1" spans="1:2">
      <c r="A7627" s="12">
        <f>DATE(2012,12,31)-694</f>
        <v>40580</v>
      </c>
      <c r="B7627" s="13">
        <v>86.92</v>
      </c>
    </row>
    <row r="7628" s="6" customFormat="1" spans="1:2">
      <c r="A7628" s="12">
        <f>DATE(2012,12,31)-149</f>
        <v>41125</v>
      </c>
      <c r="B7628" s="13">
        <v>419.95</v>
      </c>
    </row>
    <row r="7629" s="6" customFormat="1" spans="1:2">
      <c r="A7629" s="12">
        <f>DATE(2012,12,31)-529</f>
        <v>40745</v>
      </c>
      <c r="B7629" s="13">
        <v>117.33</v>
      </c>
    </row>
    <row r="7630" spans="1:2">
      <c r="A7630" s="14">
        <f>DATE(2012,12,31)-912</f>
        <v>40362</v>
      </c>
      <c r="B7630" s="15">
        <v>54.61</v>
      </c>
    </row>
    <row r="7631" s="6" customFormat="1" spans="1:2">
      <c r="A7631" s="12">
        <f>DATE(2012,12,31)-491</f>
        <v>40783</v>
      </c>
      <c r="B7631" s="13">
        <v>197.93</v>
      </c>
    </row>
    <row r="7632" s="6" customFormat="1" spans="1:2">
      <c r="A7632" s="12">
        <f>DATE(2012,12,31)-491</f>
        <v>40783</v>
      </c>
      <c r="B7632" s="13">
        <v>90.58</v>
      </c>
    </row>
    <row r="7633" s="6" customFormat="1" spans="1:2">
      <c r="A7633" s="12">
        <f>DATE(2012,12,31)-997</f>
        <v>40277</v>
      </c>
      <c r="B7633" s="13">
        <v>6034.68</v>
      </c>
    </row>
    <row r="7634" s="6" customFormat="1" spans="1:2">
      <c r="A7634" s="12">
        <f>DATE(2012,12,31)-1408</f>
        <v>39866</v>
      </c>
      <c r="B7634" s="13">
        <v>132.36</v>
      </c>
    </row>
    <row r="7635" s="6" customFormat="1" spans="1:2">
      <c r="A7635" s="12">
        <f>DATE(2012,12,31)-1408</f>
        <v>39866</v>
      </c>
      <c r="B7635" s="13">
        <v>1498.46</v>
      </c>
    </row>
    <row r="7636" s="6" customFormat="1" spans="1:2">
      <c r="A7636" s="12">
        <f>DATE(2012,12,31)-1239</f>
        <v>40035</v>
      </c>
      <c r="B7636" s="13">
        <v>210.94</v>
      </c>
    </row>
    <row r="7637" s="6" customFormat="1" spans="1:2">
      <c r="A7637" s="12">
        <f>DATE(2012,12,31)-1239</f>
        <v>40035</v>
      </c>
      <c r="B7637" s="13">
        <v>192.02</v>
      </c>
    </row>
    <row r="7638" s="6" customFormat="1" spans="1:2">
      <c r="A7638" s="12">
        <f>DATE(2012,12,31)-757</f>
        <v>40517</v>
      </c>
      <c r="B7638" s="13">
        <v>174.58</v>
      </c>
    </row>
    <row r="7639" s="6" customFormat="1" spans="1:2">
      <c r="A7639" s="12">
        <f>DATE(2012,12,31)-757</f>
        <v>40517</v>
      </c>
      <c r="B7639" s="13">
        <v>8789.54</v>
      </c>
    </row>
    <row r="7640" spans="1:2">
      <c r="A7640" s="14">
        <f>DATE(2012,12,31)-540</f>
        <v>40734</v>
      </c>
      <c r="B7640" s="15">
        <v>344.25</v>
      </c>
    </row>
    <row r="7641" s="6" customFormat="1" spans="1:2">
      <c r="A7641" s="12">
        <f>DATE(2012,12,31)-540</f>
        <v>40734</v>
      </c>
      <c r="B7641" s="13">
        <v>64.77</v>
      </c>
    </row>
    <row r="7642" s="6" customFormat="1" spans="1:2">
      <c r="A7642" s="12">
        <f>DATE(2012,12,31)-324</f>
        <v>40950</v>
      </c>
      <c r="B7642" s="13">
        <v>1024.31</v>
      </c>
    </row>
    <row r="7643" s="6" customFormat="1" spans="1:2">
      <c r="A7643" s="12">
        <f>DATE(2012,12,31)-362</f>
        <v>40912</v>
      </c>
      <c r="B7643" s="13">
        <v>452.28</v>
      </c>
    </row>
    <row r="7644" s="6" customFormat="1" spans="1:2">
      <c r="A7644" s="12">
        <f>DATE(2012,12,31)-362</f>
        <v>40912</v>
      </c>
      <c r="B7644" s="13">
        <v>55.82</v>
      </c>
    </row>
    <row r="7645" s="6" customFormat="1" spans="1:2">
      <c r="A7645" s="12">
        <f>DATE(2012,12,31)-538</f>
        <v>40736</v>
      </c>
      <c r="B7645" s="13">
        <v>24.3</v>
      </c>
    </row>
    <row r="7646" s="6" customFormat="1" spans="1:2">
      <c r="A7646" s="12">
        <f>DATE(2012,12,31)-538</f>
        <v>40736</v>
      </c>
      <c r="B7646" s="13">
        <v>322.61</v>
      </c>
    </row>
    <row r="7647" s="6" customFormat="1" spans="1:2">
      <c r="A7647" s="12">
        <f>DATE(2012,12,31)-791</f>
        <v>40483</v>
      </c>
      <c r="B7647" s="13">
        <v>235.15</v>
      </c>
    </row>
    <row r="7648" s="6" customFormat="1" spans="1:2">
      <c r="A7648" s="12">
        <f>DATE(2012,12,31)-1359</f>
        <v>39915</v>
      </c>
      <c r="B7648" s="13">
        <v>292.38</v>
      </c>
    </row>
    <row r="7649" s="6" customFormat="1" spans="1:2">
      <c r="A7649" s="12">
        <f>DATE(2012,12,31)-1359</f>
        <v>39915</v>
      </c>
      <c r="B7649" s="13">
        <v>191.79</v>
      </c>
    </row>
    <row r="7650" s="6" customFormat="1" spans="1:2">
      <c r="A7650" s="12">
        <f>DATE(2012,12,31)-1359</f>
        <v>39915</v>
      </c>
      <c r="B7650" s="13">
        <v>290.01</v>
      </c>
    </row>
    <row r="7651" s="6" customFormat="1" spans="1:2">
      <c r="A7651" s="12">
        <f>DATE(2012,12,31)-1359</f>
        <v>39915</v>
      </c>
      <c r="B7651" s="13">
        <v>4692.26</v>
      </c>
    </row>
    <row r="7652" s="6" customFormat="1" spans="1:2">
      <c r="A7652" s="12">
        <f>DATE(2012,12,31)-389</f>
        <v>40885</v>
      </c>
      <c r="B7652" s="13">
        <v>1717.88</v>
      </c>
    </row>
    <row r="7653" s="6" customFormat="1" spans="1:2">
      <c r="A7653" s="12">
        <f>DATE(2012,12,31)-389</f>
        <v>40885</v>
      </c>
      <c r="B7653" s="13">
        <v>1978.4345</v>
      </c>
    </row>
    <row r="7654" s="6" customFormat="1" spans="1:2">
      <c r="A7654" s="12">
        <f>DATE(2012,12,31)-1135</f>
        <v>40139</v>
      </c>
      <c r="B7654" s="13">
        <v>632.05</v>
      </c>
    </row>
    <row r="7655" s="6" customFormat="1" spans="1:2">
      <c r="A7655" s="12">
        <f>DATE(2012,12,31)-1358</f>
        <v>39916</v>
      </c>
      <c r="B7655" s="13">
        <v>29.32</v>
      </c>
    </row>
    <row r="7656" s="6" customFormat="1" spans="1:2">
      <c r="A7656" s="12">
        <f>DATE(2012,12,31)-286</f>
        <v>40988</v>
      </c>
      <c r="B7656" s="13">
        <v>2376.7105</v>
      </c>
    </row>
    <row r="7657" s="6" customFormat="1" spans="1:2">
      <c r="A7657" s="12">
        <f>DATE(2012,12,31)-699</f>
        <v>40575</v>
      </c>
      <c r="B7657" s="13">
        <v>556.45</v>
      </c>
    </row>
    <row r="7658" s="6" customFormat="1" spans="1:2">
      <c r="A7658" s="12">
        <f>DATE(2012,12,31)-454</f>
        <v>40820</v>
      </c>
      <c r="B7658" s="13">
        <v>31.7</v>
      </c>
    </row>
    <row r="7659" s="6" customFormat="1" spans="1:2">
      <c r="A7659" s="12">
        <f>DATE(2012,12,31)-454</f>
        <v>40820</v>
      </c>
      <c r="B7659" s="13">
        <v>143.9815</v>
      </c>
    </row>
    <row r="7660" s="6" customFormat="1" spans="1:2">
      <c r="A7660" s="12">
        <f>DATE(2012,12,31)-968</f>
        <v>40306</v>
      </c>
      <c r="B7660" s="13">
        <v>171.52</v>
      </c>
    </row>
    <row r="7661" s="6" customFormat="1" spans="1:2">
      <c r="A7661" s="12">
        <f>DATE(2012,12,31)-814</f>
        <v>40460</v>
      </c>
      <c r="B7661" s="13">
        <v>134.68</v>
      </c>
    </row>
    <row r="7662" s="6" customFormat="1" spans="1:2">
      <c r="A7662" s="12">
        <f>DATE(2012,12,31)-1194</f>
        <v>40080</v>
      </c>
      <c r="B7662" s="13">
        <v>1132.54</v>
      </c>
    </row>
    <row r="7663" spans="1:2">
      <c r="A7663" s="14">
        <f>DATE(2012,12,31)-1079</f>
        <v>40195</v>
      </c>
      <c r="B7663" s="15">
        <v>85.71</v>
      </c>
    </row>
    <row r="7664" s="6" customFormat="1" spans="1:2">
      <c r="A7664" s="12">
        <f>DATE(2012,12,31)-1079</f>
        <v>40195</v>
      </c>
      <c r="B7664" s="13">
        <v>576.58</v>
      </c>
    </row>
    <row r="7665" s="6" customFormat="1" spans="1:2">
      <c r="A7665" s="12">
        <f>DATE(2012,12,31)-911</f>
        <v>40363</v>
      </c>
      <c r="B7665" s="13">
        <v>438.8</v>
      </c>
    </row>
    <row r="7666" spans="1:2">
      <c r="A7666" s="14">
        <f>DATE(2012,12,31)-101</f>
        <v>41173</v>
      </c>
      <c r="B7666" s="15">
        <v>985.29</v>
      </c>
    </row>
    <row r="7667" s="6" customFormat="1" spans="1:2">
      <c r="A7667" s="12">
        <f>DATE(2012,12,31)-66</f>
        <v>41208</v>
      </c>
      <c r="B7667" s="13">
        <v>575.89</v>
      </c>
    </row>
    <row r="7668" s="6" customFormat="1" spans="1:2">
      <c r="A7668" s="12">
        <f>DATE(2012,12,31)-66</f>
        <v>41208</v>
      </c>
      <c r="B7668" s="13">
        <v>260.6</v>
      </c>
    </row>
    <row r="7669" s="6" customFormat="1" spans="1:2">
      <c r="A7669" s="12">
        <f>DATE(2012,12,31)-759</f>
        <v>40515</v>
      </c>
      <c r="B7669" s="13">
        <v>37.89</v>
      </c>
    </row>
    <row r="7670" spans="1:2">
      <c r="A7670" s="14">
        <f>DATE(2012,12,31)-856</f>
        <v>40418</v>
      </c>
      <c r="B7670" s="15">
        <v>505.08</v>
      </c>
    </row>
    <row r="7671" s="6" customFormat="1" spans="1:2">
      <c r="A7671" s="12">
        <f>DATE(2012,12,31)-856</f>
        <v>40418</v>
      </c>
      <c r="B7671" s="13">
        <v>649.2385</v>
      </c>
    </row>
    <row r="7672" s="6" customFormat="1" spans="1:2">
      <c r="A7672" s="12">
        <f>DATE(2012,12,31)-495</f>
        <v>40779</v>
      </c>
      <c r="B7672" s="13">
        <v>3093.76</v>
      </c>
    </row>
    <row r="7673" s="6" customFormat="1" spans="1:2">
      <c r="A7673" s="12">
        <f>DATE(2012,12,31)-495</f>
        <v>40779</v>
      </c>
      <c r="B7673" s="13">
        <v>6335.8575</v>
      </c>
    </row>
    <row r="7674" s="6" customFormat="1" spans="1:2">
      <c r="A7674" s="12">
        <f>DATE(2012,12,31)-995</f>
        <v>40279</v>
      </c>
      <c r="B7674" s="13">
        <v>994.4745</v>
      </c>
    </row>
    <row r="7675" s="6" customFormat="1" spans="1:2">
      <c r="A7675" s="12">
        <f>DATE(2012,12,31)-425</f>
        <v>40849</v>
      </c>
      <c r="B7675" s="13">
        <v>52.7</v>
      </c>
    </row>
    <row r="7676" s="6" customFormat="1" spans="1:2">
      <c r="A7676" s="12">
        <f>DATE(2012,12,31)-887</f>
        <v>40387</v>
      </c>
      <c r="B7676" s="13">
        <v>600.86</v>
      </c>
    </row>
    <row r="7677" s="6" customFormat="1" spans="1:2">
      <c r="A7677" s="12">
        <f>DATE(2012,12,31)-887</f>
        <v>40387</v>
      </c>
      <c r="B7677" s="13">
        <v>17.06</v>
      </c>
    </row>
    <row r="7678" s="6" customFormat="1" spans="1:2">
      <c r="A7678" s="12">
        <f>DATE(2012,12,31)-817</f>
        <v>40457</v>
      </c>
      <c r="B7678" s="13">
        <v>2532.6175</v>
      </c>
    </row>
    <row r="7679" s="6" customFormat="1" spans="1:2">
      <c r="A7679" s="12">
        <f>DATE(2012,12,31)-28</f>
        <v>41246</v>
      </c>
      <c r="B7679" s="13">
        <v>1008.872</v>
      </c>
    </row>
    <row r="7680" s="6" customFormat="1" spans="1:2">
      <c r="A7680" s="12">
        <f>DATE(2012,12,31)-28</f>
        <v>41246</v>
      </c>
      <c r="B7680" s="13">
        <v>95.68</v>
      </c>
    </row>
    <row r="7681" s="6" customFormat="1" spans="1:2">
      <c r="A7681" s="12">
        <f>DATE(2012,12,31)-1195</f>
        <v>40079</v>
      </c>
      <c r="B7681" s="13">
        <v>706.3925</v>
      </c>
    </row>
    <row r="7682" s="6" customFormat="1" spans="1:2">
      <c r="A7682" s="12">
        <f>DATE(2012,12,31)-289</f>
        <v>40985</v>
      </c>
      <c r="B7682" s="13">
        <v>61.46</v>
      </c>
    </row>
    <row r="7683" s="6" customFormat="1" spans="1:2">
      <c r="A7683" s="12">
        <f>DATE(2012,12,31)-1030</f>
        <v>40244</v>
      </c>
      <c r="B7683" s="13">
        <v>49.61</v>
      </c>
    </row>
    <row r="7684" spans="1:2">
      <c r="A7684" s="14">
        <f>DATE(2012,12,31)-1074</f>
        <v>40200</v>
      </c>
      <c r="B7684" s="15">
        <v>35.14</v>
      </c>
    </row>
    <row r="7685" s="6" customFormat="1" spans="1:2">
      <c r="A7685" s="12">
        <f>DATE(2012,12,31)-661</f>
        <v>40613</v>
      </c>
      <c r="B7685" s="13">
        <v>1648.33</v>
      </c>
    </row>
    <row r="7686" spans="1:2">
      <c r="A7686" s="14">
        <f>DATE(2012,12,31)-74</f>
        <v>41200</v>
      </c>
      <c r="B7686" s="15">
        <v>317.06</v>
      </c>
    </row>
    <row r="7687" s="6" customFormat="1" spans="1:2">
      <c r="A7687" s="12">
        <f>DATE(2012,12,31)-804</f>
        <v>40470</v>
      </c>
      <c r="B7687" s="13">
        <v>566.66</v>
      </c>
    </row>
    <row r="7688" s="6" customFormat="1" spans="1:2">
      <c r="A7688" s="12">
        <f>DATE(2012,12,31)-1247</f>
        <v>40027</v>
      </c>
      <c r="B7688" s="13">
        <v>368.66</v>
      </c>
    </row>
    <row r="7689" s="6" customFormat="1" spans="1:2">
      <c r="A7689" s="12">
        <f>DATE(2012,12,31)-276</f>
        <v>40998</v>
      </c>
      <c r="B7689" s="13">
        <v>22.28</v>
      </c>
    </row>
    <row r="7690" s="6" customFormat="1" spans="1:2">
      <c r="A7690" s="12">
        <f>DATE(2012,12,31)-1410</f>
        <v>39864</v>
      </c>
      <c r="B7690" s="13">
        <v>159.89</v>
      </c>
    </row>
    <row r="7691" spans="1:2">
      <c r="A7691" s="14">
        <f>DATE(2012,12,31)-1410</f>
        <v>39864</v>
      </c>
      <c r="B7691" s="15">
        <v>180.48</v>
      </c>
    </row>
    <row r="7692" s="6" customFormat="1" spans="1:2">
      <c r="A7692" s="12">
        <f>DATE(2012,12,31)-1410</f>
        <v>39864</v>
      </c>
      <c r="B7692" s="13">
        <v>350.48</v>
      </c>
    </row>
    <row r="7693" s="6" customFormat="1" spans="1:2">
      <c r="A7693" s="12">
        <f>DATE(2012,12,31)-1237</f>
        <v>40037</v>
      </c>
      <c r="B7693" s="13">
        <v>633.91</v>
      </c>
    </row>
    <row r="7694" s="6" customFormat="1" spans="1:2">
      <c r="A7694" s="12">
        <f>DATE(2012,12,31)-749</f>
        <v>40525</v>
      </c>
      <c r="B7694" s="13">
        <v>50.35</v>
      </c>
    </row>
    <row r="7695" s="6" customFormat="1" spans="1:2">
      <c r="A7695" s="12">
        <f>DATE(2012,12,31)-107</f>
        <v>41167</v>
      </c>
      <c r="B7695" s="13">
        <v>8684.23</v>
      </c>
    </row>
    <row r="7696" spans="1:2">
      <c r="A7696" s="14">
        <f>DATE(2012,12,31)-1439</f>
        <v>39835</v>
      </c>
      <c r="B7696" s="15">
        <v>134.83</v>
      </c>
    </row>
    <row r="7697" s="6" customFormat="1" spans="1:2">
      <c r="A7697" s="12">
        <f>DATE(2012,12,31)-1439</f>
        <v>39835</v>
      </c>
      <c r="B7697" s="13">
        <v>8865.1</v>
      </c>
    </row>
    <row r="7698" s="6" customFormat="1" spans="1:2">
      <c r="A7698" s="12">
        <f>DATE(2012,12,31)-649</f>
        <v>40625</v>
      </c>
      <c r="B7698" s="13">
        <v>51.39</v>
      </c>
    </row>
    <row r="7699" s="6" customFormat="1" spans="1:2">
      <c r="A7699" s="12">
        <f>DATE(2012,12,31)-649</f>
        <v>40625</v>
      </c>
      <c r="B7699" s="13">
        <v>293.52</v>
      </c>
    </row>
    <row r="7700" s="6" customFormat="1" spans="1:2">
      <c r="A7700" s="12">
        <f>DATE(2012,12,31)-621</f>
        <v>40653</v>
      </c>
      <c r="B7700" s="13">
        <v>67.84</v>
      </c>
    </row>
    <row r="7701" s="6" customFormat="1" spans="1:2">
      <c r="A7701" s="12">
        <f>DATE(2012,12,31)-734</f>
        <v>40540</v>
      </c>
      <c r="B7701" s="13">
        <v>2232.06</v>
      </c>
    </row>
    <row r="7702" s="6" customFormat="1" spans="1:2">
      <c r="A7702" s="12">
        <f>DATE(2012,12,31)-82</f>
        <v>41192</v>
      </c>
      <c r="B7702" s="13">
        <v>387.17</v>
      </c>
    </row>
    <row r="7703" s="6" customFormat="1" spans="1:2">
      <c r="A7703" s="12">
        <f>DATE(2012,12,31)-1451</f>
        <v>39823</v>
      </c>
      <c r="B7703" s="13">
        <v>2137.1</v>
      </c>
    </row>
    <row r="7704" s="6" customFormat="1" spans="1:2">
      <c r="A7704" s="12">
        <f>DATE(2012,12,31)-1451</f>
        <v>39823</v>
      </c>
      <c r="B7704" s="13">
        <v>571.17</v>
      </c>
    </row>
    <row r="7705" s="6" customFormat="1" spans="1:2">
      <c r="A7705" s="12">
        <f>DATE(2012,12,31)-1304</f>
        <v>39970</v>
      </c>
      <c r="B7705" s="13">
        <v>129.3</v>
      </c>
    </row>
    <row r="7706" s="6" customFormat="1" spans="1:2">
      <c r="A7706" s="12">
        <f>DATE(2012,12,31)-1304</f>
        <v>39970</v>
      </c>
      <c r="B7706" s="13">
        <v>104.97</v>
      </c>
    </row>
    <row r="7707" s="6" customFormat="1" spans="1:2">
      <c r="A7707" s="12">
        <f>DATE(2012,12,31)-1039</f>
        <v>40235</v>
      </c>
      <c r="B7707" s="13">
        <v>340.7</v>
      </c>
    </row>
    <row r="7708" spans="1:2">
      <c r="A7708" s="14">
        <f>DATE(2012,12,31)-1076</f>
        <v>40198</v>
      </c>
      <c r="B7708" s="15">
        <v>46.42</v>
      </c>
    </row>
    <row r="7709" spans="1:2">
      <c r="A7709" s="14">
        <f>DATE(2012,12,31)-1076</f>
        <v>40198</v>
      </c>
      <c r="B7709" s="15">
        <v>154.99</v>
      </c>
    </row>
    <row r="7710" s="6" customFormat="1" spans="1:2">
      <c r="A7710" s="12">
        <f>DATE(2012,12,31)-1035</f>
        <v>40239</v>
      </c>
      <c r="B7710" s="13">
        <v>25.84</v>
      </c>
    </row>
    <row r="7711" s="6" customFormat="1" spans="1:2">
      <c r="A7711" s="12">
        <f>DATE(2012,12,31)-426</f>
        <v>40848</v>
      </c>
      <c r="B7711" s="13">
        <v>73.86</v>
      </c>
    </row>
    <row r="7712" s="6" customFormat="1" spans="1:2">
      <c r="A7712" s="12">
        <f>DATE(2012,12,31)-426</f>
        <v>40848</v>
      </c>
      <c r="B7712" s="13">
        <v>4373.8535</v>
      </c>
    </row>
    <row r="7713" s="6" customFormat="1" spans="1:2">
      <c r="A7713" s="12">
        <f>DATE(2012,12,31)-426</f>
        <v>40848</v>
      </c>
      <c r="B7713" s="13">
        <v>2302.36</v>
      </c>
    </row>
    <row r="7714" spans="1:2">
      <c r="A7714" s="14">
        <f>DATE(2012,12,31)-1281</f>
        <v>39993</v>
      </c>
      <c r="B7714" s="15">
        <v>260.59</v>
      </c>
    </row>
    <row r="7715" s="6" customFormat="1" spans="1:2">
      <c r="A7715" s="12">
        <f>DATE(2012,12,31)-206</f>
        <v>41068</v>
      </c>
      <c r="B7715" s="13">
        <v>3723.99</v>
      </c>
    </row>
    <row r="7716" s="6" customFormat="1" spans="1:2">
      <c r="A7716" s="12">
        <f>DATE(2012,12,31)-206</f>
        <v>41068</v>
      </c>
      <c r="B7716" s="13">
        <v>61.94</v>
      </c>
    </row>
    <row r="7717" s="6" customFormat="1" spans="1:2">
      <c r="A7717" s="12">
        <f>DATE(2012,12,31)-290</f>
        <v>40984</v>
      </c>
      <c r="B7717" s="13">
        <v>115.78</v>
      </c>
    </row>
    <row r="7718" s="6" customFormat="1" spans="1:2">
      <c r="A7718" s="12">
        <f>DATE(2012,12,31)-290</f>
        <v>40984</v>
      </c>
      <c r="B7718" s="13">
        <v>210.22</v>
      </c>
    </row>
    <row r="7719" s="6" customFormat="1" spans="1:2">
      <c r="A7719" s="12">
        <f>DATE(2012,12,31)-1346</f>
        <v>39928</v>
      </c>
      <c r="B7719" s="13">
        <v>126.95</v>
      </c>
    </row>
    <row r="7720" s="6" customFormat="1" spans="1:2">
      <c r="A7720" s="12">
        <f>DATE(2012,12,31)-219</f>
        <v>41055</v>
      </c>
      <c r="B7720" s="13">
        <v>1944.87</v>
      </c>
    </row>
    <row r="7721" spans="1:2">
      <c r="A7721" s="14">
        <f>DATE(2012,12,31)-219</f>
        <v>41055</v>
      </c>
      <c r="B7721" s="15">
        <v>61.82</v>
      </c>
    </row>
    <row r="7722" s="6" customFormat="1" spans="1:2">
      <c r="A7722" s="12">
        <f>DATE(2012,12,31)-1190</f>
        <v>40084</v>
      </c>
      <c r="B7722" s="13">
        <v>84.01</v>
      </c>
    </row>
    <row r="7723" s="6" customFormat="1" spans="1:2">
      <c r="A7723" s="12">
        <f>DATE(2012,12,31)-279</f>
        <v>40995</v>
      </c>
      <c r="B7723" s="13">
        <v>75.27</v>
      </c>
    </row>
    <row r="7724" s="6" customFormat="1" spans="1:2">
      <c r="A7724" s="12">
        <f>DATE(2012,12,31)-279</f>
        <v>40995</v>
      </c>
      <c r="B7724" s="13">
        <v>1184.53</v>
      </c>
    </row>
    <row r="7725" s="6" customFormat="1" spans="1:2">
      <c r="A7725" s="12">
        <f>DATE(2012,12,31)-279</f>
        <v>40995</v>
      </c>
      <c r="B7725" s="13">
        <v>3683.73</v>
      </c>
    </row>
    <row r="7726" s="6" customFormat="1" spans="1:2">
      <c r="A7726" s="12">
        <f>DATE(2012,12,31)-1141</f>
        <v>40133</v>
      </c>
      <c r="B7726" s="13">
        <v>246.2</v>
      </c>
    </row>
    <row r="7727" s="6" customFormat="1" spans="1:2">
      <c r="A7727" s="12">
        <f>DATE(2012,12,31)-469</f>
        <v>40805</v>
      </c>
      <c r="B7727" s="13">
        <v>1124.244</v>
      </c>
    </row>
    <row r="7728" s="6" customFormat="1" spans="1:2">
      <c r="A7728" s="12">
        <f>DATE(2012,12,31)-189</f>
        <v>41085</v>
      </c>
      <c r="B7728" s="13">
        <v>57.82</v>
      </c>
    </row>
    <row r="7729" s="6" customFormat="1" spans="1:2">
      <c r="A7729" s="12">
        <f>DATE(2012,12,31)-189</f>
        <v>41085</v>
      </c>
      <c r="B7729" s="13">
        <v>544.89</v>
      </c>
    </row>
    <row r="7730" s="6" customFormat="1" spans="1:2">
      <c r="A7730" s="12">
        <f>DATE(2012,12,31)-604</f>
        <v>40670</v>
      </c>
      <c r="B7730" s="13">
        <v>525.77</v>
      </c>
    </row>
    <row r="7731" s="6" customFormat="1" spans="1:2">
      <c r="A7731" s="12">
        <f>DATE(2012,12,31)-1333</f>
        <v>39941</v>
      </c>
      <c r="B7731" s="13">
        <v>291.4</v>
      </c>
    </row>
    <row r="7732" spans="1:2">
      <c r="A7732" s="14">
        <f>DATE(2012,12,31)-182</f>
        <v>41092</v>
      </c>
      <c r="B7732" s="15">
        <v>445.17</v>
      </c>
    </row>
    <row r="7733" s="6" customFormat="1" spans="1:2">
      <c r="A7733" s="12">
        <f>DATE(2012,12,31)-1263</f>
        <v>40011</v>
      </c>
      <c r="B7733" s="13">
        <v>177.52</v>
      </c>
    </row>
    <row r="7734" spans="1:2">
      <c r="A7734" s="14">
        <f>DATE(2012,12,31)-1141</f>
        <v>40133</v>
      </c>
      <c r="B7734" s="15">
        <v>122.09</v>
      </c>
    </row>
    <row r="7735" s="6" customFormat="1" spans="1:2">
      <c r="A7735" s="12">
        <f>DATE(2012,12,31)-1141</f>
        <v>40133</v>
      </c>
      <c r="B7735" s="13">
        <v>150.06</v>
      </c>
    </row>
    <row r="7736" s="6" customFormat="1" spans="1:2">
      <c r="A7736" s="12">
        <f>DATE(2012,12,31)-1141</f>
        <v>40133</v>
      </c>
      <c r="B7736" s="13">
        <v>95.09</v>
      </c>
    </row>
    <row r="7737" s="6" customFormat="1" spans="1:2">
      <c r="A7737" s="12">
        <f>DATE(2012,12,31)-875</f>
        <v>40399</v>
      </c>
      <c r="B7737" s="13">
        <v>1294.04</v>
      </c>
    </row>
    <row r="7738" s="6" customFormat="1" spans="1:2">
      <c r="A7738" s="12">
        <f>DATE(2012,12,31)-875</f>
        <v>40399</v>
      </c>
      <c r="B7738" s="13">
        <v>392.57</v>
      </c>
    </row>
    <row r="7739" s="6" customFormat="1" spans="1:2">
      <c r="A7739" s="12">
        <f>DATE(2012,12,31)-603</f>
        <v>40671</v>
      </c>
      <c r="B7739" s="13">
        <v>437.478</v>
      </c>
    </row>
    <row r="7740" s="6" customFormat="1" spans="1:2">
      <c r="A7740" s="12">
        <f>DATE(2012,12,31)-603</f>
        <v>40671</v>
      </c>
      <c r="B7740" s="13">
        <v>184.74</v>
      </c>
    </row>
    <row r="7741" s="6" customFormat="1" spans="1:2">
      <c r="A7741" s="12">
        <f>DATE(2012,12,31)-345</f>
        <v>40929</v>
      </c>
      <c r="B7741" s="13">
        <v>1494.232</v>
      </c>
    </row>
    <row r="7742" s="6" customFormat="1" spans="1:2">
      <c r="A7742" s="12">
        <f>DATE(2012,12,31)-657</f>
        <v>40617</v>
      </c>
      <c r="B7742" s="13">
        <v>6356.68</v>
      </c>
    </row>
    <row r="7743" s="6" customFormat="1" spans="1:2">
      <c r="A7743" s="12">
        <f>DATE(2012,12,31)-657</f>
        <v>40617</v>
      </c>
      <c r="B7743" s="13">
        <v>193.15</v>
      </c>
    </row>
    <row r="7744" s="6" customFormat="1" spans="1:2">
      <c r="A7744" s="12">
        <f>DATE(2012,12,31)-87</f>
        <v>41187</v>
      </c>
      <c r="B7744" s="13">
        <v>10348.73</v>
      </c>
    </row>
    <row r="7745" s="6" customFormat="1" spans="1:2">
      <c r="A7745" s="12">
        <f>DATE(2012,12,31)-1209</f>
        <v>40065</v>
      </c>
      <c r="B7745" s="13">
        <v>14.74</v>
      </c>
    </row>
    <row r="7746" s="6" customFormat="1" spans="1:2">
      <c r="A7746" s="12">
        <f>DATE(2012,12,31)-437</f>
        <v>40837</v>
      </c>
      <c r="B7746" s="13">
        <v>1258.97</v>
      </c>
    </row>
    <row r="7747" s="6" customFormat="1" spans="1:2">
      <c r="A7747" s="12">
        <f>DATE(2012,12,31)-299</f>
        <v>40975</v>
      </c>
      <c r="B7747" s="13">
        <v>995.724</v>
      </c>
    </row>
    <row r="7748" s="6" customFormat="1" spans="1:2">
      <c r="A7748" s="12">
        <f>DATE(2012,12,31)-299</f>
        <v>40975</v>
      </c>
      <c r="B7748" s="13">
        <v>830.53</v>
      </c>
    </row>
    <row r="7749" s="6" customFormat="1" spans="1:2">
      <c r="A7749" s="12">
        <f>DATE(2012,12,31)-299</f>
        <v>40975</v>
      </c>
      <c r="B7749" s="13">
        <v>79.93</v>
      </c>
    </row>
    <row r="7750" s="6" customFormat="1" spans="1:2">
      <c r="A7750" s="12">
        <f>DATE(2012,12,31)-766</f>
        <v>40508</v>
      </c>
      <c r="B7750" s="13">
        <v>15152.55</v>
      </c>
    </row>
    <row r="7751" s="6" customFormat="1" spans="1:2">
      <c r="A7751" s="12">
        <f>DATE(2012,12,31)-834</f>
        <v>40440</v>
      </c>
      <c r="B7751" s="13">
        <v>17.3</v>
      </c>
    </row>
    <row r="7752" s="6" customFormat="1" spans="1:2">
      <c r="A7752" s="12">
        <f>DATE(2012,12,31)-98</f>
        <v>41176</v>
      </c>
      <c r="B7752" s="13">
        <v>3671.1415</v>
      </c>
    </row>
    <row r="7753" s="6" customFormat="1" spans="1:2">
      <c r="A7753" s="12">
        <f>DATE(2012,12,31)-169</f>
        <v>41105</v>
      </c>
      <c r="B7753" s="13">
        <v>172.23</v>
      </c>
    </row>
    <row r="7754" s="6" customFormat="1" spans="1:2">
      <c r="A7754" s="12">
        <f>DATE(2012,12,31)-169</f>
        <v>41105</v>
      </c>
      <c r="B7754" s="13">
        <v>1198.1</v>
      </c>
    </row>
    <row r="7755" s="6" customFormat="1" spans="1:2">
      <c r="A7755" s="12">
        <f>DATE(2012,12,31)-647</f>
        <v>40627</v>
      </c>
      <c r="B7755" s="13">
        <v>423.14</v>
      </c>
    </row>
    <row r="7756" spans="1:2">
      <c r="A7756" s="14">
        <f>DATE(2012,12,31)-647</f>
        <v>40627</v>
      </c>
      <c r="B7756" s="15">
        <v>628.39</v>
      </c>
    </row>
    <row r="7757" spans="1:2">
      <c r="A7757" s="14">
        <f>DATE(2012,12,31)-647</f>
        <v>40627</v>
      </c>
      <c r="B7757" s="15">
        <v>162.49</v>
      </c>
    </row>
    <row r="7758" s="6" customFormat="1" spans="1:2">
      <c r="A7758" s="12">
        <f>DATE(2012,12,31)-1428</f>
        <v>39846</v>
      </c>
      <c r="B7758" s="13">
        <v>5718.85</v>
      </c>
    </row>
    <row r="7759" s="6" customFormat="1" spans="1:2">
      <c r="A7759" s="12">
        <f>DATE(2012,12,31)-639</f>
        <v>40635</v>
      </c>
      <c r="B7759" s="13">
        <v>168.57</v>
      </c>
    </row>
    <row r="7760" s="6" customFormat="1" spans="1:2">
      <c r="A7760" s="12">
        <f>DATE(2012,12,31)-70</f>
        <v>41204</v>
      </c>
      <c r="B7760" s="13">
        <v>14665.55</v>
      </c>
    </row>
    <row r="7761" s="6" customFormat="1" spans="1:2">
      <c r="A7761" s="12">
        <f>DATE(2012,12,31)-438</f>
        <v>40836</v>
      </c>
      <c r="B7761" s="13">
        <v>415.055</v>
      </c>
    </row>
    <row r="7762" s="6" customFormat="1" spans="1:2">
      <c r="A7762" s="12">
        <f>DATE(2012,12,31)-1280</f>
        <v>39994</v>
      </c>
      <c r="B7762" s="13">
        <v>324.75</v>
      </c>
    </row>
    <row r="7763" s="6" customFormat="1" spans="1:2">
      <c r="A7763" s="12">
        <f>DATE(2012,12,31)-29</f>
        <v>41245</v>
      </c>
      <c r="B7763" s="13">
        <v>17560.95</v>
      </c>
    </row>
    <row r="7764" s="6" customFormat="1" spans="1:2">
      <c r="A7764" s="12">
        <f>DATE(2012,12,31)-29</f>
        <v>41245</v>
      </c>
      <c r="B7764" s="13">
        <v>19845.696</v>
      </c>
    </row>
    <row r="7765" spans="1:2">
      <c r="A7765" s="14">
        <f>DATE(2012,12,31)-242</f>
        <v>41032</v>
      </c>
      <c r="B7765" s="15">
        <v>364.8</v>
      </c>
    </row>
    <row r="7766" s="6" customFormat="1" spans="1:2">
      <c r="A7766" s="12">
        <f>DATE(2012,12,31)-857</f>
        <v>40417</v>
      </c>
      <c r="B7766" s="13">
        <v>5445.992</v>
      </c>
    </row>
    <row r="7767" s="6" customFormat="1" spans="1:2">
      <c r="A7767" s="12">
        <f>DATE(2012,12,31)-1380</f>
        <v>39894</v>
      </c>
      <c r="B7767" s="13">
        <v>4856.1</v>
      </c>
    </row>
    <row r="7768" s="6" customFormat="1" spans="1:2">
      <c r="A7768" s="12">
        <f>DATE(2012,12,31)-51</f>
        <v>41223</v>
      </c>
      <c r="B7768" s="13">
        <v>323.53</v>
      </c>
    </row>
    <row r="7769" s="6" customFormat="1" spans="1:2">
      <c r="A7769" s="12">
        <f>DATE(2012,12,31)-51</f>
        <v>41223</v>
      </c>
      <c r="B7769" s="13">
        <v>65.7475</v>
      </c>
    </row>
    <row r="7770" s="6" customFormat="1" spans="1:2">
      <c r="A7770" s="12">
        <f>DATE(2012,12,31)-296</f>
        <v>40978</v>
      </c>
      <c r="B7770" s="13">
        <v>4073.17</v>
      </c>
    </row>
    <row r="7771" s="6" customFormat="1" spans="1:2">
      <c r="A7771" s="12">
        <f>DATE(2012,12,31)-686</f>
        <v>40588</v>
      </c>
      <c r="B7771" s="13">
        <v>830.28</v>
      </c>
    </row>
    <row r="7772" s="6" customFormat="1" spans="1:2">
      <c r="A7772" s="12">
        <f>DATE(2012,12,31)-686</f>
        <v>40588</v>
      </c>
      <c r="B7772" s="13">
        <v>837.386</v>
      </c>
    </row>
    <row r="7773" s="6" customFormat="1" spans="1:2">
      <c r="A7773" s="12">
        <f>DATE(2012,12,31)-478</f>
        <v>40796</v>
      </c>
      <c r="B7773" s="13">
        <v>250.7</v>
      </c>
    </row>
    <row r="7774" s="6" customFormat="1" spans="1:2">
      <c r="A7774" s="12">
        <f>DATE(2012,12,31)-156</f>
        <v>41118</v>
      </c>
      <c r="B7774" s="13">
        <v>2650.77</v>
      </c>
    </row>
    <row r="7775" s="6" customFormat="1" spans="1:2">
      <c r="A7775" s="12">
        <f>DATE(2012,12,31)-718</f>
        <v>40556</v>
      </c>
      <c r="B7775" s="13">
        <v>2860.19</v>
      </c>
    </row>
    <row r="7776" spans="1:2">
      <c r="A7776" s="14">
        <f>DATE(2012,12,31)-1232</f>
        <v>40042</v>
      </c>
      <c r="B7776" s="15">
        <v>59.03</v>
      </c>
    </row>
    <row r="7777" s="6" customFormat="1" spans="1:2">
      <c r="A7777" s="12">
        <f>DATE(2012,12,31)-529</f>
        <v>40745</v>
      </c>
      <c r="B7777" s="13">
        <v>4203.88</v>
      </c>
    </row>
    <row r="7778" s="6" customFormat="1" spans="1:2">
      <c r="A7778" s="12">
        <f>DATE(2012,12,31)-1260</f>
        <v>40014</v>
      </c>
      <c r="B7778" s="13">
        <v>221.05</v>
      </c>
    </row>
    <row r="7779" s="6" customFormat="1" spans="1:2">
      <c r="A7779" s="12">
        <f>DATE(2012,12,31)-1260</f>
        <v>40014</v>
      </c>
      <c r="B7779" s="13">
        <v>133.15</v>
      </c>
    </row>
    <row r="7780" spans="1:2">
      <c r="A7780" s="14">
        <f>DATE(2012,12,31)-1260</f>
        <v>40014</v>
      </c>
      <c r="B7780" s="15">
        <v>136.71</v>
      </c>
    </row>
    <row r="7781" s="6" customFormat="1" spans="1:2">
      <c r="A7781" s="12">
        <f>DATE(2012,12,31)-408</f>
        <v>40866</v>
      </c>
      <c r="B7781" s="13">
        <v>15602.93</v>
      </c>
    </row>
    <row r="7782" s="6" customFormat="1" spans="1:2">
      <c r="A7782" s="12">
        <f>DATE(2012,12,31)-1414</f>
        <v>39860</v>
      </c>
      <c r="B7782" s="13">
        <v>208.83</v>
      </c>
    </row>
    <row r="7783" s="6" customFormat="1" spans="1:2">
      <c r="A7783" s="12">
        <f>DATE(2012,12,31)-1414</f>
        <v>39860</v>
      </c>
      <c r="B7783" s="13">
        <v>228.3</v>
      </c>
    </row>
    <row r="7784" s="6" customFormat="1" spans="1:2">
      <c r="A7784" s="12">
        <f>DATE(2012,12,31)-1414</f>
        <v>39860</v>
      </c>
      <c r="B7784" s="13">
        <v>129.53</v>
      </c>
    </row>
    <row r="7785" s="6" customFormat="1" spans="1:2">
      <c r="A7785" s="12">
        <f>DATE(2012,12,31)-1132</f>
        <v>40142</v>
      </c>
      <c r="B7785" s="13">
        <v>413.86</v>
      </c>
    </row>
    <row r="7786" s="6" customFormat="1" spans="1:2">
      <c r="A7786" s="12">
        <f>DATE(2012,12,31)-1132</f>
        <v>40142</v>
      </c>
      <c r="B7786" s="13">
        <v>178.45</v>
      </c>
    </row>
    <row r="7787" s="6" customFormat="1" spans="1:2">
      <c r="A7787" s="12">
        <f>DATE(2012,12,31)-1063</f>
        <v>40211</v>
      </c>
      <c r="B7787" s="13">
        <v>144.28</v>
      </c>
    </row>
    <row r="7788" spans="1:2">
      <c r="A7788" s="14">
        <f>DATE(2012,12,31)-1063</f>
        <v>40211</v>
      </c>
      <c r="B7788" s="15">
        <v>126.53</v>
      </c>
    </row>
    <row r="7789" spans="1:2">
      <c r="A7789" s="14">
        <f>DATE(2012,12,31)-1131</f>
        <v>40143</v>
      </c>
      <c r="B7789" s="15">
        <v>276.3</v>
      </c>
    </row>
    <row r="7790" s="6" customFormat="1" spans="1:2">
      <c r="A7790" s="12">
        <f>DATE(2012,12,31)-1131</f>
        <v>40143</v>
      </c>
      <c r="B7790" s="13">
        <v>120.52</v>
      </c>
    </row>
    <row r="7791" s="6" customFormat="1" spans="1:2">
      <c r="A7791" s="12">
        <f>DATE(2012,12,31)-1131</f>
        <v>40143</v>
      </c>
      <c r="B7791" s="13">
        <v>2269.01</v>
      </c>
    </row>
    <row r="7792" s="6" customFormat="1" spans="1:2">
      <c r="A7792" s="12">
        <f>DATE(2012,12,31)-1318</f>
        <v>39956</v>
      </c>
      <c r="B7792" s="13">
        <v>1844.97</v>
      </c>
    </row>
    <row r="7793" s="6" customFormat="1" spans="1:2">
      <c r="A7793" s="12">
        <f>DATE(2012,12,31)-1322</f>
        <v>39952</v>
      </c>
      <c r="B7793" s="13">
        <v>32.6</v>
      </c>
    </row>
    <row r="7794" spans="1:2">
      <c r="A7794" s="14">
        <f>DATE(2012,12,31)-1322</f>
        <v>39952</v>
      </c>
      <c r="B7794" s="15">
        <v>526.76</v>
      </c>
    </row>
    <row r="7795" s="6" customFormat="1" spans="1:2">
      <c r="A7795" s="12">
        <f>DATE(2012,12,31)-1435</f>
        <v>39839</v>
      </c>
      <c r="B7795" s="13">
        <v>392.77</v>
      </c>
    </row>
    <row r="7796" s="6" customFormat="1" spans="1:2">
      <c r="A7796" s="12">
        <f>DATE(2012,12,31)-1435</f>
        <v>39839</v>
      </c>
      <c r="B7796" s="13">
        <v>7332.088</v>
      </c>
    </row>
    <row r="7797" s="6" customFormat="1" spans="1:2">
      <c r="A7797" s="12">
        <f>DATE(2012,12,31)-182</f>
        <v>41092</v>
      </c>
      <c r="B7797" s="13">
        <v>802.46</v>
      </c>
    </row>
    <row r="7798" spans="1:2">
      <c r="A7798" s="14">
        <f>DATE(2012,12,31)-182</f>
        <v>41092</v>
      </c>
      <c r="B7798" s="15">
        <v>1769.9</v>
      </c>
    </row>
    <row r="7799" s="6" customFormat="1" spans="1:2">
      <c r="A7799" s="12">
        <f>DATE(2012,12,31)-1342</f>
        <v>39932</v>
      </c>
      <c r="B7799" s="13">
        <v>2925.78</v>
      </c>
    </row>
    <row r="7800" spans="1:2">
      <c r="A7800" s="14">
        <f>DATE(2012,12,31)-92</f>
        <v>41182</v>
      </c>
      <c r="B7800" s="15">
        <v>73.62</v>
      </c>
    </row>
    <row r="7801" s="6" customFormat="1" spans="1:2">
      <c r="A7801" s="12">
        <f>DATE(2012,12,31)-819</f>
        <v>40455</v>
      </c>
      <c r="B7801" s="13">
        <v>2329.4</v>
      </c>
    </row>
    <row r="7802" s="6" customFormat="1" spans="1:2">
      <c r="A7802" s="12">
        <f>DATE(2012,12,31)-994</f>
        <v>40280</v>
      </c>
      <c r="B7802" s="13">
        <v>118.36</v>
      </c>
    </row>
    <row r="7803" s="6" customFormat="1" spans="1:2">
      <c r="A7803" s="12">
        <f>DATE(2012,12,31)-1276</f>
        <v>39998</v>
      </c>
      <c r="B7803" s="13">
        <v>514.53</v>
      </c>
    </row>
    <row r="7804" s="6" customFormat="1" spans="1:2">
      <c r="A7804" s="12">
        <f>DATE(2012,12,31)-1276</f>
        <v>39998</v>
      </c>
      <c r="B7804" s="13">
        <v>748.84</v>
      </c>
    </row>
    <row r="7805" s="6" customFormat="1" spans="1:2">
      <c r="A7805" s="12">
        <f>DATE(2012,12,31)-1276</f>
        <v>39998</v>
      </c>
      <c r="B7805" s="13">
        <v>1497.93</v>
      </c>
    </row>
    <row r="7806" s="6" customFormat="1" spans="1:2">
      <c r="A7806" s="12">
        <f>DATE(2012,12,31)-1276</f>
        <v>39998</v>
      </c>
      <c r="B7806" s="13">
        <v>3857.56</v>
      </c>
    </row>
    <row r="7807" s="6" customFormat="1" spans="1:2">
      <c r="A7807" s="12">
        <f>DATE(2012,12,31)-1000</f>
        <v>40274</v>
      </c>
      <c r="B7807" s="13">
        <v>1835.47</v>
      </c>
    </row>
    <row r="7808" spans="1:2">
      <c r="A7808" s="14">
        <f>DATE(2012,12,31)-457</f>
        <v>40817</v>
      </c>
      <c r="B7808" s="15">
        <v>102.99</v>
      </c>
    </row>
    <row r="7809" s="6" customFormat="1" spans="1:2">
      <c r="A7809" s="12">
        <f>DATE(2012,12,31)-457</f>
        <v>40817</v>
      </c>
      <c r="B7809" s="13">
        <v>1429.088</v>
      </c>
    </row>
    <row r="7810" s="6" customFormat="1" spans="1:2">
      <c r="A7810" s="12">
        <f>DATE(2012,12,31)-378</f>
        <v>40896</v>
      </c>
      <c r="B7810" s="13">
        <v>2893.31</v>
      </c>
    </row>
    <row r="7811" s="6" customFormat="1" spans="1:2">
      <c r="A7811" s="12">
        <f>DATE(2012,12,31)-378</f>
        <v>40896</v>
      </c>
      <c r="B7811" s="13">
        <v>3923.27</v>
      </c>
    </row>
    <row r="7812" s="6" customFormat="1" spans="1:2">
      <c r="A7812" s="12">
        <f>DATE(2012,12,31)-402</f>
        <v>40872</v>
      </c>
      <c r="B7812" s="13">
        <v>156.66</v>
      </c>
    </row>
    <row r="7813" s="6" customFormat="1" spans="1:2">
      <c r="A7813" s="12">
        <f>DATE(2012,12,31)-1159</f>
        <v>40115</v>
      </c>
      <c r="B7813" s="13">
        <v>1169.26</v>
      </c>
    </row>
    <row r="7814" s="6" customFormat="1" spans="1:2">
      <c r="A7814" s="12">
        <f>DATE(2012,12,31)-78</f>
        <v>41196</v>
      </c>
      <c r="B7814" s="13">
        <v>55.66</v>
      </c>
    </row>
    <row r="7815" s="6" customFormat="1" spans="1:2">
      <c r="A7815" s="12">
        <f>DATE(2012,12,31)-818</f>
        <v>40456</v>
      </c>
      <c r="B7815" s="13">
        <v>96.03</v>
      </c>
    </row>
    <row r="7816" spans="1:2">
      <c r="A7816" s="14">
        <f>DATE(2012,12,31)-818</f>
        <v>40456</v>
      </c>
      <c r="B7816" s="15">
        <v>122.35</v>
      </c>
    </row>
    <row r="7817" s="6" customFormat="1" spans="1:2">
      <c r="A7817" s="12">
        <f>DATE(2012,12,31)-896</f>
        <v>40378</v>
      </c>
      <c r="B7817" s="13">
        <v>21.45</v>
      </c>
    </row>
    <row r="7818" spans="1:2">
      <c r="A7818" s="14">
        <f>DATE(2012,12,31)-896</f>
        <v>40378</v>
      </c>
      <c r="B7818" s="15">
        <v>5347.13</v>
      </c>
    </row>
    <row r="7819" s="6" customFormat="1" spans="1:2">
      <c r="A7819" s="12">
        <f>DATE(2012,12,31)-736</f>
        <v>40538</v>
      </c>
      <c r="B7819" s="13">
        <v>2332.5955</v>
      </c>
    </row>
    <row r="7820" s="6" customFormat="1" spans="1:2">
      <c r="A7820" s="12">
        <f>DATE(2012,12,31)-885</f>
        <v>40389</v>
      </c>
      <c r="B7820" s="13">
        <v>902.19</v>
      </c>
    </row>
    <row r="7821" s="6" customFormat="1" spans="1:2">
      <c r="A7821" s="12">
        <f>DATE(2012,12,31)-885</f>
        <v>40389</v>
      </c>
      <c r="B7821" s="13">
        <v>657.232</v>
      </c>
    </row>
    <row r="7822" s="6" customFormat="1" spans="1:2">
      <c r="A7822" s="12">
        <f>DATE(2012,12,31)-398</f>
        <v>40876</v>
      </c>
      <c r="B7822" s="13">
        <v>246.06</v>
      </c>
    </row>
    <row r="7823" s="6" customFormat="1" spans="1:2">
      <c r="A7823" s="12">
        <f>DATE(2012,12,31)-398</f>
        <v>40876</v>
      </c>
      <c r="B7823" s="13">
        <v>41.87</v>
      </c>
    </row>
    <row r="7824" s="6" customFormat="1" spans="1:2">
      <c r="A7824" s="12">
        <f>DATE(2012,12,31)-779</f>
        <v>40495</v>
      </c>
      <c r="B7824" s="13">
        <v>1118.82</v>
      </c>
    </row>
    <row r="7825" s="6" customFormat="1" spans="1:2">
      <c r="A7825" s="12">
        <f>DATE(2012,12,31)-779</f>
        <v>40495</v>
      </c>
      <c r="B7825" s="13">
        <v>79.75</v>
      </c>
    </row>
    <row r="7826" s="6" customFormat="1" spans="1:2">
      <c r="A7826" s="12">
        <f>DATE(2012,12,31)-261</f>
        <v>41013</v>
      </c>
      <c r="B7826" s="13">
        <v>1504.22</v>
      </c>
    </row>
    <row r="7827" s="6" customFormat="1" spans="1:2">
      <c r="A7827" s="12">
        <f>DATE(2012,12,31)-616</f>
        <v>40658</v>
      </c>
      <c r="B7827" s="13">
        <v>5217.79</v>
      </c>
    </row>
    <row r="7828" s="6" customFormat="1" spans="1:2">
      <c r="A7828" s="12">
        <f>DATE(2012,12,31)-1238</f>
        <v>40036</v>
      </c>
      <c r="B7828" s="13">
        <v>119.9</v>
      </c>
    </row>
    <row r="7829" s="6" customFormat="1" spans="1:2">
      <c r="A7829" s="12">
        <f>DATE(2012,12,31)-880</f>
        <v>40394</v>
      </c>
      <c r="B7829" s="13">
        <v>615.68</v>
      </c>
    </row>
    <row r="7830" s="6" customFormat="1" spans="1:2">
      <c r="A7830" s="12">
        <f>DATE(2012,12,31)-880</f>
        <v>40394</v>
      </c>
      <c r="B7830" s="13">
        <v>142.24</v>
      </c>
    </row>
    <row r="7831" s="6" customFormat="1" spans="1:2">
      <c r="A7831" s="12">
        <f>DATE(2012,12,31)-1330</f>
        <v>39944</v>
      </c>
      <c r="B7831" s="13">
        <v>28.63</v>
      </c>
    </row>
    <row r="7832" s="6" customFormat="1" spans="1:2">
      <c r="A7832" s="12">
        <f>DATE(2012,12,31)-1330</f>
        <v>39944</v>
      </c>
      <c r="B7832" s="13">
        <v>8014.624</v>
      </c>
    </row>
    <row r="7833" spans="1:2">
      <c r="A7833" s="14">
        <f>DATE(2012,12,31)-67</f>
        <v>41207</v>
      </c>
      <c r="B7833" s="15">
        <v>144.06</v>
      </c>
    </row>
    <row r="7834" s="6" customFormat="1" spans="1:2">
      <c r="A7834" s="12">
        <f>DATE(2012,12,31)-67</f>
        <v>41207</v>
      </c>
      <c r="B7834" s="13">
        <v>3205.24</v>
      </c>
    </row>
    <row r="7835" s="6" customFormat="1" spans="1:2">
      <c r="A7835" s="12">
        <f>DATE(2012,12,31)-67</f>
        <v>41207</v>
      </c>
      <c r="B7835" s="13">
        <v>339.27</v>
      </c>
    </row>
    <row r="7836" s="6" customFormat="1" spans="1:2">
      <c r="A7836" s="12">
        <f>DATE(2012,12,31)-67</f>
        <v>41207</v>
      </c>
      <c r="B7836" s="13">
        <v>902.024</v>
      </c>
    </row>
    <row r="7837" s="6" customFormat="1" spans="1:2">
      <c r="A7837" s="12">
        <f>DATE(2012,12,31)-479</f>
        <v>40795</v>
      </c>
      <c r="B7837" s="13">
        <v>266.3</v>
      </c>
    </row>
    <row r="7838" s="6" customFormat="1" spans="1:2">
      <c r="A7838" s="12">
        <f>DATE(2012,12,31)-1234</f>
        <v>40040</v>
      </c>
      <c r="B7838" s="13">
        <v>223.76</v>
      </c>
    </row>
    <row r="7839" s="6" customFormat="1" spans="1:2">
      <c r="A7839" s="12">
        <f>DATE(2012,12,31)-308</f>
        <v>40966</v>
      </c>
      <c r="B7839" s="13">
        <v>16886.76</v>
      </c>
    </row>
    <row r="7840" s="6" customFormat="1" spans="1:2">
      <c r="A7840" s="12">
        <f>DATE(2012,12,31)-915</f>
        <v>40359</v>
      </c>
      <c r="B7840" s="13">
        <v>1287.94</v>
      </c>
    </row>
    <row r="7841" s="6" customFormat="1" spans="1:2">
      <c r="A7841" s="12">
        <f>DATE(2012,12,31)-915</f>
        <v>40359</v>
      </c>
      <c r="B7841" s="13">
        <v>585.36</v>
      </c>
    </row>
    <row r="7842" s="6" customFormat="1" spans="1:2">
      <c r="A7842" s="12">
        <f>DATE(2012,12,31)-105</f>
        <v>41169</v>
      </c>
      <c r="B7842" s="13">
        <v>11022.53</v>
      </c>
    </row>
    <row r="7843" s="6" customFormat="1" spans="1:2">
      <c r="A7843" s="12">
        <f>DATE(2012,12,31)-105</f>
        <v>41169</v>
      </c>
      <c r="B7843" s="13">
        <v>377.37</v>
      </c>
    </row>
    <row r="7844" s="6" customFormat="1" spans="1:2">
      <c r="A7844" s="12">
        <f>DATE(2012,12,31)-105</f>
        <v>41169</v>
      </c>
      <c r="B7844" s="13">
        <v>1200.7</v>
      </c>
    </row>
    <row r="7845" s="6" customFormat="1" spans="1:2">
      <c r="A7845" s="12">
        <f>DATE(2012,12,31)-1091</f>
        <v>40183</v>
      </c>
      <c r="B7845" s="13">
        <v>702.79</v>
      </c>
    </row>
    <row r="7846" s="6" customFormat="1" spans="1:2">
      <c r="A7846" s="12">
        <f>DATE(2012,12,31)-1091</f>
        <v>40183</v>
      </c>
      <c r="B7846" s="13">
        <v>712.64</v>
      </c>
    </row>
    <row r="7847" s="6" customFormat="1" spans="1:2">
      <c r="A7847" s="12">
        <f>DATE(2012,12,31)-990</f>
        <v>40284</v>
      </c>
      <c r="B7847" s="13">
        <v>135.88</v>
      </c>
    </row>
    <row r="7848" s="6" customFormat="1" spans="1:2">
      <c r="A7848" s="12">
        <f>DATE(2012,12,31)-458</f>
        <v>40816</v>
      </c>
      <c r="B7848" s="13">
        <v>799.84</v>
      </c>
    </row>
    <row r="7849" s="6" customFormat="1" spans="1:2">
      <c r="A7849" s="12">
        <f>DATE(2012,12,31)-458</f>
        <v>40816</v>
      </c>
      <c r="B7849" s="13">
        <v>1689.137</v>
      </c>
    </row>
    <row r="7850" s="6" customFormat="1" spans="1:2">
      <c r="A7850" s="12">
        <f>DATE(2012,12,31)-1085</f>
        <v>40189</v>
      </c>
      <c r="B7850" s="13">
        <v>1767.47</v>
      </c>
    </row>
    <row r="7851" s="6" customFormat="1" spans="1:2">
      <c r="A7851" s="12">
        <f>DATE(2012,12,31)-1085</f>
        <v>40189</v>
      </c>
      <c r="B7851" s="13">
        <v>2164.07</v>
      </c>
    </row>
    <row r="7852" s="6" customFormat="1" spans="1:2">
      <c r="A7852" s="12">
        <f>DATE(2012,12,31)-1085</f>
        <v>40189</v>
      </c>
      <c r="B7852" s="13">
        <v>1276.73</v>
      </c>
    </row>
    <row r="7853" s="6" customFormat="1" spans="1:2">
      <c r="A7853" s="12">
        <f>DATE(2012,12,31)-305</f>
        <v>40969</v>
      </c>
      <c r="B7853" s="13">
        <v>11.7</v>
      </c>
    </row>
    <row r="7854" s="6" customFormat="1" spans="1:2">
      <c r="A7854" s="12">
        <f>DATE(2012,12,31)-153</f>
        <v>41121</v>
      </c>
      <c r="B7854" s="13">
        <v>257.2</v>
      </c>
    </row>
    <row r="7855" s="6" customFormat="1" spans="1:2">
      <c r="A7855" s="12">
        <f>DATE(2012,12,31)-153</f>
        <v>41121</v>
      </c>
      <c r="B7855" s="13">
        <v>6139.34</v>
      </c>
    </row>
    <row r="7856" spans="1:2">
      <c r="A7856" s="14">
        <f>DATE(2012,12,31)-591</f>
        <v>40683</v>
      </c>
      <c r="B7856" s="15">
        <v>128.14</v>
      </c>
    </row>
    <row r="7857" s="6" customFormat="1" spans="1:2">
      <c r="A7857" s="12">
        <f>DATE(2012,12,31)-591</f>
        <v>40683</v>
      </c>
      <c r="B7857" s="13">
        <v>67.46</v>
      </c>
    </row>
    <row r="7858" s="6" customFormat="1" spans="1:2">
      <c r="A7858" s="12">
        <f>DATE(2012,12,31)-263</f>
        <v>41011</v>
      </c>
      <c r="B7858" s="13">
        <v>1613.84</v>
      </c>
    </row>
    <row r="7859" spans="1:2">
      <c r="A7859" s="14">
        <f>DATE(2012,12,31)-526</f>
        <v>40748</v>
      </c>
      <c r="B7859" s="15">
        <v>597.44</v>
      </c>
    </row>
    <row r="7860" s="6" customFormat="1" spans="1:2">
      <c r="A7860" s="12">
        <f>DATE(2012,12,31)-526</f>
        <v>40748</v>
      </c>
      <c r="B7860" s="13">
        <v>132.23</v>
      </c>
    </row>
    <row r="7861" s="6" customFormat="1" spans="1:2">
      <c r="A7861" s="12">
        <f>DATE(2012,12,31)-526</f>
        <v>40748</v>
      </c>
      <c r="B7861" s="13">
        <v>2403.137</v>
      </c>
    </row>
    <row r="7862" s="6" customFormat="1" spans="1:2">
      <c r="A7862" s="12">
        <f>DATE(2012,12,31)-526</f>
        <v>40748</v>
      </c>
      <c r="B7862" s="13">
        <v>5138.335</v>
      </c>
    </row>
    <row r="7863" s="6" customFormat="1" spans="1:2">
      <c r="A7863" s="12">
        <f>DATE(2012,12,31)-372</f>
        <v>40902</v>
      </c>
      <c r="B7863" s="13">
        <v>170.82</v>
      </c>
    </row>
    <row r="7864" s="6" customFormat="1" spans="1:2">
      <c r="A7864" s="12">
        <f>DATE(2012,12,31)-372</f>
        <v>40902</v>
      </c>
      <c r="B7864" s="13">
        <v>1609.69</v>
      </c>
    </row>
    <row r="7865" s="6" customFormat="1" spans="1:2">
      <c r="A7865" s="12">
        <f>DATE(2012,12,31)-1416</f>
        <v>39858</v>
      </c>
      <c r="B7865" s="13">
        <v>6686.344</v>
      </c>
    </row>
    <row r="7866" s="6" customFormat="1" spans="1:2">
      <c r="A7866" s="12">
        <f>DATE(2012,12,31)-264</f>
        <v>41010</v>
      </c>
      <c r="B7866" s="13">
        <v>2728.65</v>
      </c>
    </row>
    <row r="7867" s="6" customFormat="1" spans="1:2">
      <c r="A7867" s="12">
        <f>DATE(2012,12,31)-1411</f>
        <v>39863</v>
      </c>
      <c r="B7867" s="13">
        <v>158.62</v>
      </c>
    </row>
    <row r="7868" s="6" customFormat="1" spans="1:2">
      <c r="A7868" s="12">
        <f>DATE(2012,12,31)-406</f>
        <v>40868</v>
      </c>
      <c r="B7868" s="13">
        <v>176.58</v>
      </c>
    </row>
    <row r="7869" s="6" customFormat="1" spans="1:2">
      <c r="A7869" s="12">
        <f>DATE(2012,12,31)-406</f>
        <v>40868</v>
      </c>
      <c r="B7869" s="13">
        <v>1121.84</v>
      </c>
    </row>
    <row r="7870" s="6" customFormat="1" spans="1:2">
      <c r="A7870" s="12">
        <f>DATE(2012,12,31)-1313</f>
        <v>39961</v>
      </c>
      <c r="B7870" s="13">
        <v>73.62</v>
      </c>
    </row>
    <row r="7871" s="6" customFormat="1" spans="1:2">
      <c r="A7871" s="12">
        <f>DATE(2012,12,31)-324</f>
        <v>40950</v>
      </c>
      <c r="B7871" s="13">
        <v>110</v>
      </c>
    </row>
    <row r="7872" s="6" customFormat="1" spans="1:2">
      <c r="A7872" s="12">
        <f>DATE(2012,12,31)-324</f>
        <v>40950</v>
      </c>
      <c r="B7872" s="13">
        <v>186.89</v>
      </c>
    </row>
    <row r="7873" s="6" customFormat="1" spans="1:2">
      <c r="A7873" s="12">
        <f>DATE(2012,12,31)-584</f>
        <v>40690</v>
      </c>
      <c r="B7873" s="13">
        <v>979.52</v>
      </c>
    </row>
    <row r="7874" s="6" customFormat="1" spans="1:2">
      <c r="A7874" s="12">
        <f>DATE(2012,12,31)-584</f>
        <v>40690</v>
      </c>
      <c r="B7874" s="13">
        <v>126.62</v>
      </c>
    </row>
    <row r="7875" s="6" customFormat="1" spans="1:2">
      <c r="A7875" s="12">
        <f>DATE(2012,12,31)-1246</f>
        <v>40028</v>
      </c>
      <c r="B7875" s="13">
        <v>27.89</v>
      </c>
    </row>
    <row r="7876" s="6" customFormat="1" spans="1:2">
      <c r="A7876" s="12">
        <f>DATE(2012,12,31)-1246</f>
        <v>40028</v>
      </c>
      <c r="B7876" s="13">
        <v>2560.9395</v>
      </c>
    </row>
    <row r="7877" s="6" customFormat="1" spans="1:2">
      <c r="A7877" s="12">
        <f>DATE(2012,12,31)-117</f>
        <v>41157</v>
      </c>
      <c r="B7877" s="13">
        <v>1339.024</v>
      </c>
    </row>
    <row r="7878" s="6" customFormat="1" spans="1:2">
      <c r="A7878" s="12">
        <f>DATE(2012,12,31)-633</f>
        <v>40641</v>
      </c>
      <c r="B7878" s="13">
        <v>823.78</v>
      </c>
    </row>
    <row r="7879" s="6" customFormat="1" spans="1:2">
      <c r="A7879" s="12">
        <f>DATE(2012,12,31)-633</f>
        <v>40641</v>
      </c>
      <c r="B7879" s="13">
        <v>469.8375</v>
      </c>
    </row>
    <row r="7880" s="6" customFormat="1" spans="1:2">
      <c r="A7880" s="12">
        <f>DATE(2012,12,31)-633</f>
        <v>40641</v>
      </c>
      <c r="B7880" s="13">
        <v>647.77</v>
      </c>
    </row>
    <row r="7881" s="6" customFormat="1" spans="1:2">
      <c r="A7881" s="12">
        <f>DATE(2012,12,31)-425</f>
        <v>40849</v>
      </c>
      <c r="B7881" s="13">
        <v>7497.08</v>
      </c>
    </row>
    <row r="7882" s="6" customFormat="1" spans="1:2">
      <c r="A7882" s="12">
        <f>DATE(2012,12,31)-425</f>
        <v>40849</v>
      </c>
      <c r="B7882" s="13">
        <v>1134.2</v>
      </c>
    </row>
    <row r="7883" s="6" customFormat="1" spans="1:2">
      <c r="A7883" s="12">
        <f>DATE(2012,12,31)-505</f>
        <v>40769</v>
      </c>
      <c r="B7883" s="13">
        <v>73.05</v>
      </c>
    </row>
    <row r="7884" spans="1:2">
      <c r="A7884" s="14">
        <f>DATE(2012,12,31)-505</f>
        <v>40769</v>
      </c>
      <c r="B7884" s="15">
        <v>950.3</v>
      </c>
    </row>
    <row r="7885" s="6" customFormat="1" spans="1:2">
      <c r="A7885" s="12">
        <f>DATE(2012,12,31)-505</f>
        <v>40769</v>
      </c>
      <c r="B7885" s="13">
        <v>8122.53</v>
      </c>
    </row>
    <row r="7886" s="6" customFormat="1" spans="1:2">
      <c r="A7886" s="12">
        <f>DATE(2012,12,31)-1422</f>
        <v>39852</v>
      </c>
      <c r="B7886" s="13">
        <v>2026.01</v>
      </c>
    </row>
    <row r="7887" s="6" customFormat="1" spans="1:2">
      <c r="A7887" s="12">
        <f>DATE(2012,12,31)-1298</f>
        <v>39976</v>
      </c>
      <c r="B7887" s="13">
        <v>2612.89</v>
      </c>
    </row>
    <row r="7888" s="6" customFormat="1" spans="1:2">
      <c r="A7888" s="12">
        <f>DATE(2012,12,31)-1298</f>
        <v>39976</v>
      </c>
      <c r="B7888" s="13">
        <v>1146.992</v>
      </c>
    </row>
    <row r="7889" s="6" customFormat="1" spans="1:2">
      <c r="A7889" s="12">
        <f>DATE(2012,12,31)-1298</f>
        <v>39976</v>
      </c>
      <c r="B7889" s="13">
        <v>4581.41</v>
      </c>
    </row>
    <row r="7890" spans="1:2">
      <c r="A7890" s="14">
        <f>DATE(2012,12,31)-1139</f>
        <v>40135</v>
      </c>
      <c r="B7890" s="15">
        <v>42.23</v>
      </c>
    </row>
    <row r="7891" s="6" customFormat="1" spans="1:2">
      <c r="A7891" s="12">
        <f>DATE(2012,12,31)-1030</f>
        <v>40244</v>
      </c>
      <c r="B7891" s="13">
        <v>857.95</v>
      </c>
    </row>
    <row r="7892" s="6" customFormat="1" spans="1:2">
      <c r="A7892" s="12">
        <f>DATE(2012,12,31)-1258</f>
        <v>40016</v>
      </c>
      <c r="B7892" s="13">
        <v>4008.7275</v>
      </c>
    </row>
    <row r="7893" s="6" customFormat="1" spans="1:2">
      <c r="A7893" s="12">
        <f>DATE(2012,12,31)-494</f>
        <v>40780</v>
      </c>
      <c r="B7893" s="13">
        <v>29.31</v>
      </c>
    </row>
    <row r="7894" s="6" customFormat="1" spans="1:2">
      <c r="A7894" s="12">
        <f>DATE(2012,12,31)-494</f>
        <v>40780</v>
      </c>
      <c r="B7894" s="13">
        <v>80.26</v>
      </c>
    </row>
    <row r="7895" s="6" customFormat="1" spans="1:2">
      <c r="A7895" s="12">
        <f>DATE(2012,12,31)-33</f>
        <v>41241</v>
      </c>
      <c r="B7895" s="13">
        <v>82.09</v>
      </c>
    </row>
    <row r="7896" s="6" customFormat="1" spans="1:2">
      <c r="A7896" s="12">
        <f>DATE(2012,12,31)-360</f>
        <v>40914</v>
      </c>
      <c r="B7896" s="13">
        <v>1483.49</v>
      </c>
    </row>
    <row r="7897" s="6" customFormat="1" spans="1:2">
      <c r="A7897" s="12">
        <f>DATE(2012,12,31)-360</f>
        <v>40914</v>
      </c>
      <c r="B7897" s="13">
        <v>14729.36</v>
      </c>
    </row>
    <row r="7898" s="6" customFormat="1" spans="1:2">
      <c r="A7898" s="12">
        <f>DATE(2012,12,31)-957</f>
        <v>40317</v>
      </c>
      <c r="B7898" s="13">
        <v>4257.276</v>
      </c>
    </row>
    <row r="7899" s="6" customFormat="1" spans="1:2">
      <c r="A7899" s="12">
        <f>DATE(2012,12,31)-516</f>
        <v>40758</v>
      </c>
      <c r="B7899" s="13">
        <v>417.53</v>
      </c>
    </row>
    <row r="7900" spans="1:2">
      <c r="A7900" s="14">
        <f>DATE(2012,12,31)-233</f>
        <v>41041</v>
      </c>
      <c r="B7900" s="15">
        <v>1132.32</v>
      </c>
    </row>
    <row r="7901" s="6" customFormat="1" spans="1:2">
      <c r="A7901" s="12">
        <f>DATE(2012,12,31)-233</f>
        <v>41041</v>
      </c>
      <c r="B7901" s="13">
        <v>593.64</v>
      </c>
    </row>
    <row r="7902" s="6" customFormat="1" spans="1:2">
      <c r="A7902" s="12">
        <f>DATE(2012,12,31)-233</f>
        <v>41041</v>
      </c>
      <c r="B7902" s="13">
        <v>2438.3695</v>
      </c>
    </row>
    <row r="7903" s="6" customFormat="1" spans="1:2">
      <c r="A7903" s="12">
        <f>DATE(2012,12,31)-67</f>
        <v>41207</v>
      </c>
      <c r="B7903" s="13">
        <v>206.47</v>
      </c>
    </row>
    <row r="7904" s="6" customFormat="1" spans="1:2">
      <c r="A7904" s="12">
        <f>DATE(2012,12,31)-1360</f>
        <v>39914</v>
      </c>
      <c r="B7904" s="13">
        <v>430.55</v>
      </c>
    </row>
    <row r="7905" s="6" customFormat="1" spans="1:2">
      <c r="A7905" s="12">
        <f>DATE(2012,12,31)-1147</f>
        <v>40127</v>
      </c>
      <c r="B7905" s="13">
        <v>754.92</v>
      </c>
    </row>
    <row r="7906" s="6" customFormat="1" spans="1:2">
      <c r="A7906" s="12">
        <f>DATE(2012,12,31)-29</f>
        <v>41245</v>
      </c>
      <c r="B7906" s="13">
        <v>10006.28</v>
      </c>
    </row>
    <row r="7907" s="6" customFormat="1" spans="1:2">
      <c r="A7907" s="12">
        <f>DATE(2012,12,31)-29</f>
        <v>41245</v>
      </c>
      <c r="B7907" s="13">
        <v>407.17</v>
      </c>
    </row>
    <row r="7908" s="6" customFormat="1" spans="1:2">
      <c r="A7908" s="12">
        <f>DATE(2012,12,31)-965</f>
        <v>40309</v>
      </c>
      <c r="B7908" s="13">
        <v>479.84</v>
      </c>
    </row>
    <row r="7909" s="6" customFormat="1" spans="1:2">
      <c r="A7909" s="12">
        <f>DATE(2012,12,31)-965</f>
        <v>40309</v>
      </c>
      <c r="B7909" s="13">
        <v>833.9265</v>
      </c>
    </row>
    <row r="7910" s="6" customFormat="1" spans="1:2">
      <c r="A7910" s="12">
        <f>DATE(2012,12,31)-965</f>
        <v>40309</v>
      </c>
      <c r="B7910" s="13">
        <v>182.64</v>
      </c>
    </row>
    <row r="7911" s="6" customFormat="1" spans="1:2">
      <c r="A7911" s="12">
        <f>DATE(2012,12,31)-965</f>
        <v>40309</v>
      </c>
      <c r="B7911" s="13">
        <v>736.17</v>
      </c>
    </row>
    <row r="7912" s="6" customFormat="1" spans="1:2">
      <c r="A7912" s="12">
        <f>DATE(2012,12,31)-694</f>
        <v>40580</v>
      </c>
      <c r="B7912" s="13">
        <v>1279.45</v>
      </c>
    </row>
    <row r="7913" s="6" customFormat="1" spans="1:2">
      <c r="A7913" s="12">
        <f>DATE(2012,12,31)-76</f>
        <v>41198</v>
      </c>
      <c r="B7913" s="13">
        <v>34.29</v>
      </c>
    </row>
    <row r="7914" s="6" customFormat="1" spans="1:2">
      <c r="A7914" s="12">
        <f>DATE(2012,12,31)-76</f>
        <v>41198</v>
      </c>
      <c r="B7914" s="13">
        <v>23516.31</v>
      </c>
    </row>
    <row r="7915" s="6" customFormat="1" spans="1:2">
      <c r="A7915" s="12">
        <f>DATE(2012,12,31)-76</f>
        <v>41198</v>
      </c>
      <c r="B7915" s="13">
        <v>662.21</v>
      </c>
    </row>
    <row r="7916" s="6" customFormat="1" spans="1:2">
      <c r="A7916" s="12">
        <f>DATE(2012,12,31)-558</f>
        <v>40716</v>
      </c>
      <c r="B7916" s="13">
        <v>524.25</v>
      </c>
    </row>
    <row r="7917" s="6" customFormat="1" spans="1:2">
      <c r="A7917" s="12">
        <f>DATE(2012,12,31)-523</f>
        <v>40751</v>
      </c>
      <c r="B7917" s="13">
        <v>111.39</v>
      </c>
    </row>
    <row r="7918" s="6" customFormat="1" spans="1:2">
      <c r="A7918" s="12">
        <f>DATE(2012,12,31)-523</f>
        <v>40751</v>
      </c>
      <c r="B7918" s="13">
        <v>1207.02</v>
      </c>
    </row>
    <row r="7919" s="6" customFormat="1" spans="1:2">
      <c r="A7919" s="12">
        <f>DATE(2012,12,31)-763</f>
        <v>40511</v>
      </c>
      <c r="B7919" s="13">
        <v>455.59</v>
      </c>
    </row>
    <row r="7920" s="6" customFormat="1" spans="1:2">
      <c r="A7920" s="12">
        <f>DATE(2012,12,31)-216</f>
        <v>41058</v>
      </c>
      <c r="B7920" s="13">
        <v>78.2</v>
      </c>
    </row>
    <row r="7921" s="6" customFormat="1" spans="1:2">
      <c r="A7921" s="12">
        <f>DATE(2012,12,31)-1117</f>
        <v>40157</v>
      </c>
      <c r="B7921" s="13">
        <v>258.19</v>
      </c>
    </row>
    <row r="7922" spans="1:2">
      <c r="A7922" s="14">
        <f>DATE(2012,12,31)-645</f>
        <v>40629</v>
      </c>
      <c r="B7922" s="15">
        <v>136.45</v>
      </c>
    </row>
    <row r="7923" s="6" customFormat="1" spans="1:2">
      <c r="A7923" s="12">
        <f>DATE(2012,12,31)-645</f>
        <v>40629</v>
      </c>
      <c r="B7923" s="13">
        <v>121.81</v>
      </c>
    </row>
    <row r="7924" s="6" customFormat="1" spans="1:2">
      <c r="A7924" s="12">
        <f>DATE(2012,12,31)-209</f>
        <v>41065</v>
      </c>
      <c r="B7924" s="13">
        <v>14753.08</v>
      </c>
    </row>
    <row r="7925" s="6" customFormat="1" spans="1:2">
      <c r="A7925" s="12">
        <f>DATE(2012,12,31)-1350</f>
        <v>39924</v>
      </c>
      <c r="B7925" s="13">
        <v>47.04</v>
      </c>
    </row>
    <row r="7926" s="6" customFormat="1" spans="1:2">
      <c r="A7926" s="12">
        <f>DATE(2012,12,31)-610</f>
        <v>40664</v>
      </c>
      <c r="B7926" s="13">
        <v>1900.47</v>
      </c>
    </row>
    <row r="7927" s="6" customFormat="1" spans="1:2">
      <c r="A7927" s="12">
        <f>DATE(2012,12,31)-610</f>
        <v>40664</v>
      </c>
      <c r="B7927" s="13">
        <v>205.52</v>
      </c>
    </row>
    <row r="7928" s="6" customFormat="1" spans="1:2">
      <c r="A7928" s="12">
        <f>DATE(2012,12,31)-1045</f>
        <v>40229</v>
      </c>
      <c r="B7928" s="13">
        <v>10.94</v>
      </c>
    </row>
    <row r="7929" s="6" customFormat="1" spans="1:2">
      <c r="A7929" s="12">
        <f>DATE(2012,12,31)-748</f>
        <v>40526</v>
      </c>
      <c r="B7929" s="13">
        <v>965.46</v>
      </c>
    </row>
    <row r="7930" s="6" customFormat="1" spans="1:2">
      <c r="A7930" s="12">
        <f>DATE(2012,12,31)-521</f>
        <v>40753</v>
      </c>
      <c r="B7930" s="13">
        <v>4326.27</v>
      </c>
    </row>
    <row r="7931" s="6" customFormat="1" spans="1:2">
      <c r="A7931" s="12">
        <f>DATE(2012,12,31)-394</f>
        <v>40880</v>
      </c>
      <c r="B7931" s="13">
        <v>1947.4265</v>
      </c>
    </row>
    <row r="7932" s="6" customFormat="1" spans="1:2">
      <c r="A7932" s="12">
        <f>DATE(2012,12,31)-892</f>
        <v>40382</v>
      </c>
      <c r="B7932" s="13">
        <v>842.19</v>
      </c>
    </row>
    <row r="7933" s="6" customFormat="1" spans="1:2">
      <c r="A7933" s="12">
        <f>DATE(2012,12,31)-401</f>
        <v>40873</v>
      </c>
      <c r="B7933" s="13">
        <v>54.32</v>
      </c>
    </row>
    <row r="7934" s="6" customFormat="1" spans="1:2">
      <c r="A7934" s="12">
        <f>DATE(2012,12,31)-1207</f>
        <v>40067</v>
      </c>
      <c r="B7934" s="13">
        <v>100.68</v>
      </c>
    </row>
    <row r="7935" s="6" customFormat="1" spans="1:2">
      <c r="A7935" s="12">
        <f>DATE(2012,12,31)-462</f>
        <v>40812</v>
      </c>
      <c r="B7935" s="13">
        <v>205.88</v>
      </c>
    </row>
    <row r="7936" s="6" customFormat="1" spans="1:2">
      <c r="A7936" s="12">
        <f>DATE(2012,12,31)-136</f>
        <v>41138</v>
      </c>
      <c r="B7936" s="13">
        <v>987.54</v>
      </c>
    </row>
    <row r="7937" s="6" customFormat="1" spans="1:2">
      <c r="A7937" s="12">
        <f>DATE(2012,12,31)-136</f>
        <v>41138</v>
      </c>
      <c r="B7937" s="13">
        <v>228.31</v>
      </c>
    </row>
    <row r="7938" s="6" customFormat="1" spans="1:2">
      <c r="A7938" s="12">
        <f>DATE(2012,12,31)-1062</f>
        <v>40212</v>
      </c>
      <c r="B7938" s="13">
        <v>232.4155</v>
      </c>
    </row>
    <row r="7939" s="6" customFormat="1" spans="1:2">
      <c r="A7939" s="12">
        <f>DATE(2012,12,31)-1243</f>
        <v>40031</v>
      </c>
      <c r="B7939" s="13">
        <v>2784.8295</v>
      </c>
    </row>
    <row r="7940" s="6" customFormat="1" spans="1:2">
      <c r="A7940" s="12">
        <f>DATE(2012,12,31)-304</f>
        <v>40970</v>
      </c>
      <c r="B7940" s="13">
        <v>1383.9</v>
      </c>
    </row>
    <row r="7941" spans="1:2">
      <c r="A7941" s="14">
        <f>DATE(2012,12,31)-988</f>
        <v>40286</v>
      </c>
      <c r="B7941" s="15">
        <v>315.42</v>
      </c>
    </row>
    <row r="7942" s="6" customFormat="1" spans="1:2">
      <c r="A7942" s="12">
        <f>DATE(2012,12,31)-1173</f>
        <v>40101</v>
      </c>
      <c r="B7942" s="13">
        <v>157.57</v>
      </c>
    </row>
    <row r="7943" spans="1:2">
      <c r="A7943" s="14">
        <f>DATE(2012,12,31)-188</f>
        <v>41086</v>
      </c>
      <c r="B7943" s="15">
        <v>71.1</v>
      </c>
    </row>
    <row r="7944" s="6" customFormat="1" spans="1:2">
      <c r="A7944" s="12">
        <f>DATE(2012,12,31)-664</f>
        <v>40610</v>
      </c>
      <c r="B7944" s="13">
        <v>74.25</v>
      </c>
    </row>
    <row r="7945" s="6" customFormat="1" spans="1:2">
      <c r="A7945" s="12">
        <f>DATE(2012,12,31)-664</f>
        <v>40610</v>
      </c>
      <c r="B7945" s="13">
        <v>23.23</v>
      </c>
    </row>
    <row r="7946" s="6" customFormat="1" spans="1:2">
      <c r="A7946" s="12">
        <f>DATE(2012,12,31)-53</f>
        <v>41221</v>
      </c>
      <c r="B7946" s="13">
        <v>2185.61</v>
      </c>
    </row>
    <row r="7947" s="6" customFormat="1" spans="1:2">
      <c r="A7947" s="12">
        <f>DATE(2012,12,31)-236</f>
        <v>41038</v>
      </c>
      <c r="B7947" s="13">
        <v>205.43</v>
      </c>
    </row>
    <row r="7948" s="6" customFormat="1" spans="1:2">
      <c r="A7948" s="12">
        <f>DATE(2012,12,31)-236</f>
        <v>41038</v>
      </c>
      <c r="B7948" s="13">
        <v>979.06</v>
      </c>
    </row>
    <row r="7949" s="6" customFormat="1" spans="1:2">
      <c r="A7949" s="12">
        <f>DATE(2012,12,31)-579</f>
        <v>40695</v>
      </c>
      <c r="B7949" s="13">
        <v>212.12</v>
      </c>
    </row>
    <row r="7950" spans="1:2">
      <c r="A7950" s="14">
        <f>DATE(2012,12,31)-579</f>
        <v>40695</v>
      </c>
      <c r="B7950" s="15">
        <v>2455.54</v>
      </c>
    </row>
    <row r="7951" spans="1:2">
      <c r="A7951" s="14">
        <f>DATE(2012,12,31)-1127</f>
        <v>40147</v>
      </c>
      <c r="B7951" s="15">
        <v>470.79</v>
      </c>
    </row>
    <row r="7952" s="6" customFormat="1" spans="1:2">
      <c r="A7952" s="12">
        <f>DATE(2012,12,31)-1127</f>
        <v>40147</v>
      </c>
      <c r="B7952" s="13">
        <v>36.56</v>
      </c>
    </row>
    <row r="7953" s="6" customFormat="1" spans="1:2">
      <c r="A7953" s="12">
        <f>DATE(2012,12,31)-1127</f>
        <v>40147</v>
      </c>
      <c r="B7953" s="13">
        <v>55.17</v>
      </c>
    </row>
    <row r="7954" s="6" customFormat="1" spans="1:2">
      <c r="A7954" s="12">
        <f>DATE(2012,12,31)-578</f>
        <v>40696</v>
      </c>
      <c r="B7954" s="13">
        <v>173.78</v>
      </c>
    </row>
    <row r="7955" s="6" customFormat="1" spans="1:2">
      <c r="A7955" s="12">
        <f>DATE(2012,12,31)-578</f>
        <v>40696</v>
      </c>
      <c r="B7955" s="13">
        <v>41.18</v>
      </c>
    </row>
    <row r="7956" s="6" customFormat="1" spans="1:2">
      <c r="A7956" s="12">
        <f>DATE(2012,12,31)-427</f>
        <v>40847</v>
      </c>
      <c r="B7956" s="13">
        <v>14.85</v>
      </c>
    </row>
    <row r="7957" s="6" customFormat="1" spans="1:2">
      <c r="A7957" s="12">
        <f>DATE(2012,12,31)-975</f>
        <v>40299</v>
      </c>
      <c r="B7957" s="13">
        <v>2820.6995</v>
      </c>
    </row>
    <row r="7958" s="6" customFormat="1" spans="1:2">
      <c r="A7958" s="12">
        <f>DATE(2012,12,31)-243</f>
        <v>41031</v>
      </c>
      <c r="B7958" s="13">
        <v>18.97</v>
      </c>
    </row>
    <row r="7959" s="6" customFormat="1" spans="1:2">
      <c r="A7959" s="12">
        <f>DATE(2012,12,31)-243</f>
        <v>41031</v>
      </c>
      <c r="B7959" s="13">
        <v>744.64</v>
      </c>
    </row>
    <row r="7960" s="6" customFormat="1" spans="1:2">
      <c r="A7960" s="12">
        <f>DATE(2012,12,31)-649</f>
        <v>40625</v>
      </c>
      <c r="B7960" s="13">
        <v>254.93</v>
      </c>
    </row>
    <row r="7961" s="6" customFormat="1" spans="1:2">
      <c r="A7961" s="12">
        <f>DATE(2012,12,31)-411</f>
        <v>40863</v>
      </c>
      <c r="B7961" s="13">
        <v>199.24</v>
      </c>
    </row>
    <row r="7962" s="6" customFormat="1" spans="1:2">
      <c r="A7962" s="12">
        <f>DATE(2012,12,31)-411</f>
        <v>40863</v>
      </c>
      <c r="B7962" s="13">
        <v>504.6705</v>
      </c>
    </row>
    <row r="7963" s="6" customFormat="1" spans="1:2">
      <c r="A7963" s="12">
        <f>DATE(2012,12,31)-942</f>
        <v>40332</v>
      </c>
      <c r="B7963" s="13">
        <v>61.02</v>
      </c>
    </row>
    <row r="7964" s="6" customFormat="1" spans="1:2">
      <c r="A7964" s="12">
        <f>DATE(2012,12,31)-942</f>
        <v>40332</v>
      </c>
      <c r="B7964" s="13">
        <v>878.77</v>
      </c>
    </row>
    <row r="7965" s="6" customFormat="1" spans="1:2">
      <c r="A7965" s="12">
        <f>DATE(2012,12,31)-1049</f>
        <v>40225</v>
      </c>
      <c r="B7965" s="13">
        <v>735.54</v>
      </c>
    </row>
    <row r="7966" s="6" customFormat="1" spans="1:2">
      <c r="A7966" s="12">
        <f>DATE(2012,12,31)-119</f>
        <v>41155</v>
      </c>
      <c r="B7966" s="13">
        <v>22.89</v>
      </c>
    </row>
    <row r="7967" s="6" customFormat="1" spans="1:2">
      <c r="A7967" s="12">
        <f>DATE(2012,12,31)-119</f>
        <v>41155</v>
      </c>
      <c r="B7967" s="13">
        <v>271.85</v>
      </c>
    </row>
    <row r="7968" s="6" customFormat="1" spans="1:2">
      <c r="A7968" s="12">
        <f>DATE(2012,12,31)-1315</f>
        <v>39959</v>
      </c>
      <c r="B7968" s="13">
        <v>106.05</v>
      </c>
    </row>
    <row r="7969" s="6" customFormat="1" spans="1:2">
      <c r="A7969" s="12">
        <f>DATE(2012,12,31)-1315</f>
        <v>39959</v>
      </c>
      <c r="B7969" s="13">
        <v>698.1</v>
      </c>
    </row>
    <row r="7970" s="6" customFormat="1" spans="1:2">
      <c r="A7970" s="12">
        <f>DATE(2012,12,31)-1293</f>
        <v>39981</v>
      </c>
      <c r="B7970" s="13">
        <v>155.52</v>
      </c>
    </row>
    <row r="7971" spans="1:2">
      <c r="A7971" s="14">
        <f>DATE(2012,12,31)-1293</f>
        <v>39981</v>
      </c>
      <c r="B7971" s="15">
        <v>535.54</v>
      </c>
    </row>
    <row r="7972" spans="1:2">
      <c r="A7972" s="14">
        <f>DATE(2012,12,31)-309</f>
        <v>40965</v>
      </c>
      <c r="B7972" s="15">
        <v>203.57</v>
      </c>
    </row>
    <row r="7973" s="6" customFormat="1" spans="1:2">
      <c r="A7973" s="12">
        <f>DATE(2012,12,31)-1053</f>
        <v>40221</v>
      </c>
      <c r="B7973" s="13">
        <v>4621.1</v>
      </c>
    </row>
    <row r="7974" spans="1:2">
      <c r="A7974" s="14">
        <f>DATE(2012,12,31)-1053</f>
        <v>40221</v>
      </c>
      <c r="B7974" s="15">
        <v>460.2</v>
      </c>
    </row>
    <row r="7975" s="6" customFormat="1" spans="1:2">
      <c r="A7975" s="12">
        <f>DATE(2012,12,31)-588</f>
        <v>40686</v>
      </c>
      <c r="B7975" s="13">
        <v>1360.82</v>
      </c>
    </row>
    <row r="7976" s="6" customFormat="1" spans="1:2">
      <c r="A7976" s="12">
        <f>DATE(2012,12,31)-948</f>
        <v>40326</v>
      </c>
      <c r="B7976" s="13">
        <v>2052.83</v>
      </c>
    </row>
    <row r="7977" s="6" customFormat="1" spans="1:2">
      <c r="A7977" s="12">
        <f>DATE(2012,12,31)-948</f>
        <v>40326</v>
      </c>
      <c r="B7977" s="13">
        <v>620.45</v>
      </c>
    </row>
    <row r="7978" s="6" customFormat="1" spans="1:2">
      <c r="A7978" s="12">
        <f>DATE(2012,12,31)-886</f>
        <v>40388</v>
      </c>
      <c r="B7978" s="13">
        <v>12719.7</v>
      </c>
    </row>
    <row r="7979" s="6" customFormat="1" spans="1:2">
      <c r="A7979" s="12">
        <f>DATE(2012,12,31)-886</f>
        <v>40388</v>
      </c>
      <c r="B7979" s="13">
        <v>109.78</v>
      </c>
    </row>
    <row r="7980" s="6" customFormat="1" spans="1:2">
      <c r="A7980" s="12">
        <f>DATE(2012,12,31)-710</f>
        <v>40564</v>
      </c>
      <c r="B7980" s="13">
        <v>422.25</v>
      </c>
    </row>
    <row r="7981" s="6" customFormat="1" spans="1:2">
      <c r="A7981" s="12">
        <f>DATE(2012,12,31)-1173</f>
        <v>40101</v>
      </c>
      <c r="B7981" s="13">
        <v>167.5</v>
      </c>
    </row>
    <row r="7982" s="6" customFormat="1" spans="1:2">
      <c r="A7982" s="12">
        <f>DATE(2012,12,31)-895</f>
        <v>40379</v>
      </c>
      <c r="B7982" s="13">
        <v>1775.33</v>
      </c>
    </row>
    <row r="7983" s="6" customFormat="1" spans="1:2">
      <c r="A7983" s="12">
        <f>DATE(2012,12,31)-1456</f>
        <v>39818</v>
      </c>
      <c r="B7983" s="13">
        <v>78.08</v>
      </c>
    </row>
    <row r="7984" s="6" customFormat="1" spans="1:2">
      <c r="A7984" s="12">
        <f>DATE(2012,12,31)-1456</f>
        <v>39818</v>
      </c>
      <c r="B7984" s="13">
        <v>653.54</v>
      </c>
    </row>
    <row r="7985" s="6" customFormat="1" spans="1:2">
      <c r="A7985" s="12">
        <f>DATE(2012,12,31)-1456</f>
        <v>39818</v>
      </c>
      <c r="B7985" s="13">
        <v>12635.75</v>
      </c>
    </row>
    <row r="7986" s="6" customFormat="1" spans="1:2">
      <c r="A7986" s="12">
        <f>DATE(2012,12,31)-1456</f>
        <v>39818</v>
      </c>
      <c r="B7986" s="13">
        <v>240.3</v>
      </c>
    </row>
    <row r="7987" s="6" customFormat="1" spans="1:2">
      <c r="A7987" s="12">
        <f>DATE(2012,12,31)-1456</f>
        <v>39818</v>
      </c>
      <c r="B7987" s="13">
        <v>2750.107</v>
      </c>
    </row>
    <row r="7988" s="6" customFormat="1" spans="1:2">
      <c r="A7988" s="12">
        <f>DATE(2012,12,31)-335</f>
        <v>40939</v>
      </c>
      <c r="B7988" s="13">
        <v>299.85</v>
      </c>
    </row>
    <row r="7989" s="6" customFormat="1" spans="1:2">
      <c r="A7989" s="12">
        <f>DATE(2012,12,31)-986</f>
        <v>40288</v>
      </c>
      <c r="B7989" s="13">
        <v>561.66</v>
      </c>
    </row>
    <row r="7990" s="6" customFormat="1" spans="1:2">
      <c r="A7990" s="12">
        <f>DATE(2012,12,31)-986</f>
        <v>40288</v>
      </c>
      <c r="B7990" s="13">
        <v>1851.62</v>
      </c>
    </row>
    <row r="7991" s="6" customFormat="1" spans="1:2">
      <c r="A7991" s="12">
        <f>DATE(2012,12,31)-430</f>
        <v>40844</v>
      </c>
      <c r="B7991" s="13">
        <v>472.12</v>
      </c>
    </row>
    <row r="7992" s="6" customFormat="1" spans="1:2">
      <c r="A7992" s="12">
        <f>DATE(2012,12,31)-811</f>
        <v>40463</v>
      </c>
      <c r="B7992" s="13">
        <v>846.35</v>
      </c>
    </row>
    <row r="7993" s="6" customFormat="1" spans="1:2">
      <c r="A7993" s="12">
        <f>DATE(2012,12,31)-811</f>
        <v>40463</v>
      </c>
      <c r="B7993" s="13">
        <v>1976.3945</v>
      </c>
    </row>
    <row r="7994" s="6" customFormat="1" spans="1:2">
      <c r="A7994" s="12">
        <f>DATE(2012,12,31)-1086</f>
        <v>40188</v>
      </c>
      <c r="B7994" s="13">
        <v>158.79</v>
      </c>
    </row>
    <row r="7995" s="6" customFormat="1" spans="1:2">
      <c r="A7995" s="12">
        <f>DATE(2012,12,31)-1086</f>
        <v>40188</v>
      </c>
      <c r="B7995" s="13">
        <v>79.06</v>
      </c>
    </row>
    <row r="7996" s="6" customFormat="1" spans="1:2">
      <c r="A7996" s="12">
        <f>DATE(2012,12,31)-829</f>
        <v>40445</v>
      </c>
      <c r="B7996" s="13">
        <v>1060.0605</v>
      </c>
    </row>
    <row r="7997" s="6" customFormat="1" spans="1:2">
      <c r="A7997" s="12">
        <f>DATE(2012,12,31)-586</f>
        <v>40688</v>
      </c>
      <c r="B7997" s="13">
        <v>140.63</v>
      </c>
    </row>
    <row r="7998" s="6" customFormat="1" spans="1:2">
      <c r="A7998" s="12">
        <f>DATE(2012,12,31)-586</f>
        <v>40688</v>
      </c>
      <c r="B7998" s="13">
        <v>4872.6675</v>
      </c>
    </row>
    <row r="7999" s="6" customFormat="1" spans="1:2">
      <c r="A7999" s="12">
        <f>DATE(2012,12,31)-561</f>
        <v>40713</v>
      </c>
      <c r="B7999" s="13">
        <v>442.72</v>
      </c>
    </row>
    <row r="8000" s="6" customFormat="1" spans="1:2">
      <c r="A8000" s="12">
        <f>DATE(2012,12,31)-561</f>
        <v>40713</v>
      </c>
      <c r="B8000" s="13">
        <v>326.893</v>
      </c>
    </row>
    <row r="8001" s="6" customFormat="1" spans="1:2">
      <c r="A8001" s="12">
        <f>DATE(2012,12,31)-1099</f>
        <v>40175</v>
      </c>
      <c r="B8001" s="13">
        <v>266.27</v>
      </c>
    </row>
    <row r="8002" s="6" customFormat="1" spans="1:2">
      <c r="A8002" s="12">
        <f>DATE(2012,12,31)-1099</f>
        <v>40175</v>
      </c>
      <c r="B8002" s="13">
        <v>38.44</v>
      </c>
    </row>
    <row r="8003" s="6" customFormat="1" spans="1:2">
      <c r="A8003" s="12">
        <f>DATE(2012,12,31)-438</f>
        <v>40836</v>
      </c>
      <c r="B8003" s="13">
        <v>545.88</v>
      </c>
    </row>
    <row r="8004" s="6" customFormat="1" spans="1:2">
      <c r="A8004" s="12">
        <f>DATE(2012,12,31)-1242</f>
        <v>40032</v>
      </c>
      <c r="B8004" s="13">
        <v>515.23</v>
      </c>
    </row>
    <row r="8005" s="6" customFormat="1" spans="1:2">
      <c r="A8005" s="12">
        <f>DATE(2012,12,31)-1242</f>
        <v>40032</v>
      </c>
      <c r="B8005" s="13">
        <v>41.65</v>
      </c>
    </row>
    <row r="8006" s="6" customFormat="1" spans="1:2">
      <c r="A8006" s="12">
        <f>DATE(2012,12,31)-1379</f>
        <v>39895</v>
      </c>
      <c r="B8006" s="13">
        <v>106.04</v>
      </c>
    </row>
    <row r="8007" s="6" customFormat="1" spans="1:2">
      <c r="A8007" s="12">
        <f>DATE(2012,12,31)-1379</f>
        <v>39895</v>
      </c>
      <c r="B8007" s="13">
        <v>452.93</v>
      </c>
    </row>
    <row r="8008" s="6" customFormat="1" spans="1:2">
      <c r="A8008" s="12">
        <f>DATE(2012,12,31)-1137</f>
        <v>40137</v>
      </c>
      <c r="B8008" s="13">
        <v>90.88</v>
      </c>
    </row>
    <row r="8009" s="6" customFormat="1" spans="1:2">
      <c r="A8009" s="12">
        <f>DATE(2012,12,31)-1137</f>
        <v>40137</v>
      </c>
      <c r="B8009" s="13">
        <v>6236.4755</v>
      </c>
    </row>
    <row r="8010" s="6" customFormat="1" spans="1:2">
      <c r="A8010" s="12">
        <f>DATE(2012,12,31)-1267</f>
        <v>40007</v>
      </c>
      <c r="B8010" s="13">
        <v>223.499</v>
      </c>
    </row>
    <row r="8011" s="6" customFormat="1" spans="1:2">
      <c r="A8011" s="12">
        <f>DATE(2012,12,31)-1378</f>
        <v>39896</v>
      </c>
      <c r="B8011" s="13">
        <v>101.52</v>
      </c>
    </row>
    <row r="8012" s="6" customFormat="1" spans="1:2">
      <c r="A8012" s="12">
        <f>DATE(2012,12,31)-892</f>
        <v>40382</v>
      </c>
      <c r="B8012" s="13">
        <v>1171.232</v>
      </c>
    </row>
    <row r="8013" s="6" customFormat="1" spans="1:2">
      <c r="A8013" s="12">
        <f>DATE(2012,12,31)-597</f>
        <v>40677</v>
      </c>
      <c r="B8013" s="13">
        <v>178.92</v>
      </c>
    </row>
    <row r="8014" s="6" customFormat="1" spans="1:2">
      <c r="A8014" s="12">
        <f>DATE(2012,12,31)-546</f>
        <v>40728</v>
      </c>
      <c r="B8014" s="13">
        <v>315.88</v>
      </c>
    </row>
    <row r="8015" s="6" customFormat="1" spans="1:2">
      <c r="A8015" s="12">
        <f>DATE(2012,12,31)-546</f>
        <v>40728</v>
      </c>
      <c r="B8015" s="13">
        <v>258.11</v>
      </c>
    </row>
    <row r="8016" spans="1:2">
      <c r="A8016" s="14">
        <f>DATE(2012,12,31)-819</f>
        <v>40455</v>
      </c>
      <c r="B8016" s="15">
        <v>167.07</v>
      </c>
    </row>
    <row r="8017" spans="1:2">
      <c r="A8017" s="14">
        <f>DATE(2012,12,31)-819</f>
        <v>40455</v>
      </c>
      <c r="B8017" s="15">
        <v>554.88</v>
      </c>
    </row>
    <row r="8018" spans="1:2">
      <c r="A8018" s="14">
        <f>DATE(2012,12,31)-819</f>
        <v>40455</v>
      </c>
      <c r="B8018" s="15">
        <v>309.65</v>
      </c>
    </row>
    <row r="8019" spans="1:2">
      <c r="A8019" s="14">
        <f>DATE(2012,12,31)-819</f>
        <v>40455</v>
      </c>
      <c r="B8019" s="15">
        <v>152.37</v>
      </c>
    </row>
    <row r="8020" spans="1:2">
      <c r="A8020" s="14">
        <f>DATE(2012,12,31)-1386</f>
        <v>39888</v>
      </c>
      <c r="B8020" s="15">
        <v>1351.43</v>
      </c>
    </row>
    <row r="8021" s="6" customFormat="1" spans="1:2">
      <c r="A8021" s="12">
        <f>DATE(2012,12,31)-1386</f>
        <v>39888</v>
      </c>
      <c r="B8021" s="13">
        <v>357.91</v>
      </c>
    </row>
    <row r="8022" s="6" customFormat="1" spans="1:2">
      <c r="A8022" s="12">
        <f>DATE(2012,12,31)-827</f>
        <v>40447</v>
      </c>
      <c r="B8022" s="13">
        <v>745.48</v>
      </c>
    </row>
    <row r="8023" s="6" customFormat="1" spans="1:2">
      <c r="A8023" s="12">
        <f>DATE(2012,12,31)-827</f>
        <v>40447</v>
      </c>
      <c r="B8023" s="13">
        <v>3086.5115</v>
      </c>
    </row>
    <row r="8024" s="6" customFormat="1" spans="1:2">
      <c r="A8024" s="12">
        <f>DATE(2012,12,31)-820</f>
        <v>40454</v>
      </c>
      <c r="B8024" s="13">
        <v>63.53</v>
      </c>
    </row>
    <row r="8025" s="6" customFormat="1" spans="1:2">
      <c r="A8025" s="12">
        <f>DATE(2012,12,31)-657</f>
        <v>40617</v>
      </c>
      <c r="B8025" s="13">
        <v>132.12</v>
      </c>
    </row>
    <row r="8026" spans="1:2">
      <c r="A8026" s="14">
        <f>DATE(2012,12,31)-1245</f>
        <v>40029</v>
      </c>
      <c r="B8026" s="15">
        <v>357.48</v>
      </c>
    </row>
    <row r="8027" s="6" customFormat="1" spans="1:2">
      <c r="A8027" s="12">
        <f>DATE(2012,12,31)-1417</f>
        <v>39857</v>
      </c>
      <c r="B8027" s="13">
        <v>332.55</v>
      </c>
    </row>
    <row r="8028" s="6" customFormat="1" spans="1:2">
      <c r="A8028" s="12">
        <f>DATE(2012,12,31)-1284</f>
        <v>39990</v>
      </c>
      <c r="B8028" s="13">
        <v>155.45</v>
      </c>
    </row>
    <row r="8029" spans="1:2">
      <c r="A8029" s="14">
        <f>DATE(2012,12,31)-1409</f>
        <v>39865</v>
      </c>
      <c r="B8029" s="15">
        <v>199.39</v>
      </c>
    </row>
    <row r="8030" s="6" customFormat="1" spans="1:2">
      <c r="A8030" s="12">
        <f>DATE(2012,12,31)-1409</f>
        <v>39865</v>
      </c>
      <c r="B8030" s="13">
        <v>2770.35</v>
      </c>
    </row>
    <row r="8031" s="6" customFormat="1" spans="1:2">
      <c r="A8031" s="12">
        <f>DATE(2012,12,31)-387</f>
        <v>40887</v>
      </c>
      <c r="B8031" s="13">
        <v>48.05</v>
      </c>
    </row>
    <row r="8032" s="6" customFormat="1" spans="1:2">
      <c r="A8032" s="12">
        <f>DATE(2012,12,31)-1182</f>
        <v>40092</v>
      </c>
      <c r="B8032" s="13">
        <v>98.46</v>
      </c>
    </row>
    <row r="8033" s="6" customFormat="1" spans="1:2">
      <c r="A8033" s="12">
        <f>DATE(2012,12,31)-1182</f>
        <v>40092</v>
      </c>
      <c r="B8033" s="13">
        <v>569.636</v>
      </c>
    </row>
    <row r="8034" s="6" customFormat="1" spans="1:2">
      <c r="A8034" s="12">
        <f>DATE(2012,12,31)-104</f>
        <v>41170</v>
      </c>
      <c r="B8034" s="13">
        <v>76.38</v>
      </c>
    </row>
    <row r="8035" s="6" customFormat="1" spans="1:2">
      <c r="A8035" s="12">
        <f>DATE(2012,12,31)-104</f>
        <v>41170</v>
      </c>
      <c r="B8035" s="13">
        <v>2948.63</v>
      </c>
    </row>
    <row r="8036" spans="1:2">
      <c r="A8036" s="14">
        <f>DATE(2012,12,31)-104</f>
        <v>41170</v>
      </c>
      <c r="B8036" s="15">
        <v>18.33</v>
      </c>
    </row>
    <row r="8037" s="6" customFormat="1" spans="1:2">
      <c r="A8037" s="12">
        <f>DATE(2012,12,31)-1045</f>
        <v>40229</v>
      </c>
      <c r="B8037" s="13">
        <v>1370.49</v>
      </c>
    </row>
    <row r="8038" s="6" customFormat="1" spans="1:2">
      <c r="A8038" s="12">
        <f>DATE(2012,12,31)-1227</f>
        <v>40047</v>
      </c>
      <c r="B8038" s="13">
        <v>1256.29</v>
      </c>
    </row>
    <row r="8039" spans="1:2">
      <c r="A8039" s="14">
        <f>DATE(2012,12,31)-928</f>
        <v>40346</v>
      </c>
      <c r="B8039" s="15">
        <v>592.54</v>
      </c>
    </row>
    <row r="8040" s="6" customFormat="1" spans="1:2">
      <c r="A8040" s="12">
        <f>DATE(2012,12,31)-94</f>
        <v>41180</v>
      </c>
      <c r="B8040" s="13">
        <v>1823.04</v>
      </c>
    </row>
    <row r="8041" s="6" customFormat="1" spans="1:2">
      <c r="A8041" s="12">
        <f>DATE(2012,12,31)-94</f>
        <v>41180</v>
      </c>
      <c r="B8041" s="13">
        <v>675.23</v>
      </c>
    </row>
    <row r="8042" s="6" customFormat="1" spans="1:2">
      <c r="A8042" s="12">
        <f>DATE(2012,12,31)-538</f>
        <v>40736</v>
      </c>
      <c r="B8042" s="13">
        <v>139.08</v>
      </c>
    </row>
    <row r="8043" s="6" customFormat="1" spans="1:2">
      <c r="A8043" s="12">
        <f>DATE(2012,12,31)-538</f>
        <v>40736</v>
      </c>
      <c r="B8043" s="13">
        <v>75.28</v>
      </c>
    </row>
    <row r="8044" s="6" customFormat="1" spans="1:2">
      <c r="A8044" s="12">
        <f>DATE(2012,12,31)-161</f>
        <v>41113</v>
      </c>
      <c r="B8044" s="13">
        <v>466.36</v>
      </c>
    </row>
    <row r="8045" s="6" customFormat="1" spans="1:2">
      <c r="A8045" s="12">
        <f>DATE(2012,12,31)-50</f>
        <v>41224</v>
      </c>
      <c r="B8045" s="13">
        <v>1882.12</v>
      </c>
    </row>
    <row r="8046" s="6" customFormat="1" spans="1:2">
      <c r="A8046" s="12">
        <f>DATE(2012,12,31)-50</f>
        <v>41224</v>
      </c>
      <c r="B8046" s="13">
        <v>186.94</v>
      </c>
    </row>
    <row r="8047" s="6" customFormat="1" spans="1:2">
      <c r="A8047" s="12">
        <f>DATE(2012,12,31)-50</f>
        <v>41224</v>
      </c>
      <c r="B8047" s="13">
        <v>407.2</v>
      </c>
    </row>
    <row r="8048" s="6" customFormat="1" spans="1:2">
      <c r="A8048" s="12">
        <f>DATE(2012,12,31)-228</f>
        <v>41046</v>
      </c>
      <c r="B8048" s="13">
        <v>130.36</v>
      </c>
    </row>
    <row r="8049" s="6" customFormat="1" spans="1:2">
      <c r="A8049" s="12">
        <f>DATE(2012,12,31)-1093</f>
        <v>40181</v>
      </c>
      <c r="B8049" s="13">
        <v>294.48</v>
      </c>
    </row>
    <row r="8050" s="6" customFormat="1" spans="1:2">
      <c r="A8050" s="12">
        <f>DATE(2012,12,31)-694</f>
        <v>40580</v>
      </c>
      <c r="B8050" s="13">
        <v>351.12</v>
      </c>
    </row>
    <row r="8051" s="6" customFormat="1" spans="1:2">
      <c r="A8051" s="12">
        <f>DATE(2012,12,31)-253</f>
        <v>41021</v>
      </c>
      <c r="B8051" s="13">
        <v>5740.624</v>
      </c>
    </row>
    <row r="8052" s="6" customFormat="1" spans="1:2">
      <c r="A8052" s="12">
        <f>DATE(2012,12,31)-253</f>
        <v>41021</v>
      </c>
      <c r="B8052" s="13">
        <v>570.43</v>
      </c>
    </row>
    <row r="8053" spans="1:2">
      <c r="A8053" s="14">
        <f>DATE(2012,12,31)-253</f>
        <v>41021</v>
      </c>
      <c r="B8053" s="15">
        <v>100.08</v>
      </c>
    </row>
    <row r="8054" s="6" customFormat="1" spans="1:2">
      <c r="A8054" s="12">
        <f>DATE(2012,12,31)-894</f>
        <v>40380</v>
      </c>
      <c r="B8054" s="13">
        <v>2239.52</v>
      </c>
    </row>
    <row r="8055" spans="1:2">
      <c r="A8055" s="14">
        <f>DATE(2012,12,31)-1319</f>
        <v>39955</v>
      </c>
      <c r="B8055" s="15">
        <v>1206.15</v>
      </c>
    </row>
    <row r="8056" s="6" customFormat="1" spans="1:2">
      <c r="A8056" s="12">
        <f>DATE(2012,12,31)-1319</f>
        <v>39955</v>
      </c>
      <c r="B8056" s="13">
        <v>941.99</v>
      </c>
    </row>
    <row r="8057" s="6" customFormat="1" spans="1:2">
      <c r="A8057" s="12">
        <f>DATE(2012,12,31)-876</f>
        <v>40398</v>
      </c>
      <c r="B8057" s="13">
        <v>1803.12</v>
      </c>
    </row>
    <row r="8058" s="6" customFormat="1" spans="1:2">
      <c r="A8058" s="12">
        <f>DATE(2012,12,31)-54</f>
        <v>41220</v>
      </c>
      <c r="B8058" s="13">
        <v>22.78</v>
      </c>
    </row>
    <row r="8059" s="6" customFormat="1" spans="1:2">
      <c r="A8059" s="12">
        <f>DATE(2012,12,31)-360</f>
        <v>40914</v>
      </c>
      <c r="B8059" s="13">
        <v>86</v>
      </c>
    </row>
    <row r="8060" spans="1:2">
      <c r="A8060" s="14">
        <f>DATE(2012,12,31)-360</f>
        <v>40914</v>
      </c>
      <c r="B8060" s="15">
        <v>4805.36</v>
      </c>
    </row>
    <row r="8061" s="6" customFormat="1" spans="1:2">
      <c r="A8061" s="12">
        <f>DATE(2012,12,31)-51</f>
        <v>41223</v>
      </c>
      <c r="B8061" s="13">
        <v>1857.88</v>
      </c>
    </row>
    <row r="8062" spans="1:2">
      <c r="A8062" s="14">
        <f>DATE(2012,12,31)-51</f>
        <v>41223</v>
      </c>
      <c r="B8062" s="15">
        <v>2160.83</v>
      </c>
    </row>
    <row r="8063" s="6" customFormat="1" spans="1:2">
      <c r="A8063" s="12">
        <f>DATE(2012,12,31)-51</f>
        <v>41223</v>
      </c>
      <c r="B8063" s="13">
        <v>43.94</v>
      </c>
    </row>
    <row r="8064" s="6" customFormat="1" spans="1:2">
      <c r="A8064" s="12">
        <f>DATE(2012,12,31)-415</f>
        <v>40859</v>
      </c>
      <c r="B8064" s="13">
        <v>1806.43</v>
      </c>
    </row>
    <row r="8065" s="6" customFormat="1" spans="1:2">
      <c r="A8065" s="12">
        <f>DATE(2012,12,31)-1202</f>
        <v>40072</v>
      </c>
      <c r="B8065" s="13">
        <v>110.14</v>
      </c>
    </row>
    <row r="8066" s="6" customFormat="1" spans="1:2">
      <c r="A8066" s="12">
        <f>DATE(2012,12,31)-1202</f>
        <v>40072</v>
      </c>
      <c r="B8066" s="13">
        <v>453.89</v>
      </c>
    </row>
    <row r="8067" s="6" customFormat="1" spans="1:2">
      <c r="A8067" s="12">
        <f>DATE(2012,12,31)-538</f>
        <v>40736</v>
      </c>
      <c r="B8067" s="13">
        <v>275.11</v>
      </c>
    </row>
    <row r="8068" s="6" customFormat="1" spans="1:2">
      <c r="A8068" s="12">
        <f>DATE(2012,12,31)-538</f>
        <v>40736</v>
      </c>
      <c r="B8068" s="13">
        <v>102.34</v>
      </c>
    </row>
    <row r="8069" s="6" customFormat="1" spans="1:2">
      <c r="A8069" s="12">
        <f>DATE(2012,12,31)-976</f>
        <v>40298</v>
      </c>
      <c r="B8069" s="13">
        <v>517.98</v>
      </c>
    </row>
    <row r="8070" s="6" customFormat="1" spans="1:2">
      <c r="A8070" s="12">
        <f>DATE(2012,12,31)-264</f>
        <v>41010</v>
      </c>
      <c r="B8070" s="13">
        <v>3373.7095</v>
      </c>
    </row>
    <row r="8071" s="6" customFormat="1" spans="1:2">
      <c r="A8071" s="12">
        <f>DATE(2012,12,31)-1254</f>
        <v>40020</v>
      </c>
      <c r="B8071" s="13">
        <v>88.84</v>
      </c>
    </row>
    <row r="8072" s="6" customFormat="1" spans="1:2">
      <c r="A8072" s="12">
        <f>DATE(2012,12,31)-107</f>
        <v>41167</v>
      </c>
      <c r="B8072" s="13">
        <v>3050.81</v>
      </c>
    </row>
    <row r="8073" s="6" customFormat="1" spans="1:2">
      <c r="A8073" s="12">
        <f>DATE(2012,12,31)-488</f>
        <v>40786</v>
      </c>
      <c r="B8073" s="13">
        <v>12343.07</v>
      </c>
    </row>
    <row r="8074" s="6" customFormat="1" spans="1:2">
      <c r="A8074" s="12">
        <f>DATE(2012,12,31)-1278</f>
        <v>39996</v>
      </c>
      <c r="B8074" s="13">
        <v>2453.3</v>
      </c>
    </row>
    <row r="8075" s="6" customFormat="1" spans="1:2">
      <c r="A8075" s="12">
        <f>DATE(2012,12,31)-1278</f>
        <v>39996</v>
      </c>
      <c r="B8075" s="13">
        <v>147.02</v>
      </c>
    </row>
    <row r="8076" s="6" customFormat="1" spans="1:2">
      <c r="A8076" s="12">
        <f>DATE(2012,12,31)-1418</f>
        <v>39856</v>
      </c>
      <c r="B8076" s="13">
        <v>127.45</v>
      </c>
    </row>
    <row r="8077" spans="1:2">
      <c r="A8077" s="14">
        <f>DATE(2012,12,31)-1418</f>
        <v>39856</v>
      </c>
      <c r="B8077" s="15">
        <v>92.18</v>
      </c>
    </row>
    <row r="8078" s="6" customFormat="1" spans="1:2">
      <c r="A8078" s="12">
        <f>DATE(2012,12,31)-975</f>
        <v>40299</v>
      </c>
      <c r="B8078" s="13">
        <v>314.96</v>
      </c>
    </row>
    <row r="8079" s="6" customFormat="1" spans="1:2">
      <c r="A8079" s="12">
        <f>DATE(2012,12,31)-67</f>
        <v>41207</v>
      </c>
      <c r="B8079" s="13">
        <v>120.15</v>
      </c>
    </row>
    <row r="8080" s="6" customFormat="1" spans="1:2">
      <c r="A8080" s="12">
        <f>DATE(2012,12,31)-999</f>
        <v>40275</v>
      </c>
      <c r="B8080" s="13">
        <v>723.3075</v>
      </c>
    </row>
    <row r="8081" s="6" customFormat="1" spans="1:2">
      <c r="A8081" s="12">
        <f>DATE(2012,12,31)-1404</f>
        <v>39870</v>
      </c>
      <c r="B8081" s="13">
        <v>803.04</v>
      </c>
    </row>
    <row r="8082" s="6" customFormat="1" spans="1:2">
      <c r="A8082" s="12">
        <f>DATE(2012,12,31)-745</f>
        <v>40529</v>
      </c>
      <c r="B8082" s="13">
        <v>934.9405</v>
      </c>
    </row>
    <row r="8083" s="6" customFormat="1" spans="1:2">
      <c r="A8083" s="12">
        <f>DATE(2012,12,31)-272</f>
        <v>41002</v>
      </c>
      <c r="B8083" s="13">
        <v>13382.01</v>
      </c>
    </row>
    <row r="8084" s="6" customFormat="1" spans="1:2">
      <c r="A8084" s="12">
        <f>DATE(2012,12,31)-866</f>
        <v>40408</v>
      </c>
      <c r="B8084" s="13">
        <v>45.24</v>
      </c>
    </row>
    <row r="8085" s="6" customFormat="1" spans="1:2">
      <c r="A8085" s="12">
        <f>DATE(2012,12,31)-866</f>
        <v>40408</v>
      </c>
      <c r="B8085" s="13">
        <v>148.05</v>
      </c>
    </row>
    <row r="8086" s="6" customFormat="1" spans="1:2">
      <c r="A8086" s="12">
        <f>DATE(2012,12,31)-692</f>
        <v>40582</v>
      </c>
      <c r="B8086" s="13">
        <v>343.26</v>
      </c>
    </row>
    <row r="8087" spans="1:2">
      <c r="A8087" s="14">
        <f>DATE(2012,12,31)-1402</f>
        <v>39872</v>
      </c>
      <c r="B8087" s="15">
        <v>1419.83</v>
      </c>
    </row>
    <row r="8088" s="6" customFormat="1" spans="1:2">
      <c r="A8088" s="12">
        <f>DATE(2012,12,31)-367</f>
        <v>40907</v>
      </c>
      <c r="B8088" s="13">
        <v>239.86</v>
      </c>
    </row>
    <row r="8089" s="6" customFormat="1" spans="1:2">
      <c r="A8089" s="12">
        <f>DATE(2012,12,31)-367</f>
        <v>40907</v>
      </c>
      <c r="B8089" s="13">
        <v>1269.79</v>
      </c>
    </row>
    <row r="8090" s="6" customFormat="1" spans="1:2">
      <c r="A8090" s="12">
        <f>DATE(2012,12,31)-821</f>
        <v>40453</v>
      </c>
      <c r="B8090" s="13">
        <v>192.99</v>
      </c>
    </row>
    <row r="8091" s="6" customFormat="1" spans="1:2">
      <c r="A8091" s="12">
        <f>DATE(2012,12,31)-821</f>
        <v>40453</v>
      </c>
      <c r="B8091" s="13">
        <v>11829.4</v>
      </c>
    </row>
    <row r="8092" s="6" customFormat="1" spans="1:2">
      <c r="A8092" s="12">
        <f>DATE(2012,12,31)-794</f>
        <v>40480</v>
      </c>
      <c r="B8092" s="13">
        <v>199.93</v>
      </c>
    </row>
    <row r="8093" s="6" customFormat="1" spans="1:2">
      <c r="A8093" s="12">
        <f>DATE(2012,12,31)-286</f>
        <v>40988</v>
      </c>
      <c r="B8093" s="13">
        <v>256.6</v>
      </c>
    </row>
    <row r="8094" s="6" customFormat="1" spans="1:2">
      <c r="A8094" s="12">
        <f>DATE(2012,12,31)-1088</f>
        <v>40186</v>
      </c>
      <c r="B8094" s="13">
        <v>287.75</v>
      </c>
    </row>
    <row r="8095" s="6" customFormat="1" spans="1:2">
      <c r="A8095" s="12">
        <f>DATE(2012,12,31)-727</f>
        <v>40547</v>
      </c>
      <c r="B8095" s="13">
        <v>61.4</v>
      </c>
    </row>
    <row r="8096" s="6" customFormat="1" spans="1:2">
      <c r="A8096" s="12">
        <f>DATE(2012,12,31)-431</f>
        <v>40843</v>
      </c>
      <c r="B8096" s="13">
        <v>208.6</v>
      </c>
    </row>
    <row r="8097" s="6" customFormat="1" spans="1:2">
      <c r="A8097" s="12">
        <f>DATE(2012,12,31)-134</f>
        <v>41140</v>
      </c>
      <c r="B8097" s="13">
        <v>21.55</v>
      </c>
    </row>
    <row r="8098" s="6" customFormat="1" spans="1:2">
      <c r="A8098" s="12">
        <f>DATE(2012,12,31)-134</f>
        <v>41140</v>
      </c>
      <c r="B8098" s="13">
        <v>266.16</v>
      </c>
    </row>
    <row r="8099" s="6" customFormat="1" spans="1:2">
      <c r="A8099" s="12">
        <f>DATE(2012,12,31)-662</f>
        <v>40612</v>
      </c>
      <c r="B8099" s="13">
        <v>154.62</v>
      </c>
    </row>
    <row r="8100" s="6" customFormat="1" spans="1:2">
      <c r="A8100" s="12">
        <f>DATE(2012,12,31)-662</f>
        <v>40612</v>
      </c>
      <c r="B8100" s="13">
        <v>1638.2</v>
      </c>
    </row>
    <row r="8101" s="6" customFormat="1" spans="1:2">
      <c r="A8101" s="12">
        <f>DATE(2012,12,31)-334</f>
        <v>40940</v>
      </c>
      <c r="B8101" s="13">
        <v>362.71</v>
      </c>
    </row>
    <row r="8102" s="6" customFormat="1" spans="1:2">
      <c r="A8102" s="12">
        <f>DATE(2012,12,31)-334</f>
        <v>40940</v>
      </c>
      <c r="B8102" s="13">
        <v>2077.1875</v>
      </c>
    </row>
    <row r="8103" s="6" customFormat="1" spans="1:2">
      <c r="A8103" s="12">
        <f>DATE(2012,12,31)-1374</f>
        <v>39900</v>
      </c>
      <c r="B8103" s="13">
        <v>171.77</v>
      </c>
    </row>
    <row r="8104" s="6" customFormat="1" spans="1:2">
      <c r="A8104" s="12">
        <f>DATE(2012,12,31)-680</f>
        <v>40594</v>
      </c>
      <c r="B8104" s="13">
        <v>134.86</v>
      </c>
    </row>
    <row r="8105" spans="1:2">
      <c r="A8105" s="14">
        <f>DATE(2012,12,31)-1111</f>
        <v>40163</v>
      </c>
      <c r="B8105" s="15">
        <v>778.38</v>
      </c>
    </row>
    <row r="8106" s="6" customFormat="1" spans="1:2">
      <c r="A8106" s="12">
        <f>DATE(2012,12,31)-229</f>
        <v>41045</v>
      </c>
      <c r="B8106" s="13">
        <v>203.49</v>
      </c>
    </row>
    <row r="8107" s="6" customFormat="1" spans="1:2">
      <c r="A8107" s="12">
        <f>DATE(2012,12,31)-1323</f>
        <v>39951</v>
      </c>
      <c r="B8107" s="13">
        <v>470.74</v>
      </c>
    </row>
    <row r="8108" s="6" customFormat="1" spans="1:2">
      <c r="A8108" s="12">
        <f>DATE(2012,12,31)-969</f>
        <v>40305</v>
      </c>
      <c r="B8108" s="13">
        <v>60.36</v>
      </c>
    </row>
    <row r="8109" s="6" customFormat="1" spans="1:2">
      <c r="A8109" s="12">
        <f>DATE(2012,12,31)-1189</f>
        <v>40085</v>
      </c>
      <c r="B8109" s="13">
        <v>211.48</v>
      </c>
    </row>
    <row r="8110" s="6" customFormat="1" spans="1:2">
      <c r="A8110" s="12">
        <f>DATE(2012,12,31)-1189</f>
        <v>40085</v>
      </c>
      <c r="B8110" s="13">
        <v>5601.1</v>
      </c>
    </row>
    <row r="8111" s="6" customFormat="1" spans="1:2">
      <c r="A8111" s="12">
        <f>DATE(2012,12,31)-483</f>
        <v>40791</v>
      </c>
      <c r="B8111" s="13">
        <v>39.49</v>
      </c>
    </row>
    <row r="8112" s="6" customFormat="1" spans="1:2">
      <c r="A8112" s="12">
        <f>DATE(2012,12,31)-85</f>
        <v>41189</v>
      </c>
      <c r="B8112" s="13">
        <v>36.43</v>
      </c>
    </row>
    <row r="8113" s="6" customFormat="1" spans="1:2">
      <c r="A8113" s="12">
        <f>DATE(2012,12,31)-1410</f>
        <v>39864</v>
      </c>
      <c r="B8113" s="13">
        <v>479.13</v>
      </c>
    </row>
    <row r="8114" s="6" customFormat="1" spans="1:2">
      <c r="A8114" s="12">
        <f>DATE(2012,12,31)-25</f>
        <v>41249</v>
      </c>
      <c r="B8114" s="13">
        <v>144.03</v>
      </c>
    </row>
    <row r="8115" s="6" customFormat="1" spans="1:2">
      <c r="A8115" s="12">
        <f>DATE(2012,12,31)-846</f>
        <v>40428</v>
      </c>
      <c r="B8115" s="13">
        <v>146.71</v>
      </c>
    </row>
    <row r="8116" spans="1:2">
      <c r="A8116" s="14">
        <f>DATE(2012,12,31)-846</f>
        <v>40428</v>
      </c>
      <c r="B8116" s="15">
        <v>475.92</v>
      </c>
    </row>
    <row r="8117" spans="1:2">
      <c r="A8117" s="14">
        <f>DATE(2012,12,31)-465</f>
        <v>40809</v>
      </c>
      <c r="B8117" s="15">
        <v>1058.82</v>
      </c>
    </row>
    <row r="8118" s="6" customFormat="1" spans="1:2">
      <c r="A8118" s="12">
        <f>DATE(2012,12,31)-465</f>
        <v>40809</v>
      </c>
      <c r="B8118" s="13">
        <v>92.07</v>
      </c>
    </row>
    <row r="8119" s="6" customFormat="1" spans="1:2">
      <c r="A8119" s="12">
        <f>DATE(2012,12,31)-925</f>
        <v>40349</v>
      </c>
      <c r="B8119" s="13">
        <v>244.9</v>
      </c>
    </row>
    <row r="8120" spans="1:2">
      <c r="A8120" s="14">
        <f>DATE(2012,12,31)-1437</f>
        <v>39837</v>
      </c>
      <c r="B8120" s="15">
        <v>294.68</v>
      </c>
    </row>
    <row r="8121" s="6" customFormat="1" spans="1:2">
      <c r="A8121" s="12">
        <f>DATE(2012,12,31)-112</f>
        <v>41162</v>
      </c>
      <c r="B8121" s="13">
        <v>3512.9</v>
      </c>
    </row>
    <row r="8122" s="6" customFormat="1" spans="1:2">
      <c r="A8122" s="12">
        <f>DATE(2012,12,31)-112</f>
        <v>41162</v>
      </c>
      <c r="B8122" s="13">
        <v>281.5455</v>
      </c>
    </row>
    <row r="8123" spans="1:2">
      <c r="A8123" s="14">
        <f>DATE(2012,12,31)-1360</f>
        <v>39914</v>
      </c>
      <c r="B8123" s="15">
        <v>1317.34</v>
      </c>
    </row>
    <row r="8124" s="6" customFormat="1" spans="1:2">
      <c r="A8124" s="12">
        <f>DATE(2012,12,31)-955</f>
        <v>40319</v>
      </c>
      <c r="B8124" s="13">
        <v>2173.26</v>
      </c>
    </row>
    <row r="8125" s="6" customFormat="1" spans="1:2">
      <c r="A8125" s="12">
        <f>DATE(2012,12,31)-955</f>
        <v>40319</v>
      </c>
      <c r="B8125" s="13">
        <v>623.29</v>
      </c>
    </row>
    <row r="8126" s="6" customFormat="1" spans="1:2">
      <c r="A8126" s="12">
        <f>DATE(2012,12,31)-955</f>
        <v>40319</v>
      </c>
      <c r="B8126" s="13">
        <v>40.34</v>
      </c>
    </row>
    <row r="8127" s="6" customFormat="1" spans="1:2">
      <c r="A8127" s="12">
        <f>DATE(2012,12,31)-1407</f>
        <v>39867</v>
      </c>
      <c r="B8127" s="13">
        <v>834.81</v>
      </c>
    </row>
    <row r="8128" s="6" customFormat="1" spans="1:2">
      <c r="A8128" s="12">
        <f>DATE(2012,12,31)-1313</f>
        <v>39961</v>
      </c>
      <c r="B8128" s="13">
        <v>106.45</v>
      </c>
    </row>
    <row r="8129" spans="1:2">
      <c r="A8129" s="14">
        <f>DATE(2012,12,31)-1297</f>
        <v>39977</v>
      </c>
      <c r="B8129" s="15">
        <v>1608.87</v>
      </c>
    </row>
    <row r="8130" s="6" customFormat="1" spans="1:2">
      <c r="A8130" s="12">
        <f>DATE(2012,12,31)-1297</f>
        <v>39977</v>
      </c>
      <c r="B8130" s="13">
        <v>37.64</v>
      </c>
    </row>
    <row r="8131" s="6" customFormat="1" spans="1:2">
      <c r="A8131" s="12">
        <f>DATE(2012,12,31)-723</f>
        <v>40551</v>
      </c>
      <c r="B8131" s="13">
        <v>1936.3</v>
      </c>
    </row>
    <row r="8132" s="6" customFormat="1" spans="1:2">
      <c r="A8132" s="12">
        <f>DATE(2012,12,31)-640</f>
        <v>40634</v>
      </c>
      <c r="B8132" s="13">
        <v>1718.87</v>
      </c>
    </row>
    <row r="8133" s="6" customFormat="1" spans="1:2">
      <c r="A8133" s="12">
        <f>DATE(2012,12,31)-1452</f>
        <v>39822</v>
      </c>
      <c r="B8133" s="13">
        <v>121.87</v>
      </c>
    </row>
    <row r="8134" s="6" customFormat="1" spans="1:2">
      <c r="A8134" s="12">
        <f>DATE(2012,12,31)-175</f>
        <v>41099</v>
      </c>
      <c r="B8134" s="13">
        <v>14.23</v>
      </c>
    </row>
    <row r="8135" s="6" customFormat="1" spans="1:2">
      <c r="A8135" s="12">
        <f>DATE(2012,12,31)-175</f>
        <v>41099</v>
      </c>
      <c r="B8135" s="13">
        <v>272.07</v>
      </c>
    </row>
    <row r="8136" s="6" customFormat="1" spans="1:2">
      <c r="A8136" s="12">
        <f>DATE(2012,12,31)-175</f>
        <v>41099</v>
      </c>
      <c r="B8136" s="13">
        <v>325.43</v>
      </c>
    </row>
    <row r="8137" s="6" customFormat="1" spans="1:2">
      <c r="A8137" s="12">
        <f>DATE(2012,12,31)-123</f>
        <v>41151</v>
      </c>
      <c r="B8137" s="13">
        <v>320.57</v>
      </c>
    </row>
    <row r="8138" s="6" customFormat="1" spans="1:2">
      <c r="A8138" s="12">
        <f>DATE(2012,12,31)-123</f>
        <v>41151</v>
      </c>
      <c r="B8138" s="13">
        <v>2013.8</v>
      </c>
    </row>
    <row r="8139" s="6" customFormat="1" spans="1:2">
      <c r="A8139" s="12">
        <f>DATE(2012,12,31)-965</f>
        <v>40309</v>
      </c>
      <c r="B8139" s="13">
        <v>2168.05</v>
      </c>
    </row>
    <row r="8140" s="6" customFormat="1" spans="1:2">
      <c r="A8140" s="12">
        <f>DATE(2012,12,31)-965</f>
        <v>40309</v>
      </c>
      <c r="B8140" s="13">
        <v>303.07</v>
      </c>
    </row>
    <row r="8141" s="6" customFormat="1" spans="1:2">
      <c r="A8141" s="12">
        <f>DATE(2012,12,31)-965</f>
        <v>40309</v>
      </c>
      <c r="B8141" s="13">
        <v>1661.8</v>
      </c>
    </row>
    <row r="8142" s="6" customFormat="1" spans="1:2">
      <c r="A8142" s="12">
        <f>DATE(2012,12,31)-639</f>
        <v>40635</v>
      </c>
      <c r="B8142" s="13">
        <v>184.1</v>
      </c>
    </row>
    <row r="8143" s="6" customFormat="1" spans="1:2">
      <c r="A8143" s="12">
        <f>DATE(2012,12,31)-639</f>
        <v>40635</v>
      </c>
      <c r="B8143" s="13">
        <v>38.2</v>
      </c>
    </row>
    <row r="8144" s="6" customFormat="1" spans="1:2">
      <c r="A8144" s="12">
        <f>DATE(2012,12,31)-605</f>
        <v>40669</v>
      </c>
      <c r="B8144" s="13">
        <v>1669.88</v>
      </c>
    </row>
    <row r="8145" s="6" customFormat="1" spans="1:2">
      <c r="A8145" s="12">
        <f>DATE(2012,12,31)-549</f>
        <v>40725</v>
      </c>
      <c r="B8145" s="13">
        <v>2020.58</v>
      </c>
    </row>
    <row r="8146" s="6" customFormat="1" spans="1:2">
      <c r="A8146" s="12">
        <f>DATE(2012,12,31)-549</f>
        <v>40725</v>
      </c>
      <c r="B8146" s="13">
        <v>1533.46</v>
      </c>
    </row>
    <row r="8147" s="6" customFormat="1" spans="1:2">
      <c r="A8147" s="12">
        <f>DATE(2012,12,31)-549</f>
        <v>40725</v>
      </c>
      <c r="B8147" s="13">
        <v>5989.048</v>
      </c>
    </row>
    <row r="8148" s="6" customFormat="1" spans="1:2">
      <c r="A8148" s="12">
        <f>DATE(2012,12,31)-1393</f>
        <v>39881</v>
      </c>
      <c r="B8148" s="13">
        <v>843.53</v>
      </c>
    </row>
    <row r="8149" s="6" customFormat="1" spans="1:2">
      <c r="A8149" s="12">
        <f>DATE(2012,12,31)-238</f>
        <v>41036</v>
      </c>
      <c r="B8149" s="13">
        <v>273.44</v>
      </c>
    </row>
    <row r="8150" spans="1:2">
      <c r="A8150" s="14">
        <f>DATE(2012,12,31)-572</f>
        <v>40702</v>
      </c>
      <c r="B8150" s="15">
        <v>1811.55</v>
      </c>
    </row>
    <row r="8151" s="6" customFormat="1" spans="1:2">
      <c r="A8151" s="12">
        <f>DATE(2012,12,31)-572</f>
        <v>40702</v>
      </c>
      <c r="B8151" s="13">
        <v>49.08</v>
      </c>
    </row>
    <row r="8152" s="6" customFormat="1" spans="1:2">
      <c r="A8152" s="12">
        <f>DATE(2012,12,31)-572</f>
        <v>40702</v>
      </c>
      <c r="B8152" s="13">
        <v>236.19</v>
      </c>
    </row>
    <row r="8153" s="6" customFormat="1" spans="1:2">
      <c r="A8153" s="12">
        <f>DATE(2012,12,31)-572</f>
        <v>40702</v>
      </c>
      <c r="B8153" s="13">
        <v>854.14</v>
      </c>
    </row>
    <row r="8154" s="6" customFormat="1" spans="1:2">
      <c r="A8154" s="12">
        <f>DATE(2012,12,31)-572</f>
        <v>40702</v>
      </c>
      <c r="B8154" s="13">
        <v>159.5</v>
      </c>
    </row>
    <row r="8155" s="6" customFormat="1" spans="1:2">
      <c r="A8155" s="12">
        <f>DATE(2012,12,31)-569</f>
        <v>40705</v>
      </c>
      <c r="B8155" s="13">
        <v>137.97</v>
      </c>
    </row>
    <row r="8156" s="6" customFormat="1" spans="1:2">
      <c r="A8156" s="12">
        <f>DATE(2012,12,31)-686</f>
        <v>40588</v>
      </c>
      <c r="B8156" s="13">
        <v>1529.014</v>
      </c>
    </row>
    <row r="8157" s="6" customFormat="1" spans="1:2">
      <c r="A8157" s="12">
        <f>DATE(2012,12,31)-1053</f>
        <v>40221</v>
      </c>
      <c r="B8157" s="13">
        <v>5186.31</v>
      </c>
    </row>
    <row r="8158" spans="1:2">
      <c r="A8158" s="14">
        <f>DATE(2012,12,31)-796</f>
        <v>40478</v>
      </c>
      <c r="B8158" s="15">
        <v>700.95</v>
      </c>
    </row>
    <row r="8159" s="6" customFormat="1" spans="1:2">
      <c r="A8159" s="12">
        <f>DATE(2012,12,31)-796</f>
        <v>40478</v>
      </c>
      <c r="B8159" s="13">
        <v>159.74</v>
      </c>
    </row>
    <row r="8160" s="6" customFormat="1" spans="1:2">
      <c r="A8160" s="12">
        <f>DATE(2012,12,31)-49</f>
        <v>41225</v>
      </c>
      <c r="B8160" s="13">
        <v>103.03</v>
      </c>
    </row>
    <row r="8161" s="6" customFormat="1" spans="1:2">
      <c r="A8161" s="12">
        <f>DATE(2012,12,31)-496</f>
        <v>40778</v>
      </c>
      <c r="B8161" s="13">
        <v>4680.89</v>
      </c>
    </row>
    <row r="8162" s="6" customFormat="1" spans="1:2">
      <c r="A8162" s="12">
        <f>DATE(2012,12,31)-496</f>
        <v>40778</v>
      </c>
      <c r="B8162" s="13">
        <v>2414.9945</v>
      </c>
    </row>
    <row r="8163" s="6" customFormat="1" spans="1:2">
      <c r="A8163" s="12">
        <f>DATE(2012,12,31)-480</f>
        <v>40794</v>
      </c>
      <c r="B8163" s="13">
        <v>2018.45</v>
      </c>
    </row>
    <row r="8164" s="6" customFormat="1" spans="1:2">
      <c r="A8164" s="12">
        <f>DATE(2012,12,31)-855</f>
        <v>40419</v>
      </c>
      <c r="B8164" s="13">
        <v>812.21</v>
      </c>
    </row>
    <row r="8165" s="6" customFormat="1" spans="1:2">
      <c r="A8165" s="12">
        <f>DATE(2012,12,31)-497</f>
        <v>40777</v>
      </c>
      <c r="B8165" s="13">
        <v>13608.83</v>
      </c>
    </row>
    <row r="8166" s="6" customFormat="1" spans="1:2">
      <c r="A8166" s="12">
        <f>DATE(2012,12,31)-497</f>
        <v>40777</v>
      </c>
      <c r="B8166" s="13">
        <v>89.32</v>
      </c>
    </row>
    <row r="8167" s="6" customFormat="1" spans="1:2">
      <c r="A8167" s="12">
        <f>DATE(2012,12,31)-1082</f>
        <v>40192</v>
      </c>
      <c r="B8167" s="13">
        <v>5332.42</v>
      </c>
    </row>
    <row r="8168" s="6" customFormat="1" spans="1:2">
      <c r="A8168" s="12">
        <f>DATE(2012,12,31)-1082</f>
        <v>40192</v>
      </c>
      <c r="B8168" s="13">
        <v>2328.62</v>
      </c>
    </row>
    <row r="8169" s="6" customFormat="1" spans="1:2">
      <c r="A8169" s="12">
        <f>DATE(2012,12,31)-367</f>
        <v>40907</v>
      </c>
      <c r="B8169" s="13">
        <v>6641.14</v>
      </c>
    </row>
    <row r="8170" s="6" customFormat="1" spans="1:2">
      <c r="A8170" s="12">
        <f>DATE(2012,12,31)-367</f>
        <v>40907</v>
      </c>
      <c r="B8170" s="13">
        <v>10469.03</v>
      </c>
    </row>
    <row r="8171" s="6" customFormat="1" spans="1:2">
      <c r="A8171" s="12">
        <f>DATE(2012,12,31)-367</f>
        <v>40907</v>
      </c>
      <c r="B8171" s="13">
        <v>835.55</v>
      </c>
    </row>
    <row r="8172" s="6" customFormat="1" spans="1:2">
      <c r="A8172" s="12">
        <f>DATE(2012,12,31)-1378</f>
        <v>39896</v>
      </c>
      <c r="B8172" s="13">
        <v>2527.792</v>
      </c>
    </row>
    <row r="8173" s="6" customFormat="1" spans="1:2">
      <c r="A8173" s="12">
        <f>DATE(2012,12,31)-758</f>
        <v>40516</v>
      </c>
      <c r="B8173" s="13">
        <v>39.44</v>
      </c>
    </row>
    <row r="8174" s="6" customFormat="1" spans="1:2">
      <c r="A8174" s="12">
        <f>DATE(2012,12,31)-758</f>
        <v>40516</v>
      </c>
      <c r="B8174" s="13">
        <v>11.01</v>
      </c>
    </row>
    <row r="8175" s="6" customFormat="1" spans="1:2">
      <c r="A8175" s="12">
        <f>DATE(2012,12,31)-1010</f>
        <v>40264</v>
      </c>
      <c r="B8175" s="13">
        <v>1338.12</v>
      </c>
    </row>
    <row r="8176" s="6" customFormat="1" spans="1:2">
      <c r="A8176" s="12">
        <f>DATE(2012,12,31)-203</f>
        <v>41071</v>
      </c>
      <c r="B8176" s="13">
        <v>883.23</v>
      </c>
    </row>
    <row r="8177" s="6" customFormat="1" spans="1:2">
      <c r="A8177" s="12">
        <f>DATE(2012,12,31)-203</f>
        <v>41071</v>
      </c>
      <c r="B8177" s="13">
        <v>917.25</v>
      </c>
    </row>
    <row r="8178" s="6" customFormat="1" spans="1:2">
      <c r="A8178" s="12">
        <f>DATE(2012,12,31)-203</f>
        <v>41071</v>
      </c>
      <c r="B8178" s="13">
        <v>760.801</v>
      </c>
    </row>
    <row r="8179" s="6" customFormat="1" spans="1:2">
      <c r="A8179" s="12">
        <f>DATE(2012,12,31)-799</f>
        <v>40475</v>
      </c>
      <c r="B8179" s="13">
        <v>21.01</v>
      </c>
    </row>
    <row r="8180" s="6" customFormat="1" spans="1:2">
      <c r="A8180" s="12">
        <f>DATE(2012,12,31)-1373</f>
        <v>39901</v>
      </c>
      <c r="B8180" s="13">
        <v>215.93</v>
      </c>
    </row>
    <row r="8181" s="6" customFormat="1" spans="1:2">
      <c r="A8181" s="12">
        <f>DATE(2012,12,31)-422</f>
        <v>40852</v>
      </c>
      <c r="B8181" s="13">
        <v>3023.73</v>
      </c>
    </row>
    <row r="8182" spans="1:2">
      <c r="A8182" s="14">
        <f>DATE(2012,12,31)-1167</f>
        <v>40107</v>
      </c>
      <c r="B8182" s="15">
        <v>876.64</v>
      </c>
    </row>
    <row r="8183" spans="1:2">
      <c r="A8183" s="14">
        <f>DATE(2012,12,31)-1030</f>
        <v>40244</v>
      </c>
      <c r="B8183" s="15">
        <v>2378.82</v>
      </c>
    </row>
    <row r="8184" s="6" customFormat="1" spans="1:2">
      <c r="A8184" s="12">
        <f>DATE(2012,12,31)-1030</f>
        <v>40244</v>
      </c>
      <c r="B8184" s="13">
        <v>202.62</v>
      </c>
    </row>
    <row r="8185" s="6" customFormat="1" spans="1:2">
      <c r="A8185" s="12">
        <f>DATE(2012,12,31)-81</f>
        <v>41193</v>
      </c>
      <c r="B8185" s="13">
        <v>4042.96</v>
      </c>
    </row>
    <row r="8186" s="6" customFormat="1" spans="1:2">
      <c r="A8186" s="12">
        <f>DATE(2012,12,31)-956</f>
        <v>40318</v>
      </c>
      <c r="B8186" s="13">
        <v>148.31</v>
      </c>
    </row>
    <row r="8187" spans="1:2">
      <c r="A8187" s="14">
        <f>DATE(2012,12,31)-956</f>
        <v>40318</v>
      </c>
      <c r="B8187" s="15">
        <v>335.35</v>
      </c>
    </row>
    <row r="8188" s="6" customFormat="1" spans="1:2">
      <c r="A8188" s="12">
        <f>DATE(2012,12,31)-1274</f>
        <v>40000</v>
      </c>
      <c r="B8188" s="13">
        <v>525.78</v>
      </c>
    </row>
    <row r="8189" s="6" customFormat="1" spans="1:2">
      <c r="A8189" s="12">
        <f>DATE(2012,12,31)-394</f>
        <v>40880</v>
      </c>
      <c r="B8189" s="13">
        <v>15.61</v>
      </c>
    </row>
    <row r="8190" s="6" customFormat="1" spans="1:2">
      <c r="A8190" s="12">
        <f>DATE(2012,12,31)-394</f>
        <v>40880</v>
      </c>
      <c r="B8190" s="13">
        <v>47.11</v>
      </c>
    </row>
    <row r="8191" s="6" customFormat="1" spans="1:2">
      <c r="A8191" s="12">
        <f>DATE(2012,12,31)-1440</f>
        <v>39834</v>
      </c>
      <c r="B8191" s="13">
        <v>33.44</v>
      </c>
    </row>
    <row r="8192" s="6" customFormat="1" spans="1:2">
      <c r="A8192" s="12">
        <f>DATE(2012,12,31)-1443</f>
        <v>39831</v>
      </c>
      <c r="B8192" s="13">
        <v>141.9</v>
      </c>
    </row>
    <row r="8193" s="6" customFormat="1" spans="1:2">
      <c r="A8193" s="12">
        <f>DATE(2012,12,31)-1443</f>
        <v>39831</v>
      </c>
      <c r="B8193" s="13">
        <v>1379.1</v>
      </c>
    </row>
    <row r="8194" s="6" customFormat="1" spans="1:2">
      <c r="A8194" s="12">
        <f>DATE(2012,12,31)-1443</f>
        <v>39831</v>
      </c>
      <c r="B8194" s="13">
        <v>278.76</v>
      </c>
    </row>
    <row r="8195" s="6" customFormat="1" spans="1:2">
      <c r="A8195" s="12">
        <f>DATE(2012,12,31)-1443</f>
        <v>39831</v>
      </c>
      <c r="B8195" s="13">
        <v>8875.17</v>
      </c>
    </row>
    <row r="8196" s="6" customFormat="1" spans="1:2">
      <c r="A8196" s="12">
        <f>DATE(2012,12,31)-1443</f>
        <v>39831</v>
      </c>
      <c r="B8196" s="13">
        <v>331.21</v>
      </c>
    </row>
    <row r="8197" s="6" customFormat="1" spans="1:2">
      <c r="A8197" s="12">
        <f>DATE(2012,12,31)-1064</f>
        <v>40210</v>
      </c>
      <c r="B8197" s="13">
        <v>983.78</v>
      </c>
    </row>
    <row r="8198" spans="1:2">
      <c r="A8198" s="14">
        <f>DATE(2012,12,31)-879</f>
        <v>40395</v>
      </c>
      <c r="B8198" s="15">
        <v>195.51</v>
      </c>
    </row>
    <row r="8199" s="6" customFormat="1" spans="1:2">
      <c r="A8199" s="12">
        <f>DATE(2012,12,31)-879</f>
        <v>40395</v>
      </c>
      <c r="B8199" s="13">
        <v>377.13</v>
      </c>
    </row>
    <row r="8200" s="6" customFormat="1" spans="1:2">
      <c r="A8200" s="12">
        <f>DATE(2012,12,31)-1356</f>
        <v>39918</v>
      </c>
      <c r="B8200" s="13">
        <v>998.05</v>
      </c>
    </row>
    <row r="8201" s="6" customFormat="1" spans="1:2">
      <c r="A8201" s="12">
        <f>DATE(2012,12,31)-1356</f>
        <v>39918</v>
      </c>
      <c r="B8201" s="13">
        <v>4353.02</v>
      </c>
    </row>
    <row r="8202" s="6" customFormat="1" spans="1:2">
      <c r="A8202" s="12">
        <f>DATE(2012,12,31)-1038</f>
        <v>40236</v>
      </c>
      <c r="B8202" s="13">
        <v>307.49</v>
      </c>
    </row>
    <row r="8203" s="6" customFormat="1" spans="1:2">
      <c r="A8203" s="12">
        <f>DATE(2012,12,31)-938</f>
        <v>40336</v>
      </c>
      <c r="B8203" s="13">
        <v>23.93</v>
      </c>
    </row>
    <row r="8204" s="6" customFormat="1" spans="1:2">
      <c r="A8204" s="12">
        <f>DATE(2012,12,31)-938</f>
        <v>40336</v>
      </c>
      <c r="B8204" s="13">
        <v>2027.55</v>
      </c>
    </row>
    <row r="8205" s="6" customFormat="1" spans="1:2">
      <c r="A8205" s="12">
        <f>DATE(2012,12,31)-232</f>
        <v>41042</v>
      </c>
      <c r="B8205" s="13">
        <v>5307.5</v>
      </c>
    </row>
    <row r="8206" s="6" customFormat="1" spans="1:2">
      <c r="A8206" s="12">
        <f>DATE(2012,12,31)-982</f>
        <v>40292</v>
      </c>
      <c r="B8206" s="13">
        <v>6130.9</v>
      </c>
    </row>
    <row r="8207" s="6" customFormat="1" spans="1:2">
      <c r="A8207" s="12">
        <f>DATE(2012,12,31)-982</f>
        <v>40292</v>
      </c>
      <c r="B8207" s="13">
        <v>193.205</v>
      </c>
    </row>
    <row r="8208" s="6" customFormat="1" spans="1:2">
      <c r="A8208" s="12">
        <f>DATE(2012,12,31)-792</f>
        <v>40482</v>
      </c>
      <c r="B8208" s="13">
        <v>69.26</v>
      </c>
    </row>
    <row r="8209" s="6" customFormat="1" spans="1:2">
      <c r="A8209" s="12">
        <f>DATE(2012,12,31)-141</f>
        <v>41133</v>
      </c>
      <c r="B8209" s="13">
        <v>161.56</v>
      </c>
    </row>
    <row r="8210" s="6" customFormat="1" spans="1:2">
      <c r="A8210" s="12">
        <f>DATE(2012,12,31)-651</f>
        <v>40623</v>
      </c>
      <c r="B8210" s="13">
        <v>87.68</v>
      </c>
    </row>
    <row r="8211" s="6" customFormat="1" spans="1:2">
      <c r="A8211" s="12">
        <f>DATE(2012,12,31)-651</f>
        <v>40623</v>
      </c>
      <c r="B8211" s="13">
        <v>3732.25</v>
      </c>
    </row>
    <row r="8212" s="6" customFormat="1" spans="1:2">
      <c r="A8212" s="12">
        <f>DATE(2012,12,31)-965</f>
        <v>40309</v>
      </c>
      <c r="B8212" s="13">
        <v>144.55</v>
      </c>
    </row>
    <row r="8213" s="6" customFormat="1" spans="1:2">
      <c r="A8213" s="12">
        <f>DATE(2012,12,31)-1362</f>
        <v>39912</v>
      </c>
      <c r="B8213" s="13">
        <v>99.94</v>
      </c>
    </row>
    <row r="8214" s="6" customFormat="1" spans="1:2">
      <c r="A8214" s="12">
        <f>DATE(2012,12,31)-1362</f>
        <v>39912</v>
      </c>
      <c r="B8214" s="13">
        <v>18.7</v>
      </c>
    </row>
    <row r="8215" s="6" customFormat="1" spans="1:2">
      <c r="A8215" s="12">
        <f>DATE(2012,12,31)-304</f>
        <v>40970</v>
      </c>
      <c r="B8215" s="13">
        <v>14300.26</v>
      </c>
    </row>
    <row r="8216" s="6" customFormat="1" spans="1:2">
      <c r="A8216" s="12">
        <f>DATE(2012,12,31)-304</f>
        <v>40970</v>
      </c>
      <c r="B8216" s="13">
        <v>62.88</v>
      </c>
    </row>
    <row r="8217" s="6" customFormat="1" spans="1:2">
      <c r="A8217" s="12">
        <f>DATE(2012,12,31)-462</f>
        <v>40812</v>
      </c>
      <c r="B8217" s="13">
        <v>410.15</v>
      </c>
    </row>
    <row r="8218" spans="1:2">
      <c r="A8218" s="14">
        <f>DATE(2012,12,31)-462</f>
        <v>40812</v>
      </c>
      <c r="B8218" s="15">
        <v>135.72</v>
      </c>
    </row>
    <row r="8219" s="6" customFormat="1" spans="1:2">
      <c r="A8219" s="12">
        <f>DATE(2012,12,31)-15</f>
        <v>41259</v>
      </c>
      <c r="B8219" s="13">
        <v>1558.9425</v>
      </c>
    </row>
    <row r="8220" s="6" customFormat="1" spans="1:2">
      <c r="A8220" s="12">
        <f>DATE(2012,12,31)-329</f>
        <v>40945</v>
      </c>
      <c r="B8220" s="13">
        <v>75.89</v>
      </c>
    </row>
    <row r="8221" s="6" customFormat="1" spans="1:2">
      <c r="A8221" s="12">
        <f>DATE(2012,12,31)-700</f>
        <v>40574</v>
      </c>
      <c r="B8221" s="13">
        <v>1262.75</v>
      </c>
    </row>
    <row r="8222" s="6" customFormat="1" spans="1:2">
      <c r="A8222" s="12">
        <f>DATE(2012,12,31)-824</f>
        <v>40450</v>
      </c>
      <c r="B8222" s="13">
        <v>3451.85</v>
      </c>
    </row>
    <row r="8223" s="6" customFormat="1" spans="1:2">
      <c r="A8223" s="12">
        <f>DATE(2012,12,31)-409</f>
        <v>40865</v>
      </c>
      <c r="B8223" s="13">
        <v>614.91</v>
      </c>
    </row>
    <row r="8224" s="6" customFormat="1" spans="1:2">
      <c r="A8224" s="12">
        <f>DATE(2012,12,31)-219</f>
        <v>41055</v>
      </c>
      <c r="B8224" s="13">
        <v>254.46</v>
      </c>
    </row>
    <row r="8225" s="6" customFormat="1" spans="1:2">
      <c r="A8225" s="12">
        <f>DATE(2012,12,31)-219</f>
        <v>41055</v>
      </c>
      <c r="B8225" s="13">
        <v>278.19</v>
      </c>
    </row>
    <row r="8226" s="6" customFormat="1" spans="1:2">
      <c r="A8226" s="12">
        <f>DATE(2012,12,31)-219</f>
        <v>41055</v>
      </c>
      <c r="B8226" s="13">
        <v>1662.33</v>
      </c>
    </row>
    <row r="8227" s="6" customFormat="1" spans="1:2">
      <c r="A8227" s="12">
        <f>DATE(2012,12,31)-530</f>
        <v>40744</v>
      </c>
      <c r="B8227" s="13">
        <v>20.19</v>
      </c>
    </row>
    <row r="8228" s="6" customFormat="1" spans="1:2">
      <c r="A8228" s="12">
        <f>DATE(2012,12,31)-687</f>
        <v>40587</v>
      </c>
      <c r="B8228" s="13">
        <v>140.24</v>
      </c>
    </row>
    <row r="8229" s="6" customFormat="1" spans="1:2">
      <c r="A8229" s="12">
        <f>DATE(2012,12,31)-703</f>
        <v>40571</v>
      </c>
      <c r="B8229" s="13">
        <v>266.94</v>
      </c>
    </row>
    <row r="8230" s="6" customFormat="1" spans="1:2">
      <c r="A8230" s="12">
        <f>DATE(2012,12,31)-703</f>
        <v>40571</v>
      </c>
      <c r="B8230" s="13">
        <v>113.85</v>
      </c>
    </row>
    <row r="8231" s="6" customFormat="1" spans="1:2">
      <c r="A8231" s="12">
        <f>DATE(2012,12,31)-1316</f>
        <v>39958</v>
      </c>
      <c r="B8231" s="13">
        <v>78.94</v>
      </c>
    </row>
    <row r="8232" s="6" customFormat="1" spans="1:2">
      <c r="A8232" s="12">
        <f>DATE(2012,12,31)-1316</f>
        <v>39958</v>
      </c>
      <c r="B8232" s="13">
        <v>576.89</v>
      </c>
    </row>
    <row r="8233" s="6" customFormat="1" spans="1:2">
      <c r="A8233" s="12">
        <f>DATE(2012,12,31)-1316</f>
        <v>39958</v>
      </c>
      <c r="B8233" s="13">
        <v>35.666</v>
      </c>
    </row>
    <row r="8234" s="6" customFormat="1" spans="1:2">
      <c r="A8234" s="12">
        <f>DATE(2012,12,31)-1316</f>
        <v>39958</v>
      </c>
      <c r="B8234" s="13">
        <v>4191.5625</v>
      </c>
    </row>
    <row r="8235" s="6" customFormat="1" spans="1:2">
      <c r="A8235" s="12">
        <f>DATE(2012,12,31)-872</f>
        <v>40402</v>
      </c>
      <c r="B8235" s="13">
        <v>589.63</v>
      </c>
    </row>
    <row r="8236" spans="1:2">
      <c r="A8236" s="14">
        <f>DATE(2012,12,31)-309</f>
        <v>40965</v>
      </c>
      <c r="B8236" s="15">
        <v>425.91</v>
      </c>
    </row>
    <row r="8237" s="6" customFormat="1" spans="1:2">
      <c r="A8237" s="12">
        <f>DATE(2012,12,31)-309</f>
        <v>40965</v>
      </c>
      <c r="B8237" s="13">
        <v>21.84</v>
      </c>
    </row>
    <row r="8238" s="6" customFormat="1" spans="1:2">
      <c r="A8238" s="12">
        <f>DATE(2012,12,31)-1418</f>
        <v>39856</v>
      </c>
      <c r="B8238" s="13">
        <v>197.61</v>
      </c>
    </row>
    <row r="8239" s="6" customFormat="1" spans="1:2">
      <c r="A8239" s="12">
        <f>DATE(2012,12,31)-1418</f>
        <v>39856</v>
      </c>
      <c r="B8239" s="13">
        <v>68.92</v>
      </c>
    </row>
    <row r="8240" s="6" customFormat="1" spans="1:2">
      <c r="A8240" s="12">
        <f>DATE(2012,12,31)-1418</f>
        <v>39856</v>
      </c>
      <c r="B8240" s="13">
        <v>3594.7435</v>
      </c>
    </row>
    <row r="8241" s="6" customFormat="1" spans="1:2">
      <c r="A8241" s="12">
        <f>DATE(2012,12,31)-451</f>
        <v>40823</v>
      </c>
      <c r="B8241" s="13">
        <v>68.53</v>
      </c>
    </row>
    <row r="8242" s="6" customFormat="1" spans="1:2">
      <c r="A8242" s="12">
        <f>DATE(2012,12,31)-451</f>
        <v>40823</v>
      </c>
      <c r="B8242" s="13">
        <v>4215.83</v>
      </c>
    </row>
    <row r="8243" s="6" customFormat="1" spans="1:2">
      <c r="A8243" s="12">
        <f>DATE(2012,12,31)-702</f>
        <v>40572</v>
      </c>
      <c r="B8243" s="13">
        <v>849.51</v>
      </c>
    </row>
    <row r="8244" s="6" customFormat="1" spans="1:2">
      <c r="A8244" s="12">
        <f>DATE(2012,12,31)-702</f>
        <v>40572</v>
      </c>
      <c r="B8244" s="13">
        <v>189.49</v>
      </c>
    </row>
    <row r="8245" s="6" customFormat="1" spans="1:2">
      <c r="A8245" s="12">
        <f>DATE(2012,12,31)-1413</f>
        <v>39861</v>
      </c>
      <c r="B8245" s="13">
        <v>242.46</v>
      </c>
    </row>
    <row r="8246" s="6" customFormat="1" spans="1:2">
      <c r="A8246" s="12">
        <f>DATE(2012,12,31)-1413</f>
        <v>39861</v>
      </c>
      <c r="B8246" s="13">
        <v>607.77</v>
      </c>
    </row>
    <row r="8247" s="6" customFormat="1" spans="1:2">
      <c r="A8247" s="12">
        <f>DATE(2012,12,31)-1413</f>
        <v>39861</v>
      </c>
      <c r="B8247" s="13">
        <v>954.57</v>
      </c>
    </row>
    <row r="8248" s="6" customFormat="1" spans="1:2">
      <c r="A8248" s="12">
        <f>DATE(2012,12,31)-1413</f>
        <v>39861</v>
      </c>
      <c r="B8248" s="13">
        <v>8767.62</v>
      </c>
    </row>
    <row r="8249" s="6" customFormat="1" spans="1:2">
      <c r="A8249" s="12">
        <f>DATE(2012,12,31)-476</f>
        <v>40798</v>
      </c>
      <c r="B8249" s="13">
        <v>105.07</v>
      </c>
    </row>
    <row r="8250" s="6" customFormat="1" spans="1:2">
      <c r="A8250" s="12">
        <f>DATE(2012,12,31)-742</f>
        <v>40532</v>
      </c>
      <c r="B8250" s="13">
        <v>2896.99</v>
      </c>
    </row>
    <row r="8251" s="6" customFormat="1" spans="1:2">
      <c r="A8251" s="12">
        <f>DATE(2012,12,31)-1095</f>
        <v>40179</v>
      </c>
      <c r="B8251" s="13">
        <v>1193.1</v>
      </c>
    </row>
    <row r="8252" s="6" customFormat="1" spans="1:2">
      <c r="A8252" s="12">
        <f>DATE(2012,12,31)-388</f>
        <v>40886</v>
      </c>
      <c r="B8252" s="13">
        <v>170.45</v>
      </c>
    </row>
    <row r="8253" s="6" customFormat="1" spans="1:2">
      <c r="A8253" s="12">
        <f>DATE(2012,12,31)-388</f>
        <v>40886</v>
      </c>
      <c r="B8253" s="13">
        <v>350.42</v>
      </c>
    </row>
    <row r="8254" s="6" customFormat="1" spans="1:2">
      <c r="A8254" s="12">
        <f>DATE(2012,12,31)-114</f>
        <v>41160</v>
      </c>
      <c r="B8254" s="13">
        <v>83.81</v>
      </c>
    </row>
    <row r="8255" s="6" customFormat="1" spans="1:2">
      <c r="A8255" s="12">
        <f>DATE(2012,12,31)-114</f>
        <v>41160</v>
      </c>
      <c r="B8255" s="13">
        <v>218.81</v>
      </c>
    </row>
    <row r="8256" s="6" customFormat="1" spans="1:2">
      <c r="A8256" s="12">
        <f>DATE(2012,12,31)-306</f>
        <v>40968</v>
      </c>
      <c r="B8256" s="13">
        <v>250.29</v>
      </c>
    </row>
    <row r="8257" s="6" customFormat="1" spans="1:2">
      <c r="A8257" s="12">
        <f>DATE(2012,12,31)-306</f>
        <v>40968</v>
      </c>
      <c r="B8257" s="13">
        <v>251.59</v>
      </c>
    </row>
    <row r="8258" s="6" customFormat="1" spans="1:2">
      <c r="A8258" s="12">
        <f>DATE(2012,12,31)-306</f>
        <v>40968</v>
      </c>
      <c r="B8258" s="13">
        <v>151.75</v>
      </c>
    </row>
    <row r="8259" s="6" customFormat="1" spans="1:2">
      <c r="A8259" s="12">
        <f>DATE(2012,12,31)-427</f>
        <v>40847</v>
      </c>
      <c r="B8259" s="13">
        <v>54.59</v>
      </c>
    </row>
    <row r="8260" s="6" customFormat="1" spans="1:2">
      <c r="A8260" s="12">
        <f>DATE(2012,12,31)-427</f>
        <v>40847</v>
      </c>
      <c r="B8260" s="13">
        <v>597.04</v>
      </c>
    </row>
    <row r="8261" s="6" customFormat="1" spans="1:2">
      <c r="A8261" s="12">
        <f>DATE(2012,12,31)-1323</f>
        <v>39951</v>
      </c>
      <c r="B8261" s="13">
        <v>10.12</v>
      </c>
    </row>
    <row r="8262" s="6" customFormat="1" spans="1:2">
      <c r="A8262" s="12">
        <f>DATE(2012,12,31)-1323</f>
        <v>39951</v>
      </c>
      <c r="B8262" s="13">
        <v>9502.736</v>
      </c>
    </row>
    <row r="8263" s="6" customFormat="1" spans="1:2">
      <c r="A8263" s="12">
        <f>DATE(2012,12,31)-1456</f>
        <v>39818</v>
      </c>
      <c r="B8263" s="13">
        <v>725.43</v>
      </c>
    </row>
    <row r="8264" s="6" customFormat="1" spans="1:2">
      <c r="A8264" s="12">
        <f>DATE(2012,12,31)-864</f>
        <v>40410</v>
      </c>
      <c r="B8264" s="13">
        <v>336.84</v>
      </c>
    </row>
    <row r="8265" s="6" customFormat="1" spans="1:2">
      <c r="A8265" s="12">
        <f>DATE(2012,12,31)-864</f>
        <v>40410</v>
      </c>
      <c r="B8265" s="13">
        <v>397.17</v>
      </c>
    </row>
    <row r="8266" spans="1:2">
      <c r="A8266" s="14">
        <f>DATE(2012,12,31)-155</f>
        <v>41119</v>
      </c>
      <c r="B8266" s="15">
        <v>5686.25</v>
      </c>
    </row>
    <row r="8267" s="6" customFormat="1" spans="1:2">
      <c r="A8267" s="12">
        <f>DATE(2012,12,31)-155</f>
        <v>41119</v>
      </c>
      <c r="B8267" s="13">
        <v>797.24</v>
      </c>
    </row>
    <row r="8268" s="6" customFormat="1" spans="1:2">
      <c r="A8268" s="12">
        <f>DATE(2012,12,31)-1199</f>
        <v>40075</v>
      </c>
      <c r="B8268" s="13">
        <v>455.88</v>
      </c>
    </row>
    <row r="8269" s="6" customFormat="1" spans="1:2">
      <c r="A8269" s="12">
        <f>DATE(2012,12,31)-1085</f>
        <v>40189</v>
      </c>
      <c r="B8269" s="13">
        <v>25312</v>
      </c>
    </row>
    <row r="8270" s="6" customFormat="1" spans="1:2">
      <c r="A8270" s="12">
        <f>DATE(2012,12,31)-1085</f>
        <v>40189</v>
      </c>
      <c r="B8270" s="13">
        <v>2138.63</v>
      </c>
    </row>
    <row r="8271" s="6" customFormat="1" spans="1:2">
      <c r="A8271" s="12">
        <f>DATE(2012,12,31)-1085</f>
        <v>40189</v>
      </c>
      <c r="B8271" s="13">
        <v>647.27</v>
      </c>
    </row>
    <row r="8272" s="6" customFormat="1" spans="1:2">
      <c r="A8272" s="12">
        <f>DATE(2012,12,31)-1085</f>
        <v>40189</v>
      </c>
      <c r="B8272" s="13">
        <v>1597.02</v>
      </c>
    </row>
    <row r="8273" s="6" customFormat="1" spans="1:2">
      <c r="A8273" s="12">
        <f>DATE(2012,12,31)-616</f>
        <v>40658</v>
      </c>
      <c r="B8273" s="13">
        <v>630.38</v>
      </c>
    </row>
    <row r="8274" spans="1:2">
      <c r="A8274" s="14">
        <f>DATE(2012,12,31)-616</f>
        <v>40658</v>
      </c>
      <c r="B8274" s="15">
        <v>144.03</v>
      </c>
    </row>
    <row r="8275" s="6" customFormat="1" spans="1:2">
      <c r="A8275" s="12">
        <f>DATE(2012,12,31)-1118</f>
        <v>40156</v>
      </c>
      <c r="B8275" s="13">
        <v>1582.47</v>
      </c>
    </row>
    <row r="8276" s="6" customFormat="1" spans="1:2">
      <c r="A8276" s="12">
        <f>DATE(2012,12,31)-27</f>
        <v>41247</v>
      </c>
      <c r="B8276" s="13">
        <v>128.12</v>
      </c>
    </row>
    <row r="8277" s="6" customFormat="1" spans="1:2">
      <c r="A8277" s="12">
        <f>DATE(2012,12,31)-27</f>
        <v>41247</v>
      </c>
      <c r="B8277" s="13">
        <v>165.62</v>
      </c>
    </row>
    <row r="8278" s="6" customFormat="1" spans="1:2">
      <c r="A8278" s="12">
        <f>DATE(2012,12,31)-27</f>
        <v>41247</v>
      </c>
      <c r="B8278" s="13">
        <v>214.23</v>
      </c>
    </row>
    <row r="8279" s="6" customFormat="1" spans="1:2">
      <c r="A8279" s="12">
        <f>DATE(2012,12,31)-27</f>
        <v>41247</v>
      </c>
      <c r="B8279" s="13">
        <v>214.19</v>
      </c>
    </row>
    <row r="8280" s="6" customFormat="1" spans="1:2">
      <c r="A8280" s="12">
        <f>DATE(2012,12,31)-124</f>
        <v>41150</v>
      </c>
      <c r="B8280" s="13">
        <v>1008.34</v>
      </c>
    </row>
    <row r="8281" s="6" customFormat="1" spans="1:2">
      <c r="A8281" s="12">
        <f>DATE(2012,12,31)-1339</f>
        <v>39935</v>
      </c>
      <c r="B8281" s="13">
        <v>158.91</v>
      </c>
    </row>
    <row r="8282" s="6" customFormat="1" spans="1:2">
      <c r="A8282" s="12">
        <f>DATE(2012,12,31)-1120</f>
        <v>40154</v>
      </c>
      <c r="B8282" s="13">
        <v>534.3</v>
      </c>
    </row>
    <row r="8283" s="6" customFormat="1" spans="1:2">
      <c r="A8283" s="12">
        <f>DATE(2012,12,31)-919</f>
        <v>40355</v>
      </c>
      <c r="B8283" s="13">
        <v>39.42</v>
      </c>
    </row>
    <row r="8284" s="6" customFormat="1" spans="1:2">
      <c r="A8284" s="12">
        <f>DATE(2012,12,31)-919</f>
        <v>40355</v>
      </c>
      <c r="B8284" s="13">
        <v>1305.31</v>
      </c>
    </row>
    <row r="8285" s="6" customFormat="1" spans="1:2">
      <c r="A8285" s="12">
        <f>DATE(2012,12,31)-772</f>
        <v>40502</v>
      </c>
      <c r="B8285" s="13">
        <v>398.76</v>
      </c>
    </row>
    <row r="8286" s="6" customFormat="1" spans="1:2">
      <c r="A8286" s="12">
        <f>DATE(2012,12,31)-253</f>
        <v>41021</v>
      </c>
      <c r="B8286" s="13">
        <v>963.3</v>
      </c>
    </row>
    <row r="8287" s="6" customFormat="1" spans="1:2">
      <c r="A8287" s="12">
        <f>DATE(2012,12,31)-1143</f>
        <v>40131</v>
      </c>
      <c r="B8287" s="13">
        <v>5930.34</v>
      </c>
    </row>
    <row r="8288" s="6" customFormat="1" spans="1:2">
      <c r="A8288" s="12">
        <f>DATE(2012,12,31)-228</f>
        <v>41046</v>
      </c>
      <c r="B8288" s="13">
        <v>2094.12</v>
      </c>
    </row>
    <row r="8289" spans="1:2">
      <c r="A8289" s="14">
        <f>DATE(2012,12,31)-228</f>
        <v>41046</v>
      </c>
      <c r="B8289" s="15">
        <v>1714.02</v>
      </c>
    </row>
    <row r="8290" s="6" customFormat="1" spans="1:2">
      <c r="A8290" s="12">
        <f>DATE(2012,12,31)-844</f>
        <v>40430</v>
      </c>
      <c r="B8290" s="13">
        <v>3602.12</v>
      </c>
    </row>
    <row r="8291" s="6" customFormat="1" spans="1:2">
      <c r="A8291" s="12">
        <f>DATE(2012,12,31)-844</f>
        <v>40430</v>
      </c>
      <c r="B8291" s="13">
        <v>1174.94</v>
      </c>
    </row>
    <row r="8292" spans="1:2">
      <c r="A8292" s="14">
        <f>DATE(2012,12,31)-358</f>
        <v>40916</v>
      </c>
      <c r="B8292" s="15">
        <v>182.92</v>
      </c>
    </row>
    <row r="8293" s="6" customFormat="1" spans="1:2">
      <c r="A8293" s="12">
        <f>DATE(2012,12,31)-1426</f>
        <v>39848</v>
      </c>
      <c r="B8293" s="13">
        <v>69.66</v>
      </c>
    </row>
    <row r="8294" s="6" customFormat="1" spans="1:2">
      <c r="A8294" s="12">
        <f>DATE(2012,12,31)-282</f>
        <v>40992</v>
      </c>
      <c r="B8294" s="13">
        <v>32.31</v>
      </c>
    </row>
    <row r="8295" s="6" customFormat="1" spans="1:2">
      <c r="A8295" s="12">
        <f>DATE(2012,12,31)-282</f>
        <v>40992</v>
      </c>
      <c r="B8295" s="13">
        <v>57.9</v>
      </c>
    </row>
    <row r="8296" s="6" customFormat="1" spans="1:2">
      <c r="A8296" s="12">
        <f>DATE(2012,12,31)-282</f>
        <v>40992</v>
      </c>
      <c r="B8296" s="13">
        <v>562.95</v>
      </c>
    </row>
    <row r="8297" s="6" customFormat="1" spans="1:2">
      <c r="A8297" s="12">
        <f>DATE(2012,12,31)-282</f>
        <v>40992</v>
      </c>
      <c r="B8297" s="13">
        <v>12470.31</v>
      </c>
    </row>
    <row r="8298" spans="1:2">
      <c r="A8298" s="14">
        <f>DATE(2012,12,31)-61</f>
        <v>41213</v>
      </c>
      <c r="B8298" s="15">
        <v>170.4</v>
      </c>
    </row>
    <row r="8299" s="6" customFormat="1" spans="1:2">
      <c r="A8299" s="12">
        <f>DATE(2012,12,31)-780</f>
        <v>40494</v>
      </c>
      <c r="B8299" s="13">
        <v>171.57</v>
      </c>
    </row>
    <row r="8300" s="6" customFormat="1" spans="1:2">
      <c r="A8300" s="12">
        <f>DATE(2012,12,31)-780</f>
        <v>40494</v>
      </c>
      <c r="B8300" s="13">
        <v>2170.305</v>
      </c>
    </row>
    <row r="8301" s="6" customFormat="1" spans="1:2">
      <c r="A8301" s="12">
        <f>DATE(2012,12,31)-412</f>
        <v>40862</v>
      </c>
      <c r="B8301" s="13">
        <v>718.6</v>
      </c>
    </row>
    <row r="8302" spans="1:2">
      <c r="A8302" s="14">
        <f>DATE(2012,12,31)-1112</f>
        <v>40162</v>
      </c>
      <c r="B8302" s="15">
        <v>43.46</v>
      </c>
    </row>
    <row r="8303" s="6" customFormat="1" spans="1:2">
      <c r="A8303" s="12">
        <f>DATE(2012,12,31)-1112</f>
        <v>40162</v>
      </c>
      <c r="B8303" s="13">
        <v>927.9875</v>
      </c>
    </row>
    <row r="8304" s="6" customFormat="1" spans="1:2">
      <c r="A8304" s="12">
        <f>DATE(2012,12,31)-168</f>
        <v>41106</v>
      </c>
      <c r="B8304" s="13">
        <v>94.56</v>
      </c>
    </row>
    <row r="8305" s="6" customFormat="1" spans="1:2">
      <c r="A8305" s="12">
        <f>DATE(2012,12,31)-836</f>
        <v>40438</v>
      </c>
      <c r="B8305" s="13">
        <v>397.17</v>
      </c>
    </row>
    <row r="8306" s="6" customFormat="1" spans="1:2">
      <c r="A8306" s="12">
        <f>DATE(2012,12,31)-948</f>
        <v>40326</v>
      </c>
      <c r="B8306" s="13">
        <v>336.84</v>
      </c>
    </row>
    <row r="8307" s="6" customFormat="1" spans="1:2">
      <c r="A8307" s="12">
        <f>DATE(2012,12,31)-948</f>
        <v>40326</v>
      </c>
      <c r="B8307" s="13">
        <v>1120.27</v>
      </c>
    </row>
    <row r="8308" s="6" customFormat="1" spans="1:2">
      <c r="A8308" s="12">
        <f>DATE(2012,12,31)-100</f>
        <v>41174</v>
      </c>
      <c r="B8308" s="13">
        <v>712.04</v>
      </c>
    </row>
    <row r="8309" s="6" customFormat="1" spans="1:2">
      <c r="A8309" s="12">
        <f>DATE(2012,12,31)-299</f>
        <v>40975</v>
      </c>
      <c r="B8309" s="13">
        <v>167.23</v>
      </c>
    </row>
    <row r="8310" s="6" customFormat="1" spans="1:2">
      <c r="A8310" s="12">
        <f>DATE(2012,12,31)-264</f>
        <v>41010</v>
      </c>
      <c r="B8310" s="13">
        <v>1610.26</v>
      </c>
    </row>
    <row r="8311" s="6" customFormat="1" spans="1:2">
      <c r="A8311" s="12">
        <f>DATE(2012,12,31)-1179</f>
        <v>40095</v>
      </c>
      <c r="B8311" s="13">
        <v>3361.84</v>
      </c>
    </row>
    <row r="8312" s="6" customFormat="1" spans="1:2">
      <c r="A8312" s="12">
        <f>DATE(2012,12,31)-1179</f>
        <v>40095</v>
      </c>
      <c r="B8312" s="13">
        <v>195.82</v>
      </c>
    </row>
    <row r="8313" s="6" customFormat="1" spans="1:2">
      <c r="A8313" s="12">
        <f>DATE(2012,12,31)-1052</f>
        <v>40222</v>
      </c>
      <c r="B8313" s="13">
        <v>225.4</v>
      </c>
    </row>
    <row r="8314" spans="1:2">
      <c r="A8314" s="14">
        <f>DATE(2012,12,31)-1052</f>
        <v>40222</v>
      </c>
      <c r="B8314" s="15">
        <v>76.04</v>
      </c>
    </row>
    <row r="8315" s="6" customFormat="1" spans="1:2">
      <c r="A8315" s="12">
        <f>DATE(2012,12,31)-956</f>
        <v>40318</v>
      </c>
      <c r="B8315" s="13">
        <v>283.21</v>
      </c>
    </row>
    <row r="8316" s="6" customFormat="1" spans="1:2">
      <c r="A8316" s="12">
        <f>DATE(2012,12,31)-956</f>
        <v>40318</v>
      </c>
      <c r="B8316" s="13">
        <v>45.8</v>
      </c>
    </row>
    <row r="8317" s="6" customFormat="1" spans="1:2">
      <c r="A8317" s="12">
        <f>DATE(2012,12,31)-704</f>
        <v>40570</v>
      </c>
      <c r="B8317" s="13">
        <v>312.035</v>
      </c>
    </row>
    <row r="8318" s="6" customFormat="1" spans="1:2">
      <c r="A8318" s="12">
        <f>DATE(2012,12,31)-196</f>
        <v>41078</v>
      </c>
      <c r="B8318" s="13">
        <v>17.77</v>
      </c>
    </row>
    <row r="8319" spans="1:2">
      <c r="A8319" s="14">
        <f>DATE(2012,12,31)-1299</f>
        <v>39975</v>
      </c>
      <c r="B8319" s="15">
        <v>224.34</v>
      </c>
    </row>
    <row r="8320" s="6" customFormat="1" spans="1:2">
      <c r="A8320" s="12">
        <f>DATE(2012,12,31)-79</f>
        <v>41195</v>
      </c>
      <c r="B8320" s="13">
        <v>191.36</v>
      </c>
    </row>
    <row r="8321" spans="1:2">
      <c r="A8321" s="14">
        <f>DATE(2012,12,31)-733</f>
        <v>40541</v>
      </c>
      <c r="B8321" s="15">
        <v>9059.9</v>
      </c>
    </row>
    <row r="8322" s="6" customFormat="1" spans="1:2">
      <c r="A8322" s="12">
        <f>DATE(2012,12,31)-733</f>
        <v>40541</v>
      </c>
      <c r="B8322" s="13">
        <v>368.17</v>
      </c>
    </row>
    <row r="8323" s="6" customFormat="1" spans="1:2">
      <c r="A8323" s="12">
        <f>DATE(2012,12,31)-733</f>
        <v>40541</v>
      </c>
      <c r="B8323" s="13">
        <v>14.46</v>
      </c>
    </row>
    <row r="8324" s="6" customFormat="1" spans="1:2">
      <c r="A8324" s="12">
        <f>DATE(2012,12,31)-733</f>
        <v>40541</v>
      </c>
      <c r="B8324" s="13">
        <v>168.39</v>
      </c>
    </row>
    <row r="8325" s="6" customFormat="1" spans="1:2">
      <c r="A8325" s="12">
        <f>DATE(2012,12,31)-21</f>
        <v>41253</v>
      </c>
      <c r="B8325" s="13">
        <v>505.2</v>
      </c>
    </row>
    <row r="8326" s="6" customFormat="1" spans="1:2">
      <c r="A8326" s="12">
        <f>DATE(2012,12,31)-21</f>
        <v>41253</v>
      </c>
      <c r="B8326" s="13">
        <v>562.91</v>
      </c>
    </row>
    <row r="8327" s="6" customFormat="1" spans="1:2">
      <c r="A8327" s="12">
        <f>DATE(2012,12,31)-664</f>
        <v>40610</v>
      </c>
      <c r="B8327" s="13">
        <v>243.37</v>
      </c>
    </row>
    <row r="8328" s="6" customFormat="1" spans="1:2">
      <c r="A8328" s="12">
        <f>DATE(2012,12,31)-930</f>
        <v>40344</v>
      </c>
      <c r="B8328" s="13">
        <v>67.58</v>
      </c>
    </row>
    <row r="8329" s="6" customFormat="1" spans="1:2">
      <c r="A8329" s="12">
        <f>DATE(2012,12,31)-749</f>
        <v>40525</v>
      </c>
      <c r="B8329" s="13">
        <v>9225.65</v>
      </c>
    </row>
    <row r="8330" spans="1:2">
      <c r="A8330" s="14">
        <f>DATE(2012,12,31)-1352</f>
        <v>39922</v>
      </c>
      <c r="B8330" s="15">
        <v>18092.66</v>
      </c>
    </row>
    <row r="8331" spans="1:2">
      <c r="A8331" s="14">
        <f>DATE(2012,12,31)-906</f>
        <v>40368</v>
      </c>
      <c r="B8331" s="15">
        <v>223.59</v>
      </c>
    </row>
    <row r="8332" spans="1:2">
      <c r="A8332" s="14">
        <f>DATE(2012,12,31)-1393</f>
        <v>39881</v>
      </c>
      <c r="B8332" s="15">
        <v>285.01</v>
      </c>
    </row>
    <row r="8333" s="6" customFormat="1" spans="1:2">
      <c r="A8333" s="12">
        <f>DATE(2012,12,31)-1393</f>
        <v>39881</v>
      </c>
      <c r="B8333" s="13">
        <v>12215.43</v>
      </c>
    </row>
    <row r="8334" s="6" customFormat="1" spans="1:2">
      <c r="A8334" s="12">
        <f>DATE(2012,12,31)-750</f>
        <v>40524</v>
      </c>
      <c r="B8334" s="13">
        <v>917.31</v>
      </c>
    </row>
    <row r="8335" s="6" customFormat="1" spans="1:2">
      <c r="A8335" s="12">
        <f>DATE(2012,12,31)-1324</f>
        <v>39950</v>
      </c>
      <c r="B8335" s="13">
        <v>3575.23</v>
      </c>
    </row>
    <row r="8336" s="6" customFormat="1" spans="1:2">
      <c r="A8336" s="12">
        <f>DATE(2012,12,31)-1045</f>
        <v>40229</v>
      </c>
      <c r="B8336" s="13">
        <v>6776.92</v>
      </c>
    </row>
    <row r="8337" s="6" customFormat="1" spans="1:2">
      <c r="A8337" s="12">
        <f>DATE(2012,12,31)-19</f>
        <v>41255</v>
      </c>
      <c r="B8337" s="13">
        <v>1837.94</v>
      </c>
    </row>
    <row r="8338" s="6" customFormat="1" spans="1:2">
      <c r="A8338" s="12">
        <f>DATE(2012,12,31)-19</f>
        <v>41255</v>
      </c>
      <c r="B8338" s="13">
        <v>4408.27</v>
      </c>
    </row>
    <row r="8339" s="6" customFormat="1" spans="1:2">
      <c r="A8339" s="12">
        <f>DATE(2012,12,31)-19</f>
        <v>41255</v>
      </c>
      <c r="B8339" s="13">
        <v>24391.16</v>
      </c>
    </row>
    <row r="8340" spans="1:2">
      <c r="A8340" s="14">
        <f>DATE(2012,12,31)-19</f>
        <v>41255</v>
      </c>
      <c r="B8340" s="15">
        <v>262.13</v>
      </c>
    </row>
    <row r="8341" s="6" customFormat="1" spans="1:2">
      <c r="A8341" s="12">
        <f>DATE(2012,12,31)-19</f>
        <v>41255</v>
      </c>
      <c r="B8341" s="13">
        <v>173.12</v>
      </c>
    </row>
    <row r="8342" s="6" customFormat="1" spans="1:2">
      <c r="A8342" s="12">
        <f>DATE(2012,12,31)-865</f>
        <v>40409</v>
      </c>
      <c r="B8342" s="13">
        <v>77.43</v>
      </c>
    </row>
    <row r="8343" s="6" customFormat="1" spans="1:2">
      <c r="A8343" s="12">
        <f>DATE(2012,12,31)-664</f>
        <v>40610</v>
      </c>
      <c r="B8343" s="13">
        <v>138.67</v>
      </c>
    </row>
    <row r="8344" s="6" customFormat="1" spans="1:2">
      <c r="A8344" s="12">
        <f>DATE(2012,12,31)-664</f>
        <v>40610</v>
      </c>
      <c r="B8344" s="13">
        <v>506.84</v>
      </c>
    </row>
    <row r="8345" s="6" customFormat="1" spans="1:2">
      <c r="A8345" s="12">
        <f>DATE(2012,12,31)-558</f>
        <v>40716</v>
      </c>
      <c r="B8345" s="13">
        <v>9261.24</v>
      </c>
    </row>
    <row r="8346" s="6" customFormat="1" spans="1:2">
      <c r="A8346" s="12">
        <f>DATE(2012,12,31)-558</f>
        <v>40716</v>
      </c>
      <c r="B8346" s="13">
        <v>28.98</v>
      </c>
    </row>
    <row r="8347" s="6" customFormat="1" spans="1:2">
      <c r="A8347" s="12">
        <f>DATE(2012,12,31)-747</f>
        <v>40527</v>
      </c>
      <c r="B8347" s="13">
        <v>51.56</v>
      </c>
    </row>
    <row r="8348" s="6" customFormat="1" spans="1:2">
      <c r="A8348" s="12">
        <f>DATE(2012,12,31)-1105</f>
        <v>40169</v>
      </c>
      <c r="B8348" s="13">
        <v>200.1</v>
      </c>
    </row>
    <row r="8349" s="6" customFormat="1" spans="1:2">
      <c r="A8349" s="12">
        <f>DATE(2012,12,31)-1105</f>
        <v>40169</v>
      </c>
      <c r="B8349" s="13">
        <v>120.54</v>
      </c>
    </row>
    <row r="8350" s="6" customFormat="1" spans="1:2">
      <c r="A8350" s="12">
        <f>DATE(2012,12,31)-217</f>
        <v>41057</v>
      </c>
      <c r="B8350" s="13">
        <v>112.4</v>
      </c>
    </row>
    <row r="8351" s="6" customFormat="1" spans="1:2">
      <c r="A8351" s="12">
        <f>DATE(2012,12,31)-217</f>
        <v>41057</v>
      </c>
      <c r="B8351" s="13">
        <v>249.64</v>
      </c>
    </row>
    <row r="8352" s="6" customFormat="1" spans="1:2">
      <c r="A8352" s="12">
        <f>DATE(2012,12,31)-1393</f>
        <v>39881</v>
      </c>
      <c r="B8352" s="13">
        <v>987.3175</v>
      </c>
    </row>
    <row r="8353" s="6" customFormat="1" spans="1:2">
      <c r="A8353" s="12">
        <f>DATE(2012,12,31)-261</f>
        <v>41013</v>
      </c>
      <c r="B8353" s="13">
        <v>159.24</v>
      </c>
    </row>
    <row r="8354" s="6" customFormat="1" spans="1:2">
      <c r="A8354" s="12">
        <f>DATE(2012,12,31)-261</f>
        <v>41013</v>
      </c>
      <c r="B8354" s="13">
        <v>48.77</v>
      </c>
    </row>
    <row r="8355" s="6" customFormat="1" spans="1:2">
      <c r="A8355" s="12">
        <f>DATE(2012,12,31)-261</f>
        <v>41013</v>
      </c>
      <c r="B8355" s="13">
        <v>26.5</v>
      </c>
    </row>
    <row r="8356" s="6" customFormat="1" spans="1:2">
      <c r="A8356" s="12">
        <f>DATE(2012,12,31)-956</f>
        <v>40318</v>
      </c>
      <c r="B8356" s="13">
        <v>284.92</v>
      </c>
    </row>
    <row r="8357" s="6" customFormat="1" spans="1:2">
      <c r="A8357" s="12">
        <f>DATE(2012,12,31)-148</f>
        <v>41126</v>
      </c>
      <c r="B8357" s="13">
        <v>1255.48</v>
      </c>
    </row>
    <row r="8358" s="6" customFormat="1" spans="1:2">
      <c r="A8358" s="12">
        <f>DATE(2012,12,31)-148</f>
        <v>41126</v>
      </c>
      <c r="B8358" s="13">
        <v>411.56</v>
      </c>
    </row>
    <row r="8359" s="6" customFormat="1" spans="1:2">
      <c r="A8359" s="12">
        <f>DATE(2012,12,31)-379</f>
        <v>40895</v>
      </c>
      <c r="B8359" s="13">
        <v>10.59</v>
      </c>
    </row>
    <row r="8360" s="6" customFormat="1" spans="1:2">
      <c r="A8360" s="12">
        <f>DATE(2012,12,31)-1099</f>
        <v>40175</v>
      </c>
      <c r="B8360" s="13">
        <v>235.98</v>
      </c>
    </row>
    <row r="8361" s="6" customFormat="1" spans="1:2">
      <c r="A8361" s="12">
        <f>DATE(2012,12,31)-852</f>
        <v>40422</v>
      </c>
      <c r="B8361" s="13">
        <v>130.96</v>
      </c>
    </row>
    <row r="8362" s="6" customFormat="1" spans="1:2">
      <c r="A8362" s="12">
        <f>DATE(2012,12,31)-1422</f>
        <v>39852</v>
      </c>
      <c r="B8362" s="13">
        <v>714.46</v>
      </c>
    </row>
    <row r="8363" s="6" customFormat="1" spans="1:2">
      <c r="A8363" s="12">
        <f>DATE(2012,12,31)-936</f>
        <v>40338</v>
      </c>
      <c r="B8363" s="13">
        <v>679.65</v>
      </c>
    </row>
    <row r="8364" s="6" customFormat="1" spans="1:2">
      <c r="A8364" s="12">
        <f>DATE(2012,12,31)-355</f>
        <v>40919</v>
      </c>
      <c r="B8364" s="13">
        <v>437.73</v>
      </c>
    </row>
    <row r="8365" s="6" customFormat="1" spans="1:2">
      <c r="A8365" s="12">
        <f>DATE(2012,12,31)-355</f>
        <v>40919</v>
      </c>
      <c r="B8365" s="13">
        <v>275.01</v>
      </c>
    </row>
    <row r="8366" s="6" customFormat="1" spans="1:2">
      <c r="A8366" s="12">
        <f>DATE(2012,12,31)-580</f>
        <v>40694</v>
      </c>
      <c r="B8366" s="13">
        <v>437.77</v>
      </c>
    </row>
    <row r="8367" s="6" customFormat="1" spans="1:2">
      <c r="A8367" s="12">
        <f>DATE(2012,12,31)-580</f>
        <v>40694</v>
      </c>
      <c r="B8367" s="13">
        <v>514.86</v>
      </c>
    </row>
    <row r="8368" s="6" customFormat="1" spans="1:2">
      <c r="A8368" s="12">
        <f>DATE(2012,12,31)-580</f>
        <v>40694</v>
      </c>
      <c r="B8368" s="13">
        <v>356.27</v>
      </c>
    </row>
    <row r="8369" s="6" customFormat="1" spans="1:2">
      <c r="A8369" s="12">
        <f>DATE(2012,12,31)-412</f>
        <v>40862</v>
      </c>
      <c r="B8369" s="13">
        <v>11039.75</v>
      </c>
    </row>
    <row r="8370" s="6" customFormat="1" spans="1:2">
      <c r="A8370" s="12">
        <f>DATE(2012,12,31)-412</f>
        <v>40862</v>
      </c>
      <c r="B8370" s="13">
        <v>4982.944</v>
      </c>
    </row>
    <row r="8371" s="6" customFormat="1" spans="1:2">
      <c r="A8371" s="12">
        <f>DATE(2012,12,31)-261</f>
        <v>41013</v>
      </c>
      <c r="B8371" s="13">
        <v>26.5</v>
      </c>
    </row>
    <row r="8372" s="6" customFormat="1" spans="1:2">
      <c r="A8372" s="12">
        <f>DATE(2012,12,31)-956</f>
        <v>40318</v>
      </c>
      <c r="B8372" s="13">
        <v>284.92</v>
      </c>
    </row>
    <row r="8373" s="6" customFormat="1" spans="1:2">
      <c r="A8373" s="12">
        <f>DATE(2012,12,31)-148</f>
        <v>41126</v>
      </c>
      <c r="B8373" s="13">
        <v>1255.48</v>
      </c>
    </row>
    <row r="8374" s="6" customFormat="1" spans="1:2">
      <c r="A8374" s="12">
        <f>DATE(2012,12,31)-148</f>
        <v>41126</v>
      </c>
      <c r="B8374" s="13">
        <v>411.56</v>
      </c>
    </row>
    <row r="8375" s="6" customFormat="1" spans="1:2">
      <c r="A8375" s="12">
        <f>DATE(2012,12,31)-379</f>
        <v>40895</v>
      </c>
      <c r="B8375" s="13">
        <v>10.59</v>
      </c>
    </row>
    <row r="8376" s="6" customFormat="1" spans="1:2">
      <c r="A8376" s="12">
        <f>DATE(2012,12,31)-1099</f>
        <v>40175</v>
      </c>
      <c r="B8376" s="13">
        <v>235.98</v>
      </c>
    </row>
    <row r="8377" s="6" customFormat="1" spans="1:2">
      <c r="A8377" s="12">
        <f>DATE(2012,12,31)-852</f>
        <v>40422</v>
      </c>
      <c r="B8377" s="13">
        <v>130.96</v>
      </c>
    </row>
    <row r="8378" s="6" customFormat="1" spans="1:2">
      <c r="A8378" s="12">
        <f>DATE(2012,12,31)-1422</f>
        <v>39852</v>
      </c>
      <c r="B8378" s="13">
        <v>714.46</v>
      </c>
    </row>
    <row r="8379" s="6" customFormat="1" spans="1:2">
      <c r="A8379" s="12">
        <f>DATE(2012,12,31)-936</f>
        <v>40338</v>
      </c>
      <c r="B8379" s="13">
        <v>679.65</v>
      </c>
    </row>
    <row r="8380" s="6" customFormat="1" spans="1:2">
      <c r="A8380" s="12">
        <f>DATE(2012,12,31)-355</f>
        <v>40919</v>
      </c>
      <c r="B8380" s="13">
        <v>437.73</v>
      </c>
    </row>
    <row r="8381" s="6" customFormat="1" spans="1:2">
      <c r="A8381" s="12">
        <f>DATE(2012,12,31)-355</f>
        <v>40919</v>
      </c>
      <c r="B8381" s="13">
        <v>275.01</v>
      </c>
    </row>
    <row r="8382" s="6" customFormat="1" spans="1:2">
      <c r="A8382" s="12">
        <f>DATE(2012,12,31)-580</f>
        <v>40694</v>
      </c>
      <c r="B8382" s="13">
        <v>437.77</v>
      </c>
    </row>
    <row r="8383" s="6" customFormat="1" spans="1:2">
      <c r="A8383" s="12">
        <f>DATE(2012,12,31)-580</f>
        <v>40694</v>
      </c>
      <c r="B8383" s="13">
        <v>514.86</v>
      </c>
    </row>
    <row r="8384" s="6" customFormat="1" spans="1:2">
      <c r="A8384" s="12">
        <f>DATE(2012,12,31)-580</f>
        <v>40694</v>
      </c>
      <c r="B8384" s="13">
        <v>356.27</v>
      </c>
    </row>
    <row r="8385" s="6" customFormat="1" spans="1:2">
      <c r="A8385" s="12">
        <f>DATE(2012,12,31)-412</f>
        <v>40862</v>
      </c>
      <c r="B8385" s="13">
        <v>11039.75</v>
      </c>
    </row>
    <row r="8386" s="6" customFormat="1" spans="1:2">
      <c r="A8386" s="12">
        <f>DATE(2012,12,31)-412</f>
        <v>40862</v>
      </c>
      <c r="B8386" s="13">
        <v>4982.944</v>
      </c>
    </row>
    <row r="8387" s="6" customFormat="1" spans="1:2">
      <c r="A8387" s="12">
        <f>DATE(2012,12,31)-261</f>
        <v>41013</v>
      </c>
      <c r="B8387" s="13">
        <v>26.5</v>
      </c>
    </row>
    <row r="8388" s="6" customFormat="1" spans="1:2">
      <c r="A8388" s="12">
        <f>DATE(2012,12,31)-956</f>
        <v>40318</v>
      </c>
      <c r="B8388" s="13">
        <v>284.92</v>
      </c>
    </row>
    <row r="8389" s="6" customFormat="1" spans="1:2">
      <c r="A8389" s="12">
        <f>DATE(2012,12,31)-148</f>
        <v>41126</v>
      </c>
      <c r="B8389" s="13">
        <v>1255.48</v>
      </c>
    </row>
    <row r="8390" s="6" customFormat="1" spans="1:2">
      <c r="A8390" s="12">
        <f>DATE(2012,12,31)-148</f>
        <v>41126</v>
      </c>
      <c r="B8390" s="13">
        <v>411.56</v>
      </c>
    </row>
    <row r="8391" s="6" customFormat="1" spans="1:2">
      <c r="A8391" s="12">
        <f>DATE(2012,12,31)-379</f>
        <v>40895</v>
      </c>
      <c r="B8391" s="13">
        <v>10.59</v>
      </c>
    </row>
    <row r="8392" s="6" customFormat="1" spans="1:2">
      <c r="A8392" s="12">
        <f>DATE(2012,12,31)-1099</f>
        <v>40175</v>
      </c>
      <c r="B8392" s="13">
        <v>235.98</v>
      </c>
    </row>
    <row r="8393" s="6" customFormat="1" spans="1:2">
      <c r="A8393" s="12">
        <f>DATE(2012,12,31)-852</f>
        <v>40422</v>
      </c>
      <c r="B8393" s="13">
        <v>130.96</v>
      </c>
    </row>
    <row r="8394" s="6" customFormat="1" spans="1:2">
      <c r="A8394" s="12">
        <f>DATE(2012,12,31)-1422</f>
        <v>39852</v>
      </c>
      <c r="B8394" s="13">
        <v>714.46</v>
      </c>
    </row>
    <row r="8395" s="6" customFormat="1" spans="1:2">
      <c r="A8395" s="12">
        <f>DATE(2012,12,31)-936</f>
        <v>40338</v>
      </c>
      <c r="B8395" s="13">
        <v>679.65</v>
      </c>
    </row>
    <row r="8396" s="6" customFormat="1" spans="1:2">
      <c r="A8396" s="12">
        <f>DATE(2012,12,31)-780</f>
        <v>40494</v>
      </c>
      <c r="B8396" s="13">
        <v>2170.305</v>
      </c>
    </row>
    <row r="8397" s="6" customFormat="1" spans="1:2">
      <c r="A8397" s="12">
        <f>DATE(2012,12,31)-412</f>
        <v>40862</v>
      </c>
      <c r="B8397" s="13">
        <v>718.6</v>
      </c>
    </row>
    <row r="8398" s="6" customFormat="1" spans="1:2">
      <c r="A8398" s="12">
        <f>DATE(2012,12,31)-1112</f>
        <v>40162</v>
      </c>
      <c r="B8398" s="13">
        <v>43.46</v>
      </c>
    </row>
    <row r="8399" s="6" customFormat="1" spans="1:2">
      <c r="A8399" s="12">
        <f>DATE(2012,12,31)-1112</f>
        <v>40162</v>
      </c>
      <c r="B8399" s="13">
        <v>927.9875</v>
      </c>
    </row>
    <row r="8400" s="6" customFormat="1" spans="1:2">
      <c r="A8400" s="12">
        <f>DATE(2012,12,31)-168</f>
        <v>41106</v>
      </c>
      <c r="B8400" s="13">
        <v>94.56</v>
      </c>
    </row>
    <row r="8401" s="6" customFormat="1" spans="1:2">
      <c r="A8401" s="12">
        <f>DATE(2012,12,31)-836</f>
        <v>40438</v>
      </c>
      <c r="B8401" s="13">
        <v>397.17</v>
      </c>
    </row>
    <row r="8402" s="6" customFormat="1" spans="1:2">
      <c r="A8402" s="12">
        <f>DATE(2012,12,31)-948</f>
        <v>40326</v>
      </c>
      <c r="B8402" s="13">
        <v>336.84</v>
      </c>
    </row>
    <row r="8403" s="6" customFormat="1" spans="1:2">
      <c r="A8403" s="12">
        <f>DATE(2012,12,31)-948</f>
        <v>40326</v>
      </c>
      <c r="B8403" s="13">
        <v>1120.27</v>
      </c>
    </row>
    <row r="8404" s="6" customFormat="1" spans="1:2">
      <c r="A8404" s="12">
        <f>DATE(2012,12,31)-100</f>
        <v>41174</v>
      </c>
      <c r="B8404" s="13">
        <v>712.04</v>
      </c>
    </row>
    <row r="8405" s="6" customFormat="1" spans="1:2">
      <c r="A8405" s="12">
        <f>DATE(2012,12,31)-299</f>
        <v>40975</v>
      </c>
      <c r="B8405" s="13">
        <v>167.23</v>
      </c>
    </row>
    <row r="8406" s="6" customFormat="1" spans="1:2">
      <c r="A8406" s="12">
        <f>DATE(2012,12,31)-264</f>
        <v>41010</v>
      </c>
      <c r="B8406" s="13">
        <v>1610.26</v>
      </c>
    </row>
    <row r="8407" s="6" customFormat="1" spans="1:2">
      <c r="A8407" s="12">
        <f>DATE(2012,12,31)-1179</f>
        <v>40095</v>
      </c>
      <c r="B8407" s="13">
        <v>3361.84</v>
      </c>
    </row>
    <row r="8408" s="6" customFormat="1" spans="1:2">
      <c r="A8408" s="12">
        <f>DATE(2012,12,31)-1179</f>
        <v>40095</v>
      </c>
      <c r="B8408" s="13">
        <v>195.82</v>
      </c>
    </row>
    <row r="8409" s="6" customFormat="1" spans="1:2">
      <c r="A8409" s="12">
        <f>DATE(2012,12,31)-1052</f>
        <v>40222</v>
      </c>
      <c r="B8409" s="13">
        <v>225.4</v>
      </c>
    </row>
    <row r="8410" s="6" customFormat="1" spans="1:2">
      <c r="A8410" s="12">
        <f>DATE(2012,12,31)-1052</f>
        <v>40222</v>
      </c>
      <c r="B8410" s="13">
        <v>76.04</v>
      </c>
    </row>
    <row r="8411" s="6" customFormat="1" spans="1:2">
      <c r="A8411" s="12">
        <f>DATE(2012,12,31)-956</f>
        <v>40318</v>
      </c>
      <c r="B8411" s="13">
        <v>283.21</v>
      </c>
    </row>
    <row r="8412" s="6" customFormat="1" spans="1:2">
      <c r="A8412" s="12">
        <f>DATE(2012,12,31)-956</f>
        <v>40318</v>
      </c>
      <c r="B8412" s="13">
        <v>45.8</v>
      </c>
    </row>
    <row r="8413" s="6" customFormat="1" spans="1:2">
      <c r="A8413" s="12">
        <f>DATE(2012,12,31)-704</f>
        <v>40570</v>
      </c>
      <c r="B8413" s="13">
        <v>312.035</v>
      </c>
    </row>
    <row r="8414" s="6" customFormat="1" spans="1:2">
      <c r="A8414" s="12">
        <f>DATE(2012,12,31)-196</f>
        <v>41078</v>
      </c>
      <c r="B8414" s="13">
        <v>17.77</v>
      </c>
    </row>
    <row r="8415" s="6" customFormat="1" spans="1:2">
      <c r="A8415" s="12">
        <f>DATE(2012,12,31)-1299</f>
        <v>39975</v>
      </c>
      <c r="B8415" s="13">
        <v>224.34</v>
      </c>
    </row>
    <row r="8416" s="6" customFormat="1" spans="1:2">
      <c r="A8416" s="12">
        <f>DATE(2012,12,31)-79</f>
        <v>41195</v>
      </c>
      <c r="B8416" s="13">
        <v>191.36</v>
      </c>
    </row>
    <row r="8417" s="6" customFormat="1" spans="1:2">
      <c r="A8417" s="12">
        <f>DATE(2012,12,31)-780</f>
        <v>40494</v>
      </c>
      <c r="B8417" s="13">
        <v>2170.305</v>
      </c>
    </row>
    <row r="8418" s="6" customFormat="1" spans="1:2">
      <c r="A8418" s="12">
        <f>DATE(2012,12,31)-412</f>
        <v>40862</v>
      </c>
      <c r="B8418" s="13">
        <v>718.6</v>
      </c>
    </row>
    <row r="8419" s="6" customFormat="1" spans="1:2">
      <c r="A8419" s="12">
        <f>DATE(2012,12,31)-1112</f>
        <v>40162</v>
      </c>
      <c r="B8419" s="13">
        <v>43.46</v>
      </c>
    </row>
    <row r="8420" s="6" customFormat="1" spans="1:2">
      <c r="A8420" s="12">
        <f>DATE(2012,12,31)-1112</f>
        <v>40162</v>
      </c>
      <c r="B8420" s="13">
        <v>927.9875</v>
      </c>
    </row>
    <row r="8421" s="6" customFormat="1" spans="1:2">
      <c r="A8421" s="12">
        <f>DATE(2012,12,31)-168</f>
        <v>41106</v>
      </c>
      <c r="B8421" s="13">
        <v>94.56</v>
      </c>
    </row>
    <row r="8422" s="6" customFormat="1" spans="1:2">
      <c r="A8422" s="12">
        <f>DATE(2012,12,31)-836</f>
        <v>40438</v>
      </c>
      <c r="B8422" s="13">
        <v>397.17</v>
      </c>
    </row>
    <row r="8423" s="6" customFormat="1" spans="1:2">
      <c r="A8423" s="12">
        <f>DATE(2012,12,31)-948</f>
        <v>40326</v>
      </c>
      <c r="B8423" s="13">
        <v>336.84</v>
      </c>
    </row>
    <row r="8424" s="6" customFormat="1" spans="1:2">
      <c r="A8424" s="12">
        <f>DATE(2012,12,31)-948</f>
        <v>40326</v>
      </c>
      <c r="B8424" s="13">
        <v>1120.27</v>
      </c>
    </row>
    <row r="8425" s="6" customFormat="1" spans="1:2">
      <c r="A8425" s="12">
        <f>DATE(2012,12,31)-100</f>
        <v>41174</v>
      </c>
      <c r="B8425" s="13">
        <v>712.04</v>
      </c>
    </row>
    <row r="8426" s="6" customFormat="1" spans="1:2">
      <c r="A8426" s="12">
        <f>DATE(2012,12,31)-299</f>
        <v>40975</v>
      </c>
      <c r="B8426" s="13">
        <v>167.23</v>
      </c>
    </row>
    <row r="8427" s="6" customFormat="1" spans="1:2">
      <c r="A8427" s="12">
        <f>DATE(2012,12,31)-264</f>
        <v>41010</v>
      </c>
      <c r="B8427" s="13">
        <v>1610.26</v>
      </c>
    </row>
    <row r="8428" s="6" customFormat="1" spans="1:2">
      <c r="A8428" s="12">
        <f>DATE(2012,12,31)-1179</f>
        <v>40095</v>
      </c>
      <c r="B8428" s="13">
        <v>3361.84</v>
      </c>
    </row>
    <row r="8429" s="6" customFormat="1" spans="1:2">
      <c r="A8429" s="12">
        <f>DATE(2012,12,31)-1179</f>
        <v>40095</v>
      </c>
      <c r="B8429" s="13">
        <v>195.82</v>
      </c>
    </row>
    <row r="8430" s="6" customFormat="1" spans="1:2">
      <c r="A8430" s="12">
        <f>DATE(2012,12,31)-510</f>
        <v>40764</v>
      </c>
      <c r="B8430" s="13">
        <v>42.29</v>
      </c>
    </row>
    <row r="8431" s="6" customFormat="1" spans="1:2">
      <c r="A8431" s="12">
        <f>DATE(2012,12,31)-139</f>
        <v>41135</v>
      </c>
      <c r="B8431" s="13">
        <v>197.36</v>
      </c>
    </row>
    <row r="8432" s="6" customFormat="1" spans="1:2">
      <c r="A8432" s="12">
        <f>DATE(2012,12,31)-1078</f>
        <v>40196</v>
      </c>
      <c r="B8432" s="13">
        <v>883.31</v>
      </c>
    </row>
    <row r="8433" s="6" customFormat="1" spans="1:2">
      <c r="A8433" s="12">
        <f>DATE(2012,12,31)-168</f>
        <v>41106</v>
      </c>
      <c r="B8433" s="13">
        <v>9695.84</v>
      </c>
    </row>
    <row r="8434" s="6" customFormat="1" spans="1:2">
      <c r="A8434" s="12">
        <f>DATE(2012,12,31)-168</f>
        <v>41106</v>
      </c>
      <c r="B8434" s="13">
        <v>246.79</v>
      </c>
    </row>
    <row r="8435" s="6" customFormat="1" spans="1:2">
      <c r="A8435" s="12">
        <f>DATE(2012,12,31)-168</f>
        <v>41106</v>
      </c>
      <c r="B8435" s="13">
        <v>777.78</v>
      </c>
    </row>
    <row r="8436" s="6" customFormat="1" spans="1:2">
      <c r="A8436" s="12">
        <f>DATE(2012,12,31)-1136</f>
        <v>40138</v>
      </c>
      <c r="B8436" s="13">
        <v>1644.59</v>
      </c>
    </row>
    <row r="8437" s="6" customFormat="1" spans="1:2">
      <c r="A8437" s="12">
        <f>DATE(2012,12,31)-702</f>
        <v>40572</v>
      </c>
      <c r="B8437" s="13">
        <v>1379.98</v>
      </c>
    </row>
    <row r="8438" s="6" customFormat="1" spans="1:2">
      <c r="A8438" s="12">
        <f>DATE(2012,12,31)-246</f>
        <v>41028</v>
      </c>
      <c r="B8438" s="13">
        <v>2368.168</v>
      </c>
    </row>
    <row r="8439" s="6" customFormat="1" spans="1:2">
      <c r="A8439" s="12">
        <f>DATE(2012,12,31)-1252</f>
        <v>40022</v>
      </c>
      <c r="B8439" s="13">
        <v>2550.12</v>
      </c>
    </row>
    <row r="8440" s="6" customFormat="1" spans="1:2">
      <c r="A8440" s="12">
        <f>DATE(2012,12,31)-1252</f>
        <v>40022</v>
      </c>
      <c r="B8440" s="13">
        <v>5897.47</v>
      </c>
    </row>
    <row r="8441" s="6" customFormat="1" spans="1:2">
      <c r="A8441" s="12">
        <f>DATE(2012,12,31)-626</f>
        <v>40648</v>
      </c>
      <c r="B8441" s="13">
        <v>662.51</v>
      </c>
    </row>
    <row r="8442" s="6" customFormat="1" spans="1:2">
      <c r="A8442" s="12">
        <f>DATE(2012,12,31)-626</f>
        <v>40648</v>
      </c>
      <c r="B8442" s="13">
        <v>61.18</v>
      </c>
    </row>
    <row r="8443" s="6" customFormat="1" spans="1:2">
      <c r="A8443" s="12">
        <f>DATE(2012,12,31)-1306</f>
        <v>39968</v>
      </c>
      <c r="B8443" s="13">
        <v>3029.97</v>
      </c>
    </row>
    <row r="8444" s="6" customFormat="1" spans="1:2">
      <c r="A8444" s="12">
        <f>DATE(2012,12,31)-1306</f>
        <v>39968</v>
      </c>
      <c r="B8444" s="13">
        <v>241.04</v>
      </c>
    </row>
    <row r="8445" s="6" customFormat="1" spans="1:2">
      <c r="A8445" s="12">
        <f>DATE(2012,12,31)-289</f>
        <v>40985</v>
      </c>
      <c r="B8445" s="13">
        <v>44.17</v>
      </c>
    </row>
    <row r="8446" s="6" customFormat="1" spans="1:2">
      <c r="A8446" s="12">
        <f>DATE(2012,12,31)-289</f>
        <v>40985</v>
      </c>
      <c r="B8446" s="13">
        <v>192.92</v>
      </c>
    </row>
    <row r="8447" s="6" customFormat="1" spans="1:2">
      <c r="A8447" s="12">
        <f>DATE(2012,12,31)-289</f>
        <v>40985</v>
      </c>
      <c r="B8447" s="13">
        <v>10532.94</v>
      </c>
    </row>
    <row r="8448" s="6" customFormat="1" spans="1:2">
      <c r="A8448" s="12">
        <f>DATE(2012,12,31)-301</f>
        <v>40973</v>
      </c>
      <c r="B8448" s="13">
        <v>364.4</v>
      </c>
    </row>
    <row r="8449" s="6" customFormat="1" spans="1:2">
      <c r="A8449" s="12">
        <f>DATE(2012,12,31)-604</f>
        <v>40670</v>
      </c>
      <c r="B8449" s="13">
        <v>33.99</v>
      </c>
    </row>
    <row r="8450" s="6" customFormat="1" spans="1:2">
      <c r="A8450" s="12">
        <f>DATE(2012,12,31)-473</f>
        <v>40801</v>
      </c>
      <c r="B8450" s="13">
        <v>260.51</v>
      </c>
    </row>
    <row r="8451" s="6" customFormat="1" spans="1:2">
      <c r="A8451" s="12">
        <f>DATE(2012,12,31)-473</f>
        <v>40801</v>
      </c>
      <c r="B8451" s="13">
        <v>466.28</v>
      </c>
    </row>
    <row r="8452" s="6" customFormat="1" spans="1:2">
      <c r="A8452" s="12">
        <f>DATE(2012,12,31)-296</f>
        <v>40978</v>
      </c>
      <c r="B8452" s="13">
        <v>1961.39</v>
      </c>
    </row>
    <row r="8453" s="6" customFormat="1" spans="1:2">
      <c r="A8453" s="12">
        <f>DATE(2012,12,31)-296</f>
        <v>40978</v>
      </c>
      <c r="B8453" s="13">
        <v>4.94</v>
      </c>
    </row>
    <row r="8454" s="6" customFormat="1" spans="1:2">
      <c r="A8454" s="12">
        <f>DATE(2012,12,31)-823</f>
        <v>40451</v>
      </c>
      <c r="B8454" s="13">
        <v>22.06</v>
      </c>
    </row>
    <row r="8455" s="6" customFormat="1" spans="1:2">
      <c r="A8455" s="12">
        <f>DATE(2012,12,31)-1121</f>
        <v>40153</v>
      </c>
      <c r="B8455" s="13">
        <v>549.92</v>
      </c>
    </row>
    <row r="8456" s="6" customFormat="1" spans="1:2">
      <c r="A8456" s="12">
        <f>DATE(2012,12,31)-1121</f>
        <v>40153</v>
      </c>
      <c r="B8456" s="13">
        <v>182.09</v>
      </c>
    </row>
    <row r="8457" s="6" customFormat="1" spans="1:2">
      <c r="A8457" s="12">
        <f>DATE(2012,12,31)-1086</f>
        <v>40188</v>
      </c>
      <c r="B8457" s="13">
        <v>1091.47</v>
      </c>
    </row>
    <row r="8458" s="6" customFormat="1" spans="1:2">
      <c r="A8458" s="12">
        <f>DATE(2012,12,31)-1086</f>
        <v>40188</v>
      </c>
      <c r="B8458" s="13">
        <v>112.59</v>
      </c>
    </row>
    <row r="8459" s="6" customFormat="1" spans="1:2">
      <c r="A8459" s="12">
        <f>DATE(2012,12,31)-186</f>
        <v>41088</v>
      </c>
      <c r="B8459" s="13">
        <v>9633.59</v>
      </c>
    </row>
    <row r="8460" s="6" customFormat="1" spans="1:2">
      <c r="A8460" s="12">
        <f>DATE(2012,12,31)-186</f>
        <v>41088</v>
      </c>
      <c r="B8460" s="13">
        <v>3758.77</v>
      </c>
    </row>
    <row r="8461" s="6" customFormat="1" spans="1:2">
      <c r="A8461" s="12">
        <f>DATE(2012,12,31)-318</f>
        <v>40956</v>
      </c>
      <c r="B8461" s="13">
        <v>1616.66</v>
      </c>
    </row>
    <row r="8462" s="6" customFormat="1" spans="1:2">
      <c r="A8462" s="12">
        <f>DATE(2012,12,31)-318</f>
        <v>40956</v>
      </c>
      <c r="B8462" s="13">
        <v>96.21</v>
      </c>
    </row>
    <row r="8463" s="6" customFormat="1" spans="1:2">
      <c r="A8463" s="12">
        <f>DATE(2012,12,31)-46</f>
        <v>41228</v>
      </c>
      <c r="B8463" s="13">
        <v>18.91</v>
      </c>
    </row>
    <row r="8464" s="6" customFormat="1" spans="1:2">
      <c r="A8464" s="12">
        <f>DATE(2012,12,31)-46</f>
        <v>41228</v>
      </c>
      <c r="B8464" s="13">
        <v>685.7</v>
      </c>
    </row>
    <row r="8465" s="6" customFormat="1" spans="1:2">
      <c r="A8465" s="12">
        <f>DATE(2012,12,31)-46</f>
        <v>41228</v>
      </c>
      <c r="B8465" s="13">
        <v>1024.165</v>
      </c>
    </row>
    <row r="8466" s="6" customFormat="1" spans="1:2">
      <c r="A8466" s="12">
        <f>DATE(2012,12,31)-1438</f>
        <v>39836</v>
      </c>
      <c r="B8466" s="13">
        <v>1383.2</v>
      </c>
    </row>
    <row r="8467" s="6" customFormat="1" spans="1:2">
      <c r="A8467" s="12">
        <f>DATE(2012,12,31)-584</f>
        <v>40690</v>
      </c>
      <c r="B8467" s="13">
        <v>211.42</v>
      </c>
    </row>
    <row r="8468" s="6" customFormat="1" spans="1:2">
      <c r="A8468" s="12">
        <f>DATE(2012,12,31)-847</f>
        <v>40427</v>
      </c>
      <c r="B8468" s="13">
        <v>112.03</v>
      </c>
    </row>
    <row r="8469" s="6" customFormat="1" spans="1:2">
      <c r="A8469" s="12">
        <f>DATE(2012,12,31)-899</f>
        <v>40375</v>
      </c>
      <c r="B8469" s="13">
        <v>5205.83</v>
      </c>
    </row>
    <row r="8470" s="6" customFormat="1" spans="1:2">
      <c r="A8470" s="12">
        <f>DATE(2012,12,31)-287</f>
        <v>40987</v>
      </c>
      <c r="B8470" s="13">
        <v>175.23</v>
      </c>
    </row>
    <row r="8471" s="6" customFormat="1" spans="1:2">
      <c r="A8471" s="12">
        <f>DATE(2012,12,31)-1300</f>
        <v>39974</v>
      </c>
      <c r="B8471" s="13">
        <v>132.72</v>
      </c>
    </row>
    <row r="8472" s="6" customFormat="1" spans="1:2">
      <c r="A8472" s="12">
        <f>DATE(2012,12,31)-1347</f>
        <v>39927</v>
      </c>
      <c r="B8472" s="13">
        <v>1396.58</v>
      </c>
    </row>
    <row r="8473" s="6" customFormat="1" spans="1:2">
      <c r="A8473" s="12">
        <f>DATE(2012,12,31)-1347</f>
        <v>39927</v>
      </c>
      <c r="B8473" s="13">
        <v>6448.69</v>
      </c>
    </row>
    <row r="8474" s="6" customFormat="1" spans="1:2">
      <c r="A8474" s="12">
        <f>DATE(2012,12,31)-649</f>
        <v>40625</v>
      </c>
      <c r="B8474" s="13">
        <v>143.78</v>
      </c>
    </row>
    <row r="8475" s="6" customFormat="1" spans="1:2">
      <c r="A8475" s="12">
        <f>DATE(2012,12,31)-499</f>
        <v>40775</v>
      </c>
      <c r="B8475" s="13">
        <v>252.99</v>
      </c>
    </row>
    <row r="8476" s="6" customFormat="1" spans="1:2">
      <c r="A8476" s="12">
        <f>DATE(2012,12,31)-950</f>
        <v>40324</v>
      </c>
      <c r="B8476" s="13">
        <v>224.58</v>
      </c>
    </row>
    <row r="8477" s="6" customFormat="1" spans="1:2">
      <c r="A8477" s="12">
        <f>DATE(2012,12,31)-804</f>
        <v>40470</v>
      </c>
      <c r="B8477" s="13">
        <v>1646.47</v>
      </c>
    </row>
    <row r="8478" s="6" customFormat="1" spans="1:2">
      <c r="A8478" s="12">
        <f>DATE(2012,12,31)-420</f>
        <v>40854</v>
      </c>
      <c r="B8478" s="13">
        <v>149.64</v>
      </c>
    </row>
    <row r="8479" s="6" customFormat="1" spans="1:2">
      <c r="A8479" s="12">
        <f>DATE(2012,12,31)-1254</f>
        <v>40020</v>
      </c>
      <c r="B8479" s="13">
        <v>3416.38</v>
      </c>
    </row>
    <row r="8480" s="6" customFormat="1" spans="1:2">
      <c r="A8480" s="12">
        <f>DATE(2012,12,31)-1254</f>
        <v>40020</v>
      </c>
      <c r="B8480" s="13">
        <v>142.81</v>
      </c>
    </row>
    <row r="8481" s="6" customFormat="1" spans="1:2">
      <c r="A8481" s="12">
        <f>DATE(2012,12,31)-510</f>
        <v>40764</v>
      </c>
      <c r="B8481" s="13">
        <v>42.29</v>
      </c>
    </row>
    <row r="8482" s="6" customFormat="1" spans="1:2">
      <c r="A8482" s="12">
        <f>DATE(2012,12,31)-139</f>
        <v>41135</v>
      </c>
      <c r="B8482" s="13">
        <v>197.36</v>
      </c>
    </row>
    <row r="8483" s="6" customFormat="1" spans="1:2">
      <c r="A8483" s="12">
        <f>DATE(2012,12,31)-1078</f>
        <v>40196</v>
      </c>
      <c r="B8483" s="13">
        <v>883.31</v>
      </c>
    </row>
    <row r="8484" s="6" customFormat="1" spans="1:2">
      <c r="A8484" s="12">
        <f>DATE(2012,12,31)-168</f>
        <v>41106</v>
      </c>
      <c r="B8484" s="13">
        <v>9695.84</v>
      </c>
    </row>
    <row r="8485" s="6" customFormat="1" spans="1:2">
      <c r="A8485" s="12">
        <f>DATE(2012,12,31)-168</f>
        <v>41106</v>
      </c>
      <c r="B8485" s="13">
        <v>246.79</v>
      </c>
    </row>
    <row r="8486" s="6" customFormat="1" spans="1:2">
      <c r="A8486" s="12">
        <f>DATE(2012,12,31)-168</f>
        <v>41106</v>
      </c>
      <c r="B8486" s="13">
        <v>777.78</v>
      </c>
    </row>
    <row r="8487" s="6" customFormat="1" spans="1:2">
      <c r="A8487" s="12">
        <f>DATE(2012,12,31)-1136</f>
        <v>40138</v>
      </c>
      <c r="B8487" s="13">
        <v>1644.59</v>
      </c>
    </row>
    <row r="8488" s="6" customFormat="1" spans="1:2">
      <c r="A8488" s="12">
        <f>DATE(2012,12,31)-702</f>
        <v>40572</v>
      </c>
      <c r="B8488" s="13">
        <v>1379.98</v>
      </c>
    </row>
    <row r="8489" s="6" customFormat="1" spans="1:2">
      <c r="A8489" s="12">
        <f>DATE(2012,12,31)-246</f>
        <v>41028</v>
      </c>
      <c r="B8489" s="13">
        <v>2368.168</v>
      </c>
    </row>
    <row r="8490" s="6" customFormat="1" spans="1:2">
      <c r="A8490" s="12">
        <f>DATE(2012,12,31)-1252</f>
        <v>40022</v>
      </c>
      <c r="B8490" s="13">
        <v>2550.12</v>
      </c>
    </row>
    <row r="8491" s="6" customFormat="1" spans="1:2">
      <c r="A8491" s="12">
        <f>DATE(2012,12,31)-1252</f>
        <v>40022</v>
      </c>
      <c r="B8491" s="13">
        <v>5897.47</v>
      </c>
    </row>
    <row r="8492" s="6" customFormat="1" spans="1:2">
      <c r="A8492" s="12">
        <f>DATE(2012,12,31)-626</f>
        <v>40648</v>
      </c>
      <c r="B8492" s="13">
        <v>662.51</v>
      </c>
    </row>
    <row r="8493" s="6" customFormat="1" spans="1:2">
      <c r="A8493" s="12">
        <f>DATE(2012,12,31)-626</f>
        <v>40648</v>
      </c>
      <c r="B8493" s="13">
        <v>61.18</v>
      </c>
    </row>
    <row r="8494" s="6" customFormat="1" spans="1:2">
      <c r="A8494" s="12">
        <f>DATE(2012,12,31)-1306</f>
        <v>39968</v>
      </c>
      <c r="B8494" s="13">
        <v>3029.97</v>
      </c>
    </row>
    <row r="8495" s="6" customFormat="1" spans="1:2">
      <c r="A8495" s="12">
        <f>DATE(2012,12,31)-1306</f>
        <v>39968</v>
      </c>
      <c r="B8495" s="13">
        <v>241.04</v>
      </c>
    </row>
    <row r="8496" s="6" customFormat="1" spans="1:2">
      <c r="A8496" s="12">
        <f>DATE(2012,12,31)-289</f>
        <v>40985</v>
      </c>
      <c r="B8496" s="13">
        <v>44.17</v>
      </c>
    </row>
    <row r="8497" s="6" customFormat="1" spans="1:2">
      <c r="A8497" s="12">
        <f>DATE(2012,12,31)-289</f>
        <v>40985</v>
      </c>
      <c r="B8497" s="13">
        <v>192.92</v>
      </c>
    </row>
    <row r="8498" s="6" customFormat="1" spans="1:2">
      <c r="A8498" s="12">
        <f>DATE(2012,12,31)-289</f>
        <v>40985</v>
      </c>
      <c r="B8498" s="13">
        <v>10532.94</v>
      </c>
    </row>
    <row r="8499" s="6" customFormat="1" spans="1:2">
      <c r="A8499" s="12">
        <f>DATE(2012,12,31)-301</f>
        <v>40973</v>
      </c>
      <c r="B8499" s="13">
        <v>364.4</v>
      </c>
    </row>
    <row r="8500" s="6" customFormat="1" spans="1:2">
      <c r="A8500" s="12">
        <f>DATE(2012,12,31)-604</f>
        <v>40670</v>
      </c>
      <c r="B8500" s="13">
        <v>33.99</v>
      </c>
    </row>
    <row r="8501" s="6" customFormat="1" spans="1:2">
      <c r="A8501" s="12">
        <f>DATE(2012,12,31)-473</f>
        <v>40801</v>
      </c>
      <c r="B8501" s="13">
        <v>260.51</v>
      </c>
    </row>
    <row r="8502" s="6" customFormat="1" spans="1:2">
      <c r="A8502" s="12">
        <f>DATE(2012,12,31)-473</f>
        <v>40801</v>
      </c>
      <c r="B8502" s="13">
        <v>466.28</v>
      </c>
    </row>
    <row r="8503" s="6" customFormat="1" spans="1:2">
      <c r="A8503" s="12">
        <f>DATE(2012,12,31)-296</f>
        <v>40978</v>
      </c>
      <c r="B8503" s="13">
        <v>1961.39</v>
      </c>
    </row>
    <row r="8504" s="6" customFormat="1" spans="1:2">
      <c r="A8504" s="12">
        <f>DATE(2012,12,31)-296</f>
        <v>40978</v>
      </c>
      <c r="B8504" s="13">
        <v>4.94</v>
      </c>
    </row>
    <row r="8505" s="6" customFormat="1" spans="1:2">
      <c r="A8505" s="12">
        <f>DATE(2012,12,31)-823</f>
        <v>40451</v>
      </c>
      <c r="B8505" s="13">
        <v>22.06</v>
      </c>
    </row>
    <row r="8506" s="6" customFormat="1" spans="1:2">
      <c r="A8506" s="12">
        <f>DATE(2012,12,31)-1121</f>
        <v>40153</v>
      </c>
      <c r="B8506" s="13">
        <v>549.92</v>
      </c>
    </row>
    <row r="8507" s="6" customFormat="1" spans="1:2">
      <c r="A8507" s="12">
        <f>DATE(2012,12,31)-1121</f>
        <v>40153</v>
      </c>
      <c r="B8507" s="13">
        <v>182.09</v>
      </c>
    </row>
    <row r="8508" s="6" customFormat="1" spans="1:2">
      <c r="A8508" s="12">
        <f>DATE(2012,12,31)-1086</f>
        <v>40188</v>
      </c>
      <c r="B8508" s="13">
        <v>1091.47</v>
      </c>
    </row>
    <row r="8509" s="6" customFormat="1" spans="1:2">
      <c r="A8509" s="12">
        <f>DATE(2012,12,31)-1086</f>
        <v>40188</v>
      </c>
      <c r="B8509" s="13">
        <v>112.59</v>
      </c>
    </row>
    <row r="8510" s="6" customFormat="1" spans="1:2">
      <c r="A8510" s="12">
        <f>DATE(2012,12,31)-186</f>
        <v>41088</v>
      </c>
      <c r="B8510" s="13">
        <v>9633.59</v>
      </c>
    </row>
    <row r="8511" s="6" customFormat="1" spans="1:2">
      <c r="A8511" s="12">
        <f>DATE(2012,12,31)-186</f>
        <v>41088</v>
      </c>
      <c r="B8511" s="13">
        <v>3758.77</v>
      </c>
    </row>
    <row r="8512" s="6" customFormat="1" spans="1:2">
      <c r="A8512" s="12">
        <f>DATE(2012,12,31)-318</f>
        <v>40956</v>
      </c>
      <c r="B8512" s="13">
        <v>1616.66</v>
      </c>
    </row>
    <row r="8513" s="6" customFormat="1" spans="1:2">
      <c r="A8513" s="12">
        <f>DATE(2012,12,31)-318</f>
        <v>40956</v>
      </c>
      <c r="B8513" s="13">
        <v>96.21</v>
      </c>
    </row>
    <row r="8514" s="6" customFormat="1" spans="1:2">
      <c r="A8514" s="12">
        <f>DATE(2012,12,31)-46</f>
        <v>41228</v>
      </c>
      <c r="B8514" s="13">
        <v>18.91</v>
      </c>
    </row>
    <row r="8515" s="6" customFormat="1" spans="1:2">
      <c r="A8515" s="12">
        <f>DATE(2012,12,31)-46</f>
        <v>41228</v>
      </c>
      <c r="B8515" s="13">
        <v>685.7</v>
      </c>
    </row>
    <row r="8516" s="6" customFormat="1" spans="1:2">
      <c r="A8516" s="12">
        <f>DATE(2012,12,31)-46</f>
        <v>41228</v>
      </c>
      <c r="B8516" s="13">
        <v>1024.165</v>
      </c>
    </row>
    <row r="8517" s="6" customFormat="1" spans="1:2">
      <c r="A8517" s="12">
        <f>DATE(2012,12,31)-1438</f>
        <v>39836</v>
      </c>
      <c r="B8517" s="13">
        <v>1383.2</v>
      </c>
    </row>
    <row r="8518" s="6" customFormat="1" spans="1:2">
      <c r="A8518" s="12">
        <f>DATE(2012,12,31)-584</f>
        <v>40690</v>
      </c>
      <c r="B8518" s="13">
        <v>211.42</v>
      </c>
    </row>
    <row r="8519" s="6" customFormat="1" spans="1:2">
      <c r="A8519" s="12">
        <f>DATE(2012,12,31)-847</f>
        <v>40427</v>
      </c>
      <c r="B8519" s="13">
        <v>112.03</v>
      </c>
    </row>
    <row r="8520" s="6" customFormat="1" spans="1:2">
      <c r="A8520" s="12">
        <f>DATE(2012,12,31)-899</f>
        <v>40375</v>
      </c>
      <c r="B8520" s="13">
        <v>5205.83</v>
      </c>
    </row>
    <row r="8521" s="6" customFormat="1" spans="1:2">
      <c r="A8521" s="12">
        <f>DATE(2012,12,31)-287</f>
        <v>40987</v>
      </c>
      <c r="B8521" s="13">
        <v>175.23</v>
      </c>
    </row>
    <row r="8522" s="6" customFormat="1" spans="1:2">
      <c r="A8522" s="12">
        <f>DATE(2012,12,31)-1300</f>
        <v>39974</v>
      </c>
      <c r="B8522" s="13">
        <v>132.72</v>
      </c>
    </row>
    <row r="8523" s="6" customFormat="1" spans="1:2">
      <c r="A8523" s="12">
        <f>DATE(2012,12,31)-1347</f>
        <v>39927</v>
      </c>
      <c r="B8523" s="13">
        <v>1396.58</v>
      </c>
    </row>
    <row r="8524" s="6" customFormat="1" spans="1:2">
      <c r="A8524" s="12">
        <f>DATE(2012,12,31)-1347</f>
        <v>39927</v>
      </c>
      <c r="B8524" s="13">
        <v>6448.69</v>
      </c>
    </row>
    <row r="8525" s="6" customFormat="1" spans="1:2">
      <c r="A8525" s="12">
        <f>DATE(2012,12,31)-649</f>
        <v>40625</v>
      </c>
      <c r="B8525" s="13">
        <v>143.78</v>
      </c>
    </row>
    <row r="8526" s="6" customFormat="1" spans="1:2">
      <c r="A8526" s="12">
        <f>DATE(2012,12,31)-499</f>
        <v>40775</v>
      </c>
      <c r="B8526" s="13">
        <v>252.99</v>
      </c>
    </row>
    <row r="8527" s="6" customFormat="1" spans="1:2">
      <c r="A8527" s="12">
        <f>DATE(2012,12,31)-950</f>
        <v>40324</v>
      </c>
      <c r="B8527" s="13">
        <v>224.58</v>
      </c>
    </row>
    <row r="8528" s="6" customFormat="1" spans="1:2">
      <c r="A8528" s="12">
        <f>DATE(2012,12,31)-804</f>
        <v>40470</v>
      </c>
      <c r="B8528" s="13">
        <v>1646.47</v>
      </c>
    </row>
    <row r="8529" s="6" customFormat="1" spans="1:2">
      <c r="A8529" s="12">
        <f>DATE(2012,12,31)-420</f>
        <v>40854</v>
      </c>
      <c r="B8529" s="13">
        <v>149.64</v>
      </c>
    </row>
    <row r="8530" s="6" customFormat="1" spans="1:2">
      <c r="A8530" s="12">
        <f>DATE(2012,12,31)-1254</f>
        <v>40020</v>
      </c>
      <c r="B8530" s="13">
        <v>3416.38</v>
      </c>
    </row>
    <row r="8531" s="6" customFormat="1" spans="1:2">
      <c r="A8531" s="12">
        <f>DATE(2012,12,31)-1254</f>
        <v>40020</v>
      </c>
      <c r="B8531" s="13">
        <v>142.81</v>
      </c>
    </row>
    <row r="8532" s="6" customFormat="1" spans="1:2">
      <c r="A8532" s="12">
        <f>DATE(2012,12,31)-510</f>
        <v>40764</v>
      </c>
      <c r="B8532" s="13">
        <v>42.29</v>
      </c>
    </row>
    <row r="8533" s="6" customFormat="1" spans="1:2">
      <c r="A8533" s="12">
        <f>DATE(2012,12,31)-139</f>
        <v>41135</v>
      </c>
      <c r="B8533" s="13">
        <v>197.36</v>
      </c>
    </row>
    <row r="8534" s="6" customFormat="1" spans="1:2">
      <c r="A8534" s="12">
        <f>DATE(2012,12,31)-1078</f>
        <v>40196</v>
      </c>
      <c r="B8534" s="13">
        <v>883.31</v>
      </c>
    </row>
    <row r="8535" s="6" customFormat="1" spans="1:2">
      <c r="A8535" s="12">
        <f>DATE(2012,12,31)-168</f>
        <v>41106</v>
      </c>
      <c r="B8535" s="13">
        <v>9695.84</v>
      </c>
    </row>
    <row r="8536" s="6" customFormat="1" spans="1:2">
      <c r="A8536" s="12">
        <f>DATE(2012,12,31)-168</f>
        <v>41106</v>
      </c>
      <c r="B8536" s="13">
        <v>246.79</v>
      </c>
    </row>
    <row r="8537" s="6" customFormat="1" spans="1:2">
      <c r="A8537" s="12">
        <f>DATE(2012,12,31)-168</f>
        <v>41106</v>
      </c>
      <c r="B8537" s="13">
        <v>777.78</v>
      </c>
    </row>
    <row r="8538" s="6" customFormat="1" spans="1:2">
      <c r="A8538" s="12">
        <f>DATE(2012,12,31)-1136</f>
        <v>40138</v>
      </c>
      <c r="B8538" s="13">
        <v>1644.59</v>
      </c>
    </row>
    <row r="8539" s="6" customFormat="1" spans="1:2">
      <c r="A8539" s="12">
        <f>DATE(2012,12,31)-702</f>
        <v>40572</v>
      </c>
      <c r="B8539" s="13">
        <v>1379.98</v>
      </c>
    </row>
    <row r="8540" s="6" customFormat="1" spans="1:2">
      <c r="A8540" s="12">
        <f>DATE(2012,12,31)-246</f>
        <v>41028</v>
      </c>
      <c r="B8540" s="13">
        <v>2368.168</v>
      </c>
    </row>
    <row r="8541" s="6" customFormat="1" spans="1:2">
      <c r="A8541" s="12">
        <f>DATE(2012,12,31)-1252</f>
        <v>40022</v>
      </c>
      <c r="B8541" s="13">
        <v>2550.12</v>
      </c>
    </row>
    <row r="8542" s="6" customFormat="1" spans="1:2">
      <c r="A8542" s="12">
        <f>DATE(2012,12,31)-1252</f>
        <v>40022</v>
      </c>
      <c r="B8542" s="13">
        <v>5897.47</v>
      </c>
    </row>
    <row r="8543" s="6" customFormat="1" spans="1:2">
      <c r="A8543" s="12">
        <f>DATE(2012,12,31)-626</f>
        <v>40648</v>
      </c>
      <c r="B8543" s="13">
        <v>662.51</v>
      </c>
    </row>
    <row r="8544" s="6" customFormat="1" spans="1:2">
      <c r="A8544" s="12">
        <f>DATE(2012,12,31)-626</f>
        <v>40648</v>
      </c>
      <c r="B8544" s="13">
        <v>61.18</v>
      </c>
    </row>
    <row r="8545" s="6" customFormat="1" spans="1:2">
      <c r="A8545" s="12">
        <f>DATE(2012,12,31)-1306</f>
        <v>39968</v>
      </c>
      <c r="B8545" s="13">
        <v>3029.97</v>
      </c>
    </row>
    <row r="8546" s="6" customFormat="1" spans="1:2">
      <c r="A8546" s="12">
        <f>DATE(2012,12,31)-1306</f>
        <v>39968</v>
      </c>
      <c r="B8546" s="13">
        <v>241.04</v>
      </c>
    </row>
    <row r="8547" s="6" customFormat="1" spans="1:2">
      <c r="A8547" s="12">
        <f>DATE(2012,12,31)-289</f>
        <v>40985</v>
      </c>
      <c r="B8547" s="13">
        <v>44.17</v>
      </c>
    </row>
    <row r="8548" s="6" customFormat="1" spans="1:2">
      <c r="A8548" s="12">
        <f>DATE(2012,12,31)-289</f>
        <v>40985</v>
      </c>
      <c r="B8548" s="13">
        <v>192.92</v>
      </c>
    </row>
    <row r="8549" s="6" customFormat="1" spans="1:2">
      <c r="A8549" s="12">
        <f>DATE(2012,12,31)-289</f>
        <v>40985</v>
      </c>
      <c r="B8549" s="13">
        <v>10532.94</v>
      </c>
    </row>
    <row r="8550" s="6" customFormat="1" spans="1:2">
      <c r="A8550" s="12">
        <f>DATE(2012,12,31)-301</f>
        <v>40973</v>
      </c>
      <c r="B8550" s="13">
        <v>364.4</v>
      </c>
    </row>
    <row r="8551" s="6" customFormat="1" spans="1:2">
      <c r="A8551" s="12">
        <f>DATE(2012,12,31)-604</f>
        <v>40670</v>
      </c>
      <c r="B8551" s="13">
        <v>33.99</v>
      </c>
    </row>
    <row r="8552" s="6" customFormat="1" spans="1:2">
      <c r="A8552" s="12">
        <f>DATE(2012,12,31)-473</f>
        <v>40801</v>
      </c>
      <c r="B8552" s="13">
        <v>260.51</v>
      </c>
    </row>
    <row r="8553" s="6" customFormat="1" spans="1:2">
      <c r="A8553" s="12">
        <f>DATE(2012,12,31)-473</f>
        <v>40801</v>
      </c>
      <c r="B8553" s="13">
        <v>466.28</v>
      </c>
    </row>
    <row r="8554" s="6" customFormat="1" spans="1:2">
      <c r="A8554" s="12">
        <f>DATE(2012,12,31)-296</f>
        <v>40978</v>
      </c>
      <c r="B8554" s="13">
        <v>1961.39</v>
      </c>
    </row>
    <row r="8555" s="6" customFormat="1" spans="1:2">
      <c r="A8555" s="12">
        <f>DATE(2012,12,31)-296</f>
        <v>40978</v>
      </c>
      <c r="B8555" s="13">
        <v>4.94</v>
      </c>
    </row>
    <row r="8556" s="6" customFormat="1" spans="1:2">
      <c r="A8556" s="12">
        <f>DATE(2012,12,31)-823</f>
        <v>40451</v>
      </c>
      <c r="B8556" s="13">
        <v>22.06</v>
      </c>
    </row>
    <row r="8557" s="6" customFormat="1" spans="1:2">
      <c r="A8557" s="12">
        <f>DATE(2012,12,31)-1121</f>
        <v>40153</v>
      </c>
      <c r="B8557" s="13">
        <v>549.92</v>
      </c>
    </row>
    <row r="8558" s="6" customFormat="1" spans="1:2">
      <c r="A8558" s="12">
        <f>DATE(2012,12,31)-1121</f>
        <v>40153</v>
      </c>
      <c r="B8558" s="13">
        <v>182.09</v>
      </c>
    </row>
    <row r="8559" s="6" customFormat="1" spans="1:2">
      <c r="A8559" s="12">
        <f>DATE(2012,12,31)-1086</f>
        <v>40188</v>
      </c>
      <c r="B8559" s="13">
        <v>1091.47</v>
      </c>
    </row>
    <row r="8560" s="6" customFormat="1" spans="1:2">
      <c r="A8560" s="12">
        <f>DATE(2012,12,31)-1086</f>
        <v>40188</v>
      </c>
      <c r="B8560" s="13">
        <v>112.59</v>
      </c>
    </row>
    <row r="8561" s="6" customFormat="1" spans="1:2">
      <c r="A8561" s="12">
        <f>DATE(2012,12,31)-186</f>
        <v>41088</v>
      </c>
      <c r="B8561" s="13">
        <v>9633.59</v>
      </c>
    </row>
    <row r="8562" s="6" customFormat="1" spans="1:2">
      <c r="A8562" s="12">
        <f>DATE(2012,12,31)-186</f>
        <v>41088</v>
      </c>
      <c r="B8562" s="13">
        <v>3758.77</v>
      </c>
    </row>
    <row r="8563" s="6" customFormat="1" spans="1:2">
      <c r="A8563" s="12">
        <f>DATE(2012,12,31)-318</f>
        <v>40956</v>
      </c>
      <c r="B8563" s="13">
        <v>1616.66</v>
      </c>
    </row>
    <row r="8564" s="6" customFormat="1" spans="1:2">
      <c r="A8564" s="12">
        <f>DATE(2012,12,31)-318</f>
        <v>40956</v>
      </c>
      <c r="B8564" s="13">
        <v>96.21</v>
      </c>
    </row>
    <row r="8565" s="6" customFormat="1" spans="1:2">
      <c r="A8565" s="12">
        <f>DATE(2012,12,31)-46</f>
        <v>41228</v>
      </c>
      <c r="B8565" s="13">
        <v>18.91</v>
      </c>
    </row>
    <row r="8566" s="6" customFormat="1" spans="1:2">
      <c r="A8566" s="12">
        <f>DATE(2012,12,31)-46</f>
        <v>41228</v>
      </c>
      <c r="B8566" s="13">
        <v>685.7</v>
      </c>
    </row>
    <row r="8567" s="6" customFormat="1" spans="1:2">
      <c r="A8567" s="12">
        <f>DATE(2012,12,31)-46</f>
        <v>41228</v>
      </c>
      <c r="B8567" s="13">
        <v>1024.165</v>
      </c>
    </row>
    <row r="8568" s="6" customFormat="1" spans="1:2">
      <c r="A8568" s="12">
        <f>DATE(2012,12,31)-1438</f>
        <v>39836</v>
      </c>
      <c r="B8568" s="13">
        <v>1383.2</v>
      </c>
    </row>
    <row r="8569" s="6" customFormat="1" spans="1:2">
      <c r="A8569" s="12">
        <f>DATE(2012,12,31)-584</f>
        <v>40690</v>
      </c>
      <c r="B8569" s="13">
        <v>211.42</v>
      </c>
    </row>
  </sheetData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3"/>
  <sheetViews>
    <sheetView workbookViewId="0">
      <selection activeCell="D4" sqref="D4"/>
    </sheetView>
  </sheetViews>
  <sheetFormatPr defaultColWidth="9" defaultRowHeight="14.25" outlineLevelCol="1"/>
  <cols>
    <col min="1" max="1" width="6.85714285714286" style="1" customWidth="1"/>
    <col min="2" max="2" width="9.28571428571429" style="1" customWidth="1"/>
    <col min="3" max="16384" width="9.14285714285714" style="1"/>
  </cols>
  <sheetData>
    <row r="1" spans="1:2">
      <c r="A1" s="3" t="s">
        <v>2</v>
      </c>
      <c r="B1" s="4" t="s">
        <v>3</v>
      </c>
    </row>
    <row r="2" spans="1:2">
      <c r="A2" s="1">
        <v>65</v>
      </c>
      <c r="B2" s="1" t="s">
        <v>4</v>
      </c>
    </row>
    <row r="3" spans="1:2">
      <c r="A3" s="1">
        <v>69</v>
      </c>
      <c r="B3" s="1" t="s">
        <v>4</v>
      </c>
    </row>
    <row r="4" spans="1:2">
      <c r="A4" s="1">
        <v>134</v>
      </c>
      <c r="B4" s="1" t="s">
        <v>4</v>
      </c>
    </row>
    <row r="5" spans="1:2">
      <c r="A5" s="1">
        <v>135</v>
      </c>
      <c r="B5" s="1" t="s">
        <v>4</v>
      </c>
    </row>
    <row r="6" spans="1:2">
      <c r="A6" s="1">
        <v>230</v>
      </c>
      <c r="B6" s="1" t="s">
        <v>4</v>
      </c>
    </row>
    <row r="7" spans="1:2">
      <c r="A7" s="1">
        <v>324</v>
      </c>
      <c r="B7" s="1" t="s">
        <v>4</v>
      </c>
    </row>
    <row r="8" spans="1:2">
      <c r="A8" s="1">
        <v>359</v>
      </c>
      <c r="B8" s="1" t="s">
        <v>4</v>
      </c>
    </row>
    <row r="9" spans="1:2">
      <c r="A9" s="1">
        <v>612</v>
      </c>
      <c r="B9" s="1" t="s">
        <v>4</v>
      </c>
    </row>
    <row r="10" spans="1:2">
      <c r="A10" s="1">
        <v>614</v>
      </c>
      <c r="B10" s="1" t="s">
        <v>4</v>
      </c>
    </row>
    <row r="11" spans="1:2">
      <c r="A11" s="1">
        <v>678</v>
      </c>
      <c r="B11" s="1" t="s">
        <v>4</v>
      </c>
    </row>
    <row r="12" spans="1:2">
      <c r="A12" s="1">
        <v>710</v>
      </c>
      <c r="B12" s="1" t="s">
        <v>4</v>
      </c>
    </row>
    <row r="13" spans="1:2">
      <c r="A13" s="1">
        <v>740</v>
      </c>
      <c r="B13" s="1" t="s">
        <v>4</v>
      </c>
    </row>
    <row r="14" spans="1:2">
      <c r="A14" s="1">
        <v>775</v>
      </c>
      <c r="B14" s="1" t="s">
        <v>4</v>
      </c>
    </row>
    <row r="15" spans="1:2">
      <c r="A15" s="1">
        <v>833</v>
      </c>
      <c r="B15" s="1" t="s">
        <v>4</v>
      </c>
    </row>
    <row r="16" spans="1:2">
      <c r="A16" s="1">
        <v>902</v>
      </c>
      <c r="B16" s="1" t="s">
        <v>4</v>
      </c>
    </row>
    <row r="17" spans="1:2">
      <c r="A17" s="1">
        <v>928</v>
      </c>
      <c r="B17" s="1" t="s">
        <v>4</v>
      </c>
    </row>
    <row r="18" spans="1:2">
      <c r="A18" s="1">
        <v>930</v>
      </c>
      <c r="B18" s="1" t="s">
        <v>4</v>
      </c>
    </row>
    <row r="19" spans="1:2">
      <c r="A19" s="1">
        <v>1060</v>
      </c>
      <c r="B19" s="1" t="s">
        <v>4</v>
      </c>
    </row>
    <row r="20" spans="1:2">
      <c r="A20" s="1">
        <v>1127</v>
      </c>
      <c r="B20" s="1" t="s">
        <v>4</v>
      </c>
    </row>
    <row r="21" spans="1:2">
      <c r="A21" s="1">
        <v>1285</v>
      </c>
      <c r="B21" s="1" t="s">
        <v>4</v>
      </c>
    </row>
    <row r="22" spans="1:2">
      <c r="A22" s="1">
        <v>1317</v>
      </c>
      <c r="B22" s="1" t="s">
        <v>4</v>
      </c>
    </row>
    <row r="23" spans="1:2">
      <c r="A23" s="1">
        <v>1382</v>
      </c>
      <c r="B23" s="1" t="s">
        <v>4</v>
      </c>
    </row>
    <row r="24" spans="1:2">
      <c r="A24" s="1">
        <v>1538</v>
      </c>
      <c r="B24" s="1" t="s">
        <v>4</v>
      </c>
    </row>
    <row r="25" spans="1:2">
      <c r="A25" s="1">
        <v>1665</v>
      </c>
      <c r="B25" s="1" t="s">
        <v>4</v>
      </c>
    </row>
    <row r="26" spans="1:2">
      <c r="A26" s="1">
        <v>1921</v>
      </c>
      <c r="B26" s="1" t="s">
        <v>4</v>
      </c>
    </row>
    <row r="27" spans="1:2">
      <c r="A27" s="1">
        <v>2050</v>
      </c>
      <c r="B27" s="1" t="s">
        <v>4</v>
      </c>
    </row>
    <row r="28" spans="1:2">
      <c r="A28" s="1">
        <v>2052</v>
      </c>
      <c r="B28" s="1" t="s">
        <v>4</v>
      </c>
    </row>
    <row r="29" spans="1:2">
      <c r="A29" s="1">
        <v>2055</v>
      </c>
      <c r="B29" s="1" t="s">
        <v>4</v>
      </c>
    </row>
    <row r="30" spans="1:2">
      <c r="A30" s="1">
        <v>2146</v>
      </c>
      <c r="B30" s="1" t="s">
        <v>4</v>
      </c>
    </row>
    <row r="31" spans="1:2">
      <c r="A31" s="1">
        <v>2213</v>
      </c>
      <c r="B31" s="1" t="s">
        <v>4</v>
      </c>
    </row>
    <row r="32" spans="1:2">
      <c r="A32" s="1">
        <v>2240</v>
      </c>
      <c r="B32" s="1" t="s">
        <v>4</v>
      </c>
    </row>
    <row r="33" spans="1:2">
      <c r="A33" s="1">
        <v>2500</v>
      </c>
      <c r="B33" s="1" t="s">
        <v>4</v>
      </c>
    </row>
    <row r="34" spans="1:2">
      <c r="A34" s="1">
        <v>2503</v>
      </c>
      <c r="B34" s="1" t="s">
        <v>4</v>
      </c>
    </row>
    <row r="35" spans="1:2">
      <c r="A35" s="1">
        <v>2562</v>
      </c>
      <c r="B35" s="1" t="s">
        <v>4</v>
      </c>
    </row>
    <row r="36" spans="1:2">
      <c r="A36" s="1">
        <v>2823</v>
      </c>
      <c r="B36" s="1" t="s">
        <v>4</v>
      </c>
    </row>
    <row r="37" spans="1:2">
      <c r="A37" s="1">
        <v>2915</v>
      </c>
      <c r="B37" s="1" t="s">
        <v>4</v>
      </c>
    </row>
    <row r="38" spans="1:2">
      <c r="A38" s="1">
        <v>3300</v>
      </c>
      <c r="B38" s="1" t="s">
        <v>4</v>
      </c>
    </row>
    <row r="39" spans="1:2">
      <c r="A39" s="1">
        <v>3456</v>
      </c>
      <c r="B39" s="1" t="s">
        <v>4</v>
      </c>
    </row>
    <row r="40" spans="1:2">
      <c r="A40" s="1">
        <v>3525</v>
      </c>
      <c r="B40" s="1" t="s">
        <v>4</v>
      </c>
    </row>
    <row r="41" spans="1:2">
      <c r="A41" s="1">
        <v>3589</v>
      </c>
      <c r="B41" s="1" t="s">
        <v>4</v>
      </c>
    </row>
    <row r="42" spans="1:2">
      <c r="A42" s="1">
        <v>3687</v>
      </c>
      <c r="B42" s="1" t="s">
        <v>4</v>
      </c>
    </row>
    <row r="43" spans="1:2">
      <c r="A43" s="1">
        <v>3777</v>
      </c>
      <c r="B43" s="1" t="s">
        <v>4</v>
      </c>
    </row>
    <row r="44" spans="1:2">
      <c r="A44" s="1">
        <v>3783</v>
      </c>
      <c r="B44" s="1" t="s">
        <v>4</v>
      </c>
    </row>
    <row r="45" spans="1:2">
      <c r="A45" s="1">
        <v>4006</v>
      </c>
      <c r="B45" s="1" t="s">
        <v>4</v>
      </c>
    </row>
    <row r="46" spans="1:2">
      <c r="A46" s="1">
        <v>4037</v>
      </c>
      <c r="B46" s="1" t="s">
        <v>4</v>
      </c>
    </row>
    <row r="47" spans="1:2">
      <c r="A47" s="1">
        <v>4230</v>
      </c>
      <c r="B47" s="1" t="s">
        <v>4</v>
      </c>
    </row>
    <row r="48" spans="1:2">
      <c r="A48" s="1">
        <v>4261</v>
      </c>
      <c r="B48" s="1" t="s">
        <v>4</v>
      </c>
    </row>
    <row r="49" spans="1:2">
      <c r="A49" s="1">
        <v>4391</v>
      </c>
      <c r="B49" s="1" t="s">
        <v>4</v>
      </c>
    </row>
    <row r="50" spans="1:2">
      <c r="A50" s="1">
        <v>4610</v>
      </c>
      <c r="B50" s="1" t="s">
        <v>4</v>
      </c>
    </row>
    <row r="51" spans="1:2">
      <c r="A51" s="1">
        <v>4738</v>
      </c>
      <c r="B51" s="1" t="s">
        <v>4</v>
      </c>
    </row>
    <row r="52" spans="1:2">
      <c r="A52" s="1">
        <v>4864</v>
      </c>
      <c r="B52" s="1" t="s">
        <v>4</v>
      </c>
    </row>
    <row r="53" spans="1:2">
      <c r="A53" s="1">
        <v>4960</v>
      </c>
      <c r="B53" s="1" t="s">
        <v>4</v>
      </c>
    </row>
    <row r="54" spans="1:2">
      <c r="A54" s="1">
        <v>5028</v>
      </c>
      <c r="B54" s="1" t="s">
        <v>4</v>
      </c>
    </row>
    <row r="55" spans="1:2">
      <c r="A55" s="1">
        <v>5059</v>
      </c>
      <c r="B55" s="1" t="s">
        <v>4</v>
      </c>
    </row>
    <row r="56" spans="1:2">
      <c r="A56" s="1">
        <v>5061</v>
      </c>
      <c r="B56" s="1" t="s">
        <v>4</v>
      </c>
    </row>
    <row r="57" spans="1:2">
      <c r="A57" s="1">
        <v>5189</v>
      </c>
      <c r="B57" s="1" t="s">
        <v>4</v>
      </c>
    </row>
    <row r="58" spans="1:2">
      <c r="A58" s="1">
        <v>5381</v>
      </c>
      <c r="B58" s="1" t="s">
        <v>4</v>
      </c>
    </row>
    <row r="59" spans="1:2">
      <c r="A59" s="1">
        <v>5414</v>
      </c>
      <c r="B59" s="1" t="s">
        <v>4</v>
      </c>
    </row>
    <row r="60" spans="1:2">
      <c r="A60" s="1">
        <v>5511</v>
      </c>
      <c r="B60" s="1" t="s">
        <v>4</v>
      </c>
    </row>
    <row r="61" spans="1:2">
      <c r="A61" s="1">
        <v>5699</v>
      </c>
      <c r="B61" s="1" t="s">
        <v>4</v>
      </c>
    </row>
    <row r="62" spans="1:2">
      <c r="A62" s="1">
        <v>6054</v>
      </c>
      <c r="B62" s="1" t="s">
        <v>4</v>
      </c>
    </row>
    <row r="63" spans="1:2">
      <c r="A63" s="1">
        <v>6241</v>
      </c>
      <c r="B63" s="1" t="s">
        <v>4</v>
      </c>
    </row>
    <row r="64" spans="1:2">
      <c r="A64" s="1">
        <v>6272</v>
      </c>
      <c r="B64" s="1" t="s">
        <v>4</v>
      </c>
    </row>
    <row r="65" spans="1:2">
      <c r="A65" s="1">
        <v>6498</v>
      </c>
      <c r="B65" s="1" t="s">
        <v>4</v>
      </c>
    </row>
    <row r="66" spans="1:2">
      <c r="A66" s="1">
        <v>6500</v>
      </c>
      <c r="B66" s="1" t="s">
        <v>4</v>
      </c>
    </row>
    <row r="67" spans="1:2">
      <c r="A67" s="1">
        <v>6502</v>
      </c>
      <c r="B67" s="1" t="s">
        <v>4</v>
      </c>
    </row>
    <row r="68" spans="1:2">
      <c r="A68" s="1">
        <v>6661</v>
      </c>
      <c r="B68" s="1" t="s">
        <v>4</v>
      </c>
    </row>
    <row r="69" spans="1:2">
      <c r="A69" s="1">
        <v>6695</v>
      </c>
      <c r="B69" s="1" t="s">
        <v>4</v>
      </c>
    </row>
    <row r="70" spans="1:2">
      <c r="A70" s="1">
        <v>6757</v>
      </c>
      <c r="B70" s="1" t="s">
        <v>4</v>
      </c>
    </row>
    <row r="71" spans="1:2">
      <c r="A71" s="1">
        <v>6978</v>
      </c>
      <c r="B71" s="1" t="s">
        <v>4</v>
      </c>
    </row>
    <row r="72" spans="1:2">
      <c r="A72" s="1">
        <v>6979</v>
      </c>
      <c r="B72" s="1" t="s">
        <v>4</v>
      </c>
    </row>
    <row r="73" spans="1:2">
      <c r="A73" s="1">
        <v>7079</v>
      </c>
      <c r="B73" s="1" t="s">
        <v>4</v>
      </c>
    </row>
    <row r="74" spans="1:2">
      <c r="A74" s="1">
        <v>7107</v>
      </c>
      <c r="B74" s="1" t="s">
        <v>4</v>
      </c>
    </row>
    <row r="75" spans="1:2">
      <c r="A75" s="1">
        <v>7203</v>
      </c>
      <c r="B75" s="1" t="s">
        <v>4</v>
      </c>
    </row>
    <row r="76" spans="1:2">
      <c r="A76" s="1">
        <v>7269</v>
      </c>
      <c r="B76" s="1" t="s">
        <v>4</v>
      </c>
    </row>
    <row r="77" spans="1:2">
      <c r="A77" s="1">
        <v>7364</v>
      </c>
      <c r="B77" s="1" t="s">
        <v>4</v>
      </c>
    </row>
    <row r="78" spans="1:2">
      <c r="A78" s="1">
        <v>7521</v>
      </c>
      <c r="B78" s="1" t="s">
        <v>4</v>
      </c>
    </row>
    <row r="79" spans="1:2">
      <c r="A79" s="1">
        <v>7744</v>
      </c>
      <c r="B79" s="1" t="s">
        <v>4</v>
      </c>
    </row>
    <row r="80" spans="1:2">
      <c r="A80" s="1">
        <v>7812</v>
      </c>
      <c r="B80" s="1" t="s">
        <v>4</v>
      </c>
    </row>
    <row r="81" spans="1:2">
      <c r="A81" s="1">
        <v>7815</v>
      </c>
      <c r="B81" s="1" t="s">
        <v>4</v>
      </c>
    </row>
    <row r="82" spans="1:2">
      <c r="A82" s="1">
        <v>7841</v>
      </c>
      <c r="B82" s="1" t="s">
        <v>4</v>
      </c>
    </row>
    <row r="83" spans="1:2">
      <c r="A83" s="1">
        <v>7845</v>
      </c>
      <c r="B83" s="1" t="s">
        <v>4</v>
      </c>
    </row>
    <row r="84" spans="1:2">
      <c r="A84" s="1">
        <v>8034</v>
      </c>
      <c r="B84" s="1" t="s">
        <v>4</v>
      </c>
    </row>
    <row r="85" spans="1:2">
      <c r="A85" s="1">
        <v>8133</v>
      </c>
      <c r="B85" s="1" t="s">
        <v>4</v>
      </c>
    </row>
    <row r="86" spans="1:2">
      <c r="A86" s="1">
        <v>8292</v>
      </c>
      <c r="B86" s="1" t="s">
        <v>4</v>
      </c>
    </row>
    <row r="87" spans="1:2">
      <c r="A87" s="1">
        <v>8293</v>
      </c>
      <c r="B87" s="1" t="s">
        <v>4</v>
      </c>
    </row>
    <row r="88" spans="1:2">
      <c r="A88" s="1">
        <v>8353</v>
      </c>
      <c r="B88" s="1" t="s">
        <v>4</v>
      </c>
    </row>
    <row r="89" spans="1:2">
      <c r="A89" s="1">
        <v>8961</v>
      </c>
      <c r="B89" s="1" t="s">
        <v>4</v>
      </c>
    </row>
    <row r="90" spans="1:2">
      <c r="A90" s="1">
        <v>9027</v>
      </c>
      <c r="B90" s="1" t="s">
        <v>4</v>
      </c>
    </row>
    <row r="91" spans="1:2">
      <c r="A91" s="1">
        <v>9093</v>
      </c>
      <c r="B91" s="1" t="s">
        <v>4</v>
      </c>
    </row>
    <row r="92" spans="1:2">
      <c r="A92" s="1">
        <v>9152</v>
      </c>
      <c r="B92" s="1" t="s">
        <v>4</v>
      </c>
    </row>
    <row r="93" spans="1:2">
      <c r="A93" s="1">
        <v>9219</v>
      </c>
      <c r="B93" s="1" t="s">
        <v>4</v>
      </c>
    </row>
    <row r="94" spans="1:2">
      <c r="A94" s="1">
        <v>9472</v>
      </c>
      <c r="B94" s="1" t="s">
        <v>4</v>
      </c>
    </row>
    <row r="95" spans="1:2">
      <c r="A95" s="1">
        <v>9574</v>
      </c>
      <c r="B95" s="1" t="s">
        <v>4</v>
      </c>
    </row>
    <row r="96" spans="1:2">
      <c r="A96" s="1">
        <v>9696</v>
      </c>
      <c r="B96" s="1" t="s">
        <v>4</v>
      </c>
    </row>
    <row r="97" spans="1:2">
      <c r="A97" s="1">
        <v>9701</v>
      </c>
      <c r="B97" s="1" t="s">
        <v>4</v>
      </c>
    </row>
    <row r="98" spans="1:2">
      <c r="A98" s="1">
        <v>9762</v>
      </c>
      <c r="B98" s="1" t="s">
        <v>4</v>
      </c>
    </row>
    <row r="99" spans="1:2">
      <c r="A99" s="1">
        <v>9829</v>
      </c>
      <c r="B99" s="1" t="s">
        <v>4</v>
      </c>
    </row>
    <row r="100" spans="1:2">
      <c r="A100" s="1">
        <v>9895</v>
      </c>
      <c r="B100" s="1" t="s">
        <v>4</v>
      </c>
    </row>
    <row r="101" spans="1:2">
      <c r="A101" s="1">
        <v>9923</v>
      </c>
      <c r="B101" s="1" t="s">
        <v>4</v>
      </c>
    </row>
    <row r="102" spans="1:2">
      <c r="A102" s="1">
        <v>9927</v>
      </c>
      <c r="B102" s="1" t="s">
        <v>4</v>
      </c>
    </row>
    <row r="103" spans="1:2">
      <c r="A103" s="1">
        <v>10054</v>
      </c>
      <c r="B103" s="1" t="s">
        <v>4</v>
      </c>
    </row>
    <row r="104" spans="1:2">
      <c r="A104" s="1">
        <v>10183</v>
      </c>
      <c r="B104" s="1" t="s">
        <v>4</v>
      </c>
    </row>
    <row r="105" spans="1:2">
      <c r="A105" s="1">
        <v>10498</v>
      </c>
      <c r="B105" s="1" t="s">
        <v>4</v>
      </c>
    </row>
    <row r="106" spans="1:2">
      <c r="A106" s="1">
        <v>10662</v>
      </c>
      <c r="B106" s="1" t="s">
        <v>4</v>
      </c>
    </row>
    <row r="107" spans="1:2">
      <c r="A107" s="1">
        <v>10917</v>
      </c>
      <c r="B107" s="1" t="s">
        <v>4</v>
      </c>
    </row>
    <row r="108" spans="1:2">
      <c r="A108" s="1">
        <v>11271</v>
      </c>
      <c r="B108" s="1" t="s">
        <v>4</v>
      </c>
    </row>
    <row r="109" spans="1:2">
      <c r="A109" s="1">
        <v>11396</v>
      </c>
      <c r="B109" s="1" t="s">
        <v>4</v>
      </c>
    </row>
    <row r="110" spans="1:2">
      <c r="A110" s="1">
        <v>11425</v>
      </c>
      <c r="B110" s="1" t="s">
        <v>4</v>
      </c>
    </row>
    <row r="111" spans="1:2">
      <c r="A111" s="1">
        <v>11426</v>
      </c>
      <c r="B111" s="1" t="s">
        <v>4</v>
      </c>
    </row>
    <row r="112" spans="1:2">
      <c r="A112" s="1">
        <v>11648</v>
      </c>
      <c r="B112" s="1" t="s">
        <v>4</v>
      </c>
    </row>
    <row r="113" spans="1:2">
      <c r="A113" s="1">
        <v>11652</v>
      </c>
      <c r="B113" s="1" t="s">
        <v>4</v>
      </c>
    </row>
    <row r="114" spans="1:2">
      <c r="A114" s="1">
        <v>11682</v>
      </c>
      <c r="B114" s="1" t="s">
        <v>4</v>
      </c>
    </row>
    <row r="115" spans="1:2">
      <c r="A115" s="1">
        <v>11748</v>
      </c>
      <c r="B115" s="1" t="s">
        <v>4</v>
      </c>
    </row>
    <row r="116" spans="1:2">
      <c r="A116" s="1">
        <v>11909</v>
      </c>
      <c r="B116" s="1" t="s">
        <v>4</v>
      </c>
    </row>
    <row r="117" spans="1:2">
      <c r="A117" s="1">
        <v>11911</v>
      </c>
      <c r="B117" s="1" t="s">
        <v>4</v>
      </c>
    </row>
    <row r="118" spans="1:2">
      <c r="A118" s="1">
        <v>12005</v>
      </c>
      <c r="B118" s="1" t="s">
        <v>4</v>
      </c>
    </row>
    <row r="119" spans="1:2">
      <c r="A119" s="1">
        <v>12067</v>
      </c>
      <c r="B119" s="1" t="s">
        <v>4</v>
      </c>
    </row>
    <row r="120" spans="1:2">
      <c r="A120" s="1">
        <v>12096</v>
      </c>
      <c r="B120" s="1" t="s">
        <v>4</v>
      </c>
    </row>
    <row r="121" spans="1:2">
      <c r="A121" s="1">
        <v>12262</v>
      </c>
      <c r="B121" s="1" t="s">
        <v>4</v>
      </c>
    </row>
    <row r="122" spans="1:2">
      <c r="A122" s="1">
        <v>12263</v>
      </c>
      <c r="B122" s="1" t="s">
        <v>4</v>
      </c>
    </row>
    <row r="123" spans="1:2">
      <c r="A123" s="1">
        <v>12389</v>
      </c>
      <c r="B123" s="1" t="s">
        <v>4</v>
      </c>
    </row>
    <row r="124" spans="1:2">
      <c r="A124" s="1">
        <v>12451</v>
      </c>
      <c r="B124" s="1" t="s">
        <v>4</v>
      </c>
    </row>
    <row r="125" spans="1:2">
      <c r="A125" s="1">
        <v>12483</v>
      </c>
      <c r="B125" s="1" t="s">
        <v>4</v>
      </c>
    </row>
    <row r="126" spans="1:2">
      <c r="A126" s="1">
        <v>12580</v>
      </c>
      <c r="B126" s="1" t="s">
        <v>4</v>
      </c>
    </row>
    <row r="127" spans="1:2">
      <c r="A127" s="1">
        <v>12613</v>
      </c>
      <c r="B127" s="1" t="s">
        <v>4</v>
      </c>
    </row>
    <row r="128" spans="1:2">
      <c r="A128" s="1">
        <v>12704</v>
      </c>
      <c r="B128" s="1" t="s">
        <v>4</v>
      </c>
    </row>
    <row r="129" spans="1:2">
      <c r="A129" s="1">
        <v>12706</v>
      </c>
      <c r="B129" s="1" t="s">
        <v>4</v>
      </c>
    </row>
    <row r="130" spans="1:2">
      <c r="A130" s="1">
        <v>12710</v>
      </c>
      <c r="B130" s="1" t="s">
        <v>4</v>
      </c>
    </row>
    <row r="131" spans="1:2">
      <c r="A131" s="1">
        <v>12806</v>
      </c>
      <c r="B131" s="1" t="s">
        <v>4</v>
      </c>
    </row>
    <row r="132" spans="1:2">
      <c r="A132" s="1">
        <v>12900</v>
      </c>
      <c r="B132" s="1" t="s">
        <v>4</v>
      </c>
    </row>
    <row r="133" spans="1:2">
      <c r="A133" s="1">
        <v>12903</v>
      </c>
      <c r="B133" s="1" t="s">
        <v>4</v>
      </c>
    </row>
    <row r="134" spans="1:2">
      <c r="A134" s="1">
        <v>13091</v>
      </c>
      <c r="B134" s="1" t="s">
        <v>4</v>
      </c>
    </row>
    <row r="135" spans="1:2">
      <c r="A135" s="1">
        <v>13158</v>
      </c>
      <c r="B135" s="1" t="s">
        <v>4</v>
      </c>
    </row>
    <row r="136" spans="1:2">
      <c r="A136" s="1">
        <v>13218</v>
      </c>
      <c r="B136" s="1" t="s">
        <v>4</v>
      </c>
    </row>
    <row r="137" spans="1:2">
      <c r="A137" s="1">
        <v>13284</v>
      </c>
      <c r="B137" s="1" t="s">
        <v>4</v>
      </c>
    </row>
    <row r="138" spans="1:2">
      <c r="A138" s="1">
        <v>13410</v>
      </c>
      <c r="B138" s="1" t="s">
        <v>4</v>
      </c>
    </row>
    <row r="139" spans="1:2">
      <c r="A139" s="1">
        <v>13444</v>
      </c>
      <c r="B139" s="1" t="s">
        <v>4</v>
      </c>
    </row>
    <row r="140" spans="1:2">
      <c r="A140" s="1">
        <v>13638</v>
      </c>
      <c r="B140" s="1" t="s">
        <v>4</v>
      </c>
    </row>
    <row r="141" spans="1:2">
      <c r="A141" s="1">
        <v>13729</v>
      </c>
      <c r="B141" s="1" t="s">
        <v>4</v>
      </c>
    </row>
    <row r="142" spans="1:2">
      <c r="A142" s="1">
        <v>13765</v>
      </c>
      <c r="B142" s="1" t="s">
        <v>4</v>
      </c>
    </row>
    <row r="143" spans="1:2">
      <c r="A143" s="1">
        <v>13959</v>
      </c>
      <c r="B143" s="1" t="s">
        <v>4</v>
      </c>
    </row>
    <row r="144" spans="1:2">
      <c r="A144" s="1">
        <v>13984</v>
      </c>
      <c r="B144" s="1" t="s">
        <v>4</v>
      </c>
    </row>
    <row r="145" spans="1:2">
      <c r="A145" s="1">
        <v>13986</v>
      </c>
      <c r="B145" s="1" t="s">
        <v>4</v>
      </c>
    </row>
    <row r="146" spans="1:2">
      <c r="A146" s="1">
        <v>14176</v>
      </c>
      <c r="B146" s="1" t="s">
        <v>4</v>
      </c>
    </row>
    <row r="147" spans="1:2">
      <c r="A147" s="1">
        <v>14242</v>
      </c>
      <c r="B147" s="1" t="s">
        <v>4</v>
      </c>
    </row>
    <row r="148" spans="1:2">
      <c r="A148" s="1">
        <v>14406</v>
      </c>
      <c r="B148" s="1" t="s">
        <v>4</v>
      </c>
    </row>
    <row r="149" spans="1:2">
      <c r="A149" s="1">
        <v>14497</v>
      </c>
      <c r="B149" s="1" t="s">
        <v>4</v>
      </c>
    </row>
    <row r="150" spans="1:2">
      <c r="A150" s="1">
        <v>14528</v>
      </c>
      <c r="B150" s="1" t="s">
        <v>4</v>
      </c>
    </row>
    <row r="151" spans="1:2">
      <c r="A151" s="1">
        <v>14534</v>
      </c>
      <c r="B151" s="1" t="s">
        <v>4</v>
      </c>
    </row>
    <row r="152" spans="1:2">
      <c r="A152" s="1">
        <v>14820</v>
      </c>
      <c r="B152" s="1" t="s">
        <v>4</v>
      </c>
    </row>
    <row r="153" spans="1:2">
      <c r="A153" s="1">
        <v>14951</v>
      </c>
      <c r="B153" s="1" t="s">
        <v>4</v>
      </c>
    </row>
    <row r="154" spans="1:2">
      <c r="A154" s="1">
        <v>15009</v>
      </c>
      <c r="B154" s="1" t="s">
        <v>4</v>
      </c>
    </row>
    <row r="155" spans="1:2">
      <c r="A155" s="1">
        <v>15106</v>
      </c>
      <c r="B155" s="1" t="s">
        <v>4</v>
      </c>
    </row>
    <row r="156" spans="1:2">
      <c r="A156" s="1">
        <v>15202</v>
      </c>
      <c r="B156" s="1" t="s">
        <v>4</v>
      </c>
    </row>
    <row r="157" spans="1:2">
      <c r="A157" s="1">
        <v>15206</v>
      </c>
      <c r="B157" s="1" t="s">
        <v>4</v>
      </c>
    </row>
    <row r="158" spans="1:2">
      <c r="A158" s="1">
        <v>15303</v>
      </c>
      <c r="B158" s="1" t="s">
        <v>4</v>
      </c>
    </row>
    <row r="159" spans="1:2">
      <c r="A159" s="1">
        <v>15712</v>
      </c>
      <c r="B159" s="1" t="s">
        <v>4</v>
      </c>
    </row>
    <row r="160" spans="1:2">
      <c r="A160" s="1">
        <v>15718</v>
      </c>
      <c r="B160" s="1" t="s">
        <v>4</v>
      </c>
    </row>
    <row r="161" spans="1:2">
      <c r="A161" s="1">
        <v>15778</v>
      </c>
      <c r="B161" s="1" t="s">
        <v>4</v>
      </c>
    </row>
    <row r="162" spans="1:2">
      <c r="A162" s="1">
        <v>15872</v>
      </c>
      <c r="B162" s="1" t="s">
        <v>4</v>
      </c>
    </row>
    <row r="163" spans="1:2">
      <c r="A163" s="1">
        <v>15904</v>
      </c>
      <c r="B163" s="1" t="s">
        <v>4</v>
      </c>
    </row>
    <row r="164" spans="1:2">
      <c r="A164" s="1">
        <v>16134</v>
      </c>
      <c r="B164" s="1" t="s">
        <v>4</v>
      </c>
    </row>
    <row r="165" spans="1:2">
      <c r="A165" s="1">
        <v>16582</v>
      </c>
      <c r="B165" s="1" t="s">
        <v>4</v>
      </c>
    </row>
    <row r="166" spans="1:2">
      <c r="A166" s="1">
        <v>16641</v>
      </c>
      <c r="B166" s="1" t="s">
        <v>4</v>
      </c>
    </row>
    <row r="167" spans="1:2">
      <c r="A167" s="1">
        <v>16679</v>
      </c>
      <c r="B167" s="1" t="s">
        <v>4</v>
      </c>
    </row>
    <row r="168" spans="1:2">
      <c r="A168" s="1">
        <v>16864</v>
      </c>
      <c r="B168" s="1" t="s">
        <v>4</v>
      </c>
    </row>
    <row r="169" spans="1:2">
      <c r="A169" s="1">
        <v>16961</v>
      </c>
      <c r="B169" s="1" t="s">
        <v>4</v>
      </c>
    </row>
    <row r="170" spans="1:2">
      <c r="A170" s="1">
        <v>17058</v>
      </c>
      <c r="B170" s="1" t="s">
        <v>4</v>
      </c>
    </row>
    <row r="171" spans="1:2">
      <c r="A171" s="1">
        <v>17155</v>
      </c>
      <c r="B171" s="1" t="s">
        <v>4</v>
      </c>
    </row>
    <row r="172" spans="1:2">
      <c r="A172" s="1">
        <v>17255</v>
      </c>
      <c r="B172" s="1" t="s">
        <v>4</v>
      </c>
    </row>
    <row r="173" spans="1:2">
      <c r="A173" s="1">
        <v>17282</v>
      </c>
      <c r="B173" s="1" t="s">
        <v>4</v>
      </c>
    </row>
    <row r="174" spans="1:2">
      <c r="A174" s="1">
        <v>17313</v>
      </c>
      <c r="B174" s="1" t="s">
        <v>4</v>
      </c>
    </row>
    <row r="175" spans="1:2">
      <c r="A175" s="1">
        <v>17508</v>
      </c>
      <c r="B175" s="1" t="s">
        <v>4</v>
      </c>
    </row>
    <row r="176" spans="1:2">
      <c r="A176" s="1">
        <v>17668</v>
      </c>
      <c r="B176" s="1" t="s">
        <v>4</v>
      </c>
    </row>
    <row r="177" spans="1:2">
      <c r="A177" s="1">
        <v>17858</v>
      </c>
      <c r="B177" s="1" t="s">
        <v>4</v>
      </c>
    </row>
    <row r="178" spans="1:2">
      <c r="A178" s="1">
        <v>17985</v>
      </c>
      <c r="B178" s="1" t="s">
        <v>4</v>
      </c>
    </row>
    <row r="179" spans="1:2">
      <c r="A179" s="1">
        <v>17988</v>
      </c>
      <c r="B179" s="1" t="s">
        <v>4</v>
      </c>
    </row>
    <row r="180" spans="1:2">
      <c r="A180" s="1">
        <v>18119</v>
      </c>
      <c r="B180" s="1" t="s">
        <v>4</v>
      </c>
    </row>
    <row r="181" spans="1:2">
      <c r="A181" s="1">
        <v>18215</v>
      </c>
      <c r="B181" s="1" t="s">
        <v>4</v>
      </c>
    </row>
    <row r="182" spans="1:2">
      <c r="A182" s="1">
        <v>18336</v>
      </c>
      <c r="B182" s="1" t="s">
        <v>4</v>
      </c>
    </row>
    <row r="183" spans="1:2">
      <c r="A183" s="1">
        <v>18496</v>
      </c>
      <c r="B183" s="1" t="s">
        <v>4</v>
      </c>
    </row>
    <row r="184" spans="1:2">
      <c r="A184" s="1">
        <v>18533</v>
      </c>
      <c r="B184" s="1" t="s">
        <v>4</v>
      </c>
    </row>
    <row r="185" spans="1:2">
      <c r="A185" s="1">
        <v>18593</v>
      </c>
      <c r="B185" s="1" t="s">
        <v>4</v>
      </c>
    </row>
    <row r="186" spans="1:2">
      <c r="A186" s="1">
        <v>18661</v>
      </c>
      <c r="B186" s="1" t="s">
        <v>4</v>
      </c>
    </row>
    <row r="187" spans="1:2">
      <c r="A187" s="1">
        <v>18689</v>
      </c>
      <c r="B187" s="1" t="s">
        <v>4</v>
      </c>
    </row>
    <row r="188" spans="1:2">
      <c r="A188" s="1">
        <v>18753</v>
      </c>
      <c r="B188" s="1" t="s">
        <v>4</v>
      </c>
    </row>
    <row r="189" spans="1:2">
      <c r="A189" s="1">
        <v>18822</v>
      </c>
      <c r="B189" s="1" t="s">
        <v>4</v>
      </c>
    </row>
    <row r="190" spans="1:2">
      <c r="A190" s="1">
        <v>18919</v>
      </c>
      <c r="B190" s="1" t="s">
        <v>4</v>
      </c>
    </row>
    <row r="191" spans="1:2">
      <c r="A191" s="1">
        <v>19010</v>
      </c>
      <c r="B191" s="1" t="s">
        <v>4</v>
      </c>
    </row>
    <row r="192" spans="1:2">
      <c r="A192" s="1">
        <v>19078</v>
      </c>
      <c r="B192" s="1" t="s">
        <v>4</v>
      </c>
    </row>
    <row r="193" spans="1:2">
      <c r="A193" s="1">
        <v>19138</v>
      </c>
      <c r="B193" s="1" t="s">
        <v>4</v>
      </c>
    </row>
    <row r="194" spans="1:2">
      <c r="A194" s="1">
        <v>19523</v>
      </c>
      <c r="B194" s="1" t="s">
        <v>4</v>
      </c>
    </row>
    <row r="195" spans="1:2">
      <c r="A195" s="1">
        <v>19616</v>
      </c>
      <c r="B195" s="1" t="s">
        <v>4</v>
      </c>
    </row>
    <row r="196" spans="1:2">
      <c r="A196" s="1">
        <v>19718</v>
      </c>
      <c r="B196" s="1" t="s">
        <v>4</v>
      </c>
    </row>
    <row r="197" spans="1:2">
      <c r="A197" s="1">
        <v>20036</v>
      </c>
      <c r="B197" s="1" t="s">
        <v>4</v>
      </c>
    </row>
    <row r="198" spans="1:2">
      <c r="A198" s="1">
        <v>20134</v>
      </c>
      <c r="B198" s="1" t="s">
        <v>4</v>
      </c>
    </row>
    <row r="199" spans="1:2">
      <c r="A199" s="1">
        <v>20389</v>
      </c>
      <c r="B199" s="1" t="s">
        <v>4</v>
      </c>
    </row>
    <row r="200" spans="1:2">
      <c r="A200" s="1">
        <v>20453</v>
      </c>
      <c r="B200" s="1" t="s">
        <v>4</v>
      </c>
    </row>
    <row r="201" spans="1:2">
      <c r="A201" s="1">
        <v>20480</v>
      </c>
      <c r="B201" s="1" t="s">
        <v>4</v>
      </c>
    </row>
    <row r="202" spans="1:2">
      <c r="A202" s="1">
        <v>20486</v>
      </c>
      <c r="B202" s="1" t="s">
        <v>4</v>
      </c>
    </row>
    <row r="203" spans="1:2">
      <c r="A203" s="1">
        <v>20704</v>
      </c>
      <c r="B203" s="1" t="s">
        <v>4</v>
      </c>
    </row>
    <row r="204" spans="1:2">
      <c r="A204" s="1">
        <v>20743</v>
      </c>
      <c r="B204" s="1" t="s">
        <v>4</v>
      </c>
    </row>
    <row r="205" spans="1:2">
      <c r="A205" s="1">
        <v>20864</v>
      </c>
      <c r="B205" s="1" t="s">
        <v>4</v>
      </c>
    </row>
    <row r="206" spans="1:2">
      <c r="A206" s="1">
        <v>20899</v>
      </c>
      <c r="B206" s="1" t="s">
        <v>4</v>
      </c>
    </row>
    <row r="207" spans="1:2">
      <c r="A207" s="1">
        <v>20934</v>
      </c>
      <c r="B207" s="1" t="s">
        <v>4</v>
      </c>
    </row>
    <row r="208" spans="1:2">
      <c r="A208" s="1">
        <v>21222</v>
      </c>
      <c r="B208" s="1" t="s">
        <v>4</v>
      </c>
    </row>
    <row r="209" spans="1:2">
      <c r="A209" s="1">
        <v>21286</v>
      </c>
      <c r="B209" s="1" t="s">
        <v>4</v>
      </c>
    </row>
    <row r="210" spans="1:2">
      <c r="A210" s="1">
        <v>21346</v>
      </c>
      <c r="B210" s="1" t="s">
        <v>4</v>
      </c>
    </row>
    <row r="211" spans="1:2">
      <c r="A211" s="1">
        <v>21383</v>
      </c>
      <c r="B211" s="1" t="s">
        <v>4</v>
      </c>
    </row>
    <row r="212" spans="1:2">
      <c r="A212" s="1">
        <v>21729</v>
      </c>
      <c r="B212" s="1" t="s">
        <v>4</v>
      </c>
    </row>
    <row r="213" spans="1:2">
      <c r="A213" s="1">
        <v>21824</v>
      </c>
      <c r="B213" s="1" t="s">
        <v>4</v>
      </c>
    </row>
    <row r="214" spans="1:2">
      <c r="A214" s="1">
        <v>21890</v>
      </c>
      <c r="B214" s="1" t="s">
        <v>4</v>
      </c>
    </row>
    <row r="215" spans="1:2">
      <c r="A215" s="1">
        <v>22181</v>
      </c>
      <c r="B215" s="1" t="s">
        <v>4</v>
      </c>
    </row>
    <row r="216" spans="1:2">
      <c r="A216" s="1">
        <v>22402</v>
      </c>
      <c r="B216" s="1" t="s">
        <v>4</v>
      </c>
    </row>
    <row r="217" spans="1:2">
      <c r="A217" s="1">
        <v>22627</v>
      </c>
      <c r="B217" s="1" t="s">
        <v>4</v>
      </c>
    </row>
    <row r="218" spans="1:2">
      <c r="A218" s="1">
        <v>22656</v>
      </c>
      <c r="B218" s="1" t="s">
        <v>4</v>
      </c>
    </row>
    <row r="219" spans="1:2">
      <c r="A219" s="1">
        <v>22661</v>
      </c>
      <c r="B219" s="1" t="s">
        <v>4</v>
      </c>
    </row>
    <row r="220" spans="1:2">
      <c r="A220" s="1">
        <v>22787</v>
      </c>
      <c r="B220" s="1" t="s">
        <v>4</v>
      </c>
    </row>
    <row r="221" spans="1:2">
      <c r="A221" s="1">
        <v>22820</v>
      </c>
      <c r="B221" s="1" t="s">
        <v>4</v>
      </c>
    </row>
    <row r="222" spans="1:2">
      <c r="A222" s="1">
        <v>22947</v>
      </c>
      <c r="B222" s="1" t="s">
        <v>4</v>
      </c>
    </row>
    <row r="223" spans="1:2">
      <c r="A223" s="1">
        <v>22950</v>
      </c>
      <c r="B223" s="1" t="s">
        <v>4</v>
      </c>
    </row>
    <row r="224" spans="1:2">
      <c r="A224" s="1">
        <v>23076</v>
      </c>
      <c r="B224" s="1" t="s">
        <v>4</v>
      </c>
    </row>
    <row r="225" spans="1:2">
      <c r="A225" s="1">
        <v>23168</v>
      </c>
      <c r="B225" s="1" t="s">
        <v>4</v>
      </c>
    </row>
    <row r="226" spans="1:2">
      <c r="A226" s="1">
        <v>23488</v>
      </c>
      <c r="B226" s="1" t="s">
        <v>4</v>
      </c>
    </row>
    <row r="227" spans="1:2">
      <c r="A227" s="1">
        <v>23557</v>
      </c>
      <c r="B227" s="1" t="s">
        <v>4</v>
      </c>
    </row>
    <row r="228" spans="1:2">
      <c r="A228" s="1">
        <v>23559</v>
      </c>
      <c r="B228" s="1" t="s">
        <v>4</v>
      </c>
    </row>
    <row r="229" spans="1:2">
      <c r="A229" s="1">
        <v>23616</v>
      </c>
      <c r="B229" s="1" t="s">
        <v>4</v>
      </c>
    </row>
    <row r="230" spans="1:2">
      <c r="A230" s="1">
        <v>23619</v>
      </c>
      <c r="B230" s="1" t="s">
        <v>4</v>
      </c>
    </row>
    <row r="231" spans="1:2">
      <c r="A231" s="1">
        <v>23748</v>
      </c>
      <c r="B231" s="1" t="s">
        <v>4</v>
      </c>
    </row>
    <row r="232" spans="1:2">
      <c r="A232" s="1">
        <v>24066</v>
      </c>
      <c r="B232" s="1" t="s">
        <v>4</v>
      </c>
    </row>
    <row r="233" spans="1:2">
      <c r="A233" s="1">
        <v>24519</v>
      </c>
      <c r="B233" s="1" t="s">
        <v>4</v>
      </c>
    </row>
    <row r="234" spans="1:2">
      <c r="A234" s="1">
        <v>24707</v>
      </c>
      <c r="B234" s="1" t="s">
        <v>4</v>
      </c>
    </row>
    <row r="235" spans="1:2">
      <c r="A235" s="1">
        <v>24902</v>
      </c>
      <c r="B235" s="1" t="s">
        <v>4</v>
      </c>
    </row>
    <row r="236" spans="1:2">
      <c r="A236" s="1">
        <v>25095</v>
      </c>
      <c r="B236" s="1" t="s">
        <v>4</v>
      </c>
    </row>
    <row r="237" spans="1:2">
      <c r="A237" s="1">
        <v>25152</v>
      </c>
      <c r="B237" s="1" t="s">
        <v>4</v>
      </c>
    </row>
    <row r="238" spans="1:2">
      <c r="A238" s="1">
        <v>25157</v>
      </c>
      <c r="B238" s="1" t="s">
        <v>4</v>
      </c>
    </row>
    <row r="239" spans="1:2">
      <c r="A239" s="1">
        <v>25478</v>
      </c>
      <c r="B239" s="1" t="s">
        <v>4</v>
      </c>
    </row>
    <row r="240" spans="1:2">
      <c r="A240" s="1">
        <v>25479</v>
      </c>
      <c r="B240" s="1" t="s">
        <v>4</v>
      </c>
    </row>
    <row r="241" spans="1:2">
      <c r="A241" s="1">
        <v>25735</v>
      </c>
      <c r="B241" s="1" t="s">
        <v>4</v>
      </c>
    </row>
    <row r="242" spans="1:2">
      <c r="A242" s="1">
        <v>25799</v>
      </c>
      <c r="B242" s="1" t="s">
        <v>4</v>
      </c>
    </row>
    <row r="243" spans="1:2">
      <c r="A243" s="1">
        <v>25828</v>
      </c>
      <c r="B243" s="1" t="s">
        <v>4</v>
      </c>
    </row>
    <row r="244" spans="1:2">
      <c r="A244" s="1">
        <v>25952</v>
      </c>
      <c r="B244" s="1" t="s">
        <v>4</v>
      </c>
    </row>
    <row r="245" spans="1:2">
      <c r="A245" s="1">
        <v>26240</v>
      </c>
      <c r="B245" s="1" t="s">
        <v>4</v>
      </c>
    </row>
    <row r="246" spans="1:2">
      <c r="A246" s="1">
        <v>26372</v>
      </c>
      <c r="B246" s="1" t="s">
        <v>4</v>
      </c>
    </row>
    <row r="247" spans="1:2">
      <c r="A247" s="1">
        <v>26784</v>
      </c>
      <c r="B247" s="1" t="s">
        <v>4</v>
      </c>
    </row>
    <row r="248" spans="1:2">
      <c r="A248" s="1">
        <v>26852</v>
      </c>
      <c r="B248" s="1" t="s">
        <v>4</v>
      </c>
    </row>
    <row r="249" spans="1:2">
      <c r="A249" s="1">
        <v>26881</v>
      </c>
      <c r="B249" s="1" t="s">
        <v>4</v>
      </c>
    </row>
    <row r="250" spans="1:2">
      <c r="A250" s="1">
        <v>26982</v>
      </c>
      <c r="B250" s="1" t="s">
        <v>4</v>
      </c>
    </row>
    <row r="251" spans="1:2">
      <c r="A251" s="1">
        <v>27137</v>
      </c>
      <c r="B251" s="1" t="s">
        <v>4</v>
      </c>
    </row>
    <row r="252" spans="1:2">
      <c r="A252" s="1">
        <v>27490</v>
      </c>
      <c r="B252" s="1" t="s">
        <v>4</v>
      </c>
    </row>
    <row r="253" spans="1:2">
      <c r="A253" s="1">
        <v>27712</v>
      </c>
      <c r="B253" s="1" t="s">
        <v>4</v>
      </c>
    </row>
    <row r="254" spans="1:2">
      <c r="A254" s="1">
        <v>27744</v>
      </c>
      <c r="B254" s="1" t="s">
        <v>4</v>
      </c>
    </row>
    <row r="255" spans="1:2">
      <c r="A255" s="1">
        <v>27750</v>
      </c>
      <c r="B255" s="1" t="s">
        <v>4</v>
      </c>
    </row>
    <row r="256" spans="1:2">
      <c r="A256" s="1">
        <v>28003</v>
      </c>
      <c r="B256" s="1" t="s">
        <v>4</v>
      </c>
    </row>
    <row r="257" spans="1:2">
      <c r="A257" s="1">
        <v>28037</v>
      </c>
      <c r="B257" s="1" t="s">
        <v>4</v>
      </c>
    </row>
    <row r="258" spans="1:2">
      <c r="A258" s="1">
        <v>28291</v>
      </c>
      <c r="B258" s="1" t="s">
        <v>4</v>
      </c>
    </row>
    <row r="259" spans="1:2">
      <c r="A259" s="1">
        <v>28387</v>
      </c>
      <c r="B259" s="1" t="s">
        <v>4</v>
      </c>
    </row>
    <row r="260" spans="1:2">
      <c r="A260" s="1">
        <v>28419</v>
      </c>
      <c r="B260" s="1" t="s">
        <v>4</v>
      </c>
    </row>
    <row r="261" spans="1:2">
      <c r="A261" s="1">
        <v>28455</v>
      </c>
      <c r="B261" s="1" t="s">
        <v>4</v>
      </c>
    </row>
    <row r="262" spans="1:2">
      <c r="A262" s="1">
        <v>28544</v>
      </c>
      <c r="B262" s="1" t="s">
        <v>4</v>
      </c>
    </row>
    <row r="263" spans="1:2">
      <c r="A263" s="1">
        <v>28928</v>
      </c>
      <c r="B263" s="1" t="s">
        <v>4</v>
      </c>
    </row>
    <row r="264" spans="1:2">
      <c r="A264" s="1">
        <v>29095</v>
      </c>
      <c r="B264" s="1" t="s">
        <v>4</v>
      </c>
    </row>
    <row r="265" spans="1:2">
      <c r="A265" s="1">
        <v>29318</v>
      </c>
      <c r="B265" s="1" t="s">
        <v>4</v>
      </c>
    </row>
    <row r="266" spans="1:2">
      <c r="A266" s="1">
        <v>29376</v>
      </c>
      <c r="B266" s="1" t="s">
        <v>4</v>
      </c>
    </row>
    <row r="267" spans="1:2">
      <c r="A267" s="1">
        <v>29380</v>
      </c>
      <c r="B267" s="1" t="s">
        <v>4</v>
      </c>
    </row>
    <row r="268" spans="1:2">
      <c r="A268" s="1">
        <v>29410</v>
      </c>
      <c r="B268" s="1" t="s">
        <v>4</v>
      </c>
    </row>
    <row r="269" spans="1:2">
      <c r="A269" s="1">
        <v>29505</v>
      </c>
      <c r="B269" s="1" t="s">
        <v>4</v>
      </c>
    </row>
    <row r="270" spans="1:2">
      <c r="A270" s="1">
        <v>29506</v>
      </c>
      <c r="B270" s="1" t="s">
        <v>4</v>
      </c>
    </row>
    <row r="271" spans="1:2">
      <c r="A271" s="1">
        <v>29861</v>
      </c>
      <c r="B271" s="1" t="s">
        <v>4</v>
      </c>
    </row>
    <row r="272" spans="1:2">
      <c r="A272" s="1">
        <v>29991</v>
      </c>
      <c r="B272" s="1" t="s">
        <v>4</v>
      </c>
    </row>
    <row r="273" spans="1:2">
      <c r="A273" s="1">
        <v>30176</v>
      </c>
      <c r="B273" s="1" t="s">
        <v>4</v>
      </c>
    </row>
    <row r="274" spans="1:2">
      <c r="A274" s="1">
        <v>30403</v>
      </c>
      <c r="B274" s="1" t="s">
        <v>4</v>
      </c>
    </row>
    <row r="275" spans="1:2">
      <c r="A275" s="1">
        <v>30469</v>
      </c>
      <c r="B275" s="1" t="s">
        <v>4</v>
      </c>
    </row>
    <row r="276" spans="1:2">
      <c r="A276" s="1">
        <v>31073</v>
      </c>
      <c r="B276" s="1" t="s">
        <v>4</v>
      </c>
    </row>
    <row r="277" spans="1:2">
      <c r="A277" s="1">
        <v>31232</v>
      </c>
      <c r="B277" s="1" t="s">
        <v>4</v>
      </c>
    </row>
    <row r="278" spans="1:2">
      <c r="A278" s="1">
        <v>31303</v>
      </c>
      <c r="B278" s="1" t="s">
        <v>4</v>
      </c>
    </row>
    <row r="279" spans="1:2">
      <c r="A279" s="1">
        <v>31682</v>
      </c>
      <c r="B279" s="1" t="s">
        <v>4</v>
      </c>
    </row>
    <row r="280" spans="1:2">
      <c r="A280" s="1">
        <v>31844</v>
      </c>
      <c r="B280" s="1" t="s">
        <v>4</v>
      </c>
    </row>
    <row r="281" spans="1:2">
      <c r="A281" s="1">
        <v>31907</v>
      </c>
      <c r="B281" s="1" t="s">
        <v>4</v>
      </c>
    </row>
    <row r="282" spans="1:2">
      <c r="A282" s="1">
        <v>32036</v>
      </c>
      <c r="B282" s="1" t="s">
        <v>4</v>
      </c>
    </row>
    <row r="283" spans="1:2">
      <c r="A283" s="1">
        <v>32582</v>
      </c>
      <c r="B283" s="1" t="s">
        <v>4</v>
      </c>
    </row>
    <row r="284" spans="1:2">
      <c r="A284" s="1">
        <v>32901</v>
      </c>
      <c r="B284" s="1" t="s">
        <v>4</v>
      </c>
    </row>
    <row r="285" spans="1:2">
      <c r="A285" s="1">
        <v>32931</v>
      </c>
      <c r="B285" s="1" t="s">
        <v>4</v>
      </c>
    </row>
    <row r="286" spans="1:2">
      <c r="A286" s="1">
        <v>32966</v>
      </c>
      <c r="B286" s="1" t="s">
        <v>4</v>
      </c>
    </row>
    <row r="287" spans="1:2">
      <c r="A287" s="1">
        <v>32996</v>
      </c>
      <c r="B287" s="1" t="s">
        <v>4</v>
      </c>
    </row>
    <row r="288" spans="1:2">
      <c r="A288" s="1">
        <v>32998</v>
      </c>
      <c r="B288" s="1" t="s">
        <v>4</v>
      </c>
    </row>
    <row r="289" spans="1:2">
      <c r="A289" s="1">
        <v>33283</v>
      </c>
      <c r="B289" s="1" t="s">
        <v>4</v>
      </c>
    </row>
    <row r="290" spans="1:2">
      <c r="A290" s="1">
        <v>33317</v>
      </c>
      <c r="B290" s="1" t="s">
        <v>4</v>
      </c>
    </row>
    <row r="291" spans="1:2">
      <c r="A291" s="1">
        <v>33477</v>
      </c>
      <c r="B291" s="1" t="s">
        <v>4</v>
      </c>
    </row>
    <row r="292" spans="1:2">
      <c r="A292" s="1">
        <v>33510</v>
      </c>
      <c r="B292" s="1" t="s">
        <v>4</v>
      </c>
    </row>
    <row r="293" spans="1:2">
      <c r="A293" s="1">
        <v>33541</v>
      </c>
      <c r="B293" s="1" t="s">
        <v>4</v>
      </c>
    </row>
    <row r="294" spans="1:2">
      <c r="A294" s="1">
        <v>33637</v>
      </c>
      <c r="B294" s="1" t="s">
        <v>4</v>
      </c>
    </row>
    <row r="295" spans="1:2">
      <c r="A295" s="1">
        <v>33921</v>
      </c>
      <c r="B295" s="1" t="s">
        <v>4</v>
      </c>
    </row>
    <row r="296" spans="1:2">
      <c r="A296" s="1">
        <v>34117</v>
      </c>
      <c r="B296" s="1" t="s">
        <v>4</v>
      </c>
    </row>
    <row r="297" spans="1:2">
      <c r="A297" s="1">
        <v>34209</v>
      </c>
      <c r="B297" s="1" t="s">
        <v>4</v>
      </c>
    </row>
    <row r="298" spans="1:2">
      <c r="A298" s="1">
        <v>34338</v>
      </c>
      <c r="B298" s="1" t="s">
        <v>4</v>
      </c>
    </row>
    <row r="299" spans="1:2">
      <c r="A299" s="1">
        <v>34532</v>
      </c>
      <c r="B299" s="1" t="s">
        <v>4</v>
      </c>
    </row>
    <row r="300" spans="1:2">
      <c r="A300" s="1">
        <v>34658</v>
      </c>
      <c r="B300" s="1" t="s">
        <v>4</v>
      </c>
    </row>
    <row r="301" spans="1:2">
      <c r="A301" s="1">
        <v>34661</v>
      </c>
      <c r="B301" s="1" t="s">
        <v>4</v>
      </c>
    </row>
    <row r="302" spans="1:2">
      <c r="A302" s="1">
        <v>34689</v>
      </c>
      <c r="B302" s="1" t="s">
        <v>4</v>
      </c>
    </row>
    <row r="303" spans="1:2">
      <c r="A303" s="1">
        <v>34916</v>
      </c>
      <c r="B303" s="1" t="s">
        <v>4</v>
      </c>
    </row>
    <row r="304" spans="1:2">
      <c r="A304" s="1">
        <v>35047</v>
      </c>
      <c r="B304" s="1" t="s">
        <v>4</v>
      </c>
    </row>
    <row r="305" spans="1:2">
      <c r="A305" s="1">
        <v>35110</v>
      </c>
      <c r="B305" s="1" t="s">
        <v>4</v>
      </c>
    </row>
    <row r="306" spans="1:2">
      <c r="A306" s="1">
        <v>35111</v>
      </c>
      <c r="B306" s="1" t="s">
        <v>4</v>
      </c>
    </row>
    <row r="307" spans="1:2">
      <c r="A307" s="1">
        <v>35137</v>
      </c>
      <c r="B307" s="1" t="s">
        <v>4</v>
      </c>
    </row>
    <row r="308" spans="1:2">
      <c r="A308" s="1">
        <v>35366</v>
      </c>
      <c r="B308" s="1" t="s">
        <v>4</v>
      </c>
    </row>
    <row r="309" spans="1:2">
      <c r="A309" s="1">
        <v>35492</v>
      </c>
      <c r="B309" s="1" t="s">
        <v>4</v>
      </c>
    </row>
    <row r="310" spans="1:2">
      <c r="A310" s="1">
        <v>35554</v>
      </c>
      <c r="B310" s="1" t="s">
        <v>4</v>
      </c>
    </row>
    <row r="311" spans="1:2">
      <c r="A311" s="1">
        <v>35588</v>
      </c>
      <c r="B311" s="1" t="s">
        <v>4</v>
      </c>
    </row>
    <row r="312" spans="1:2">
      <c r="A312" s="1">
        <v>35687</v>
      </c>
      <c r="B312" s="1" t="s">
        <v>4</v>
      </c>
    </row>
    <row r="313" spans="1:2">
      <c r="A313" s="1">
        <v>35744</v>
      </c>
      <c r="B313" s="1" t="s">
        <v>4</v>
      </c>
    </row>
    <row r="314" spans="1:2">
      <c r="A314" s="1">
        <v>35877</v>
      </c>
      <c r="B314" s="1" t="s">
        <v>4</v>
      </c>
    </row>
    <row r="315" spans="1:2">
      <c r="A315" s="1">
        <v>35910</v>
      </c>
      <c r="B315" s="1" t="s">
        <v>4</v>
      </c>
    </row>
    <row r="316" spans="1:2">
      <c r="A316" s="1">
        <v>35936</v>
      </c>
      <c r="B316" s="1" t="s">
        <v>4</v>
      </c>
    </row>
    <row r="317" spans="1:2">
      <c r="A317" s="1">
        <v>36038</v>
      </c>
      <c r="B317" s="1" t="s">
        <v>4</v>
      </c>
    </row>
    <row r="318" spans="1:2">
      <c r="A318" s="1">
        <v>36067</v>
      </c>
      <c r="B318" s="1" t="s">
        <v>4</v>
      </c>
    </row>
    <row r="319" spans="1:2">
      <c r="A319" s="1">
        <v>36160</v>
      </c>
      <c r="B319" s="1" t="s">
        <v>4</v>
      </c>
    </row>
    <row r="320" spans="1:2">
      <c r="A320" s="1">
        <v>36262</v>
      </c>
      <c r="B320" s="1" t="s">
        <v>4</v>
      </c>
    </row>
    <row r="321" spans="1:2">
      <c r="A321" s="1">
        <v>36449</v>
      </c>
      <c r="B321" s="1" t="s">
        <v>4</v>
      </c>
    </row>
    <row r="322" spans="1:2">
      <c r="A322" s="1">
        <v>36609</v>
      </c>
      <c r="B322" s="1" t="s">
        <v>4</v>
      </c>
    </row>
    <row r="323" spans="1:2">
      <c r="A323" s="1">
        <v>36676</v>
      </c>
      <c r="B323" s="1" t="s">
        <v>4</v>
      </c>
    </row>
    <row r="324" spans="1:2">
      <c r="A324" s="1">
        <v>36679</v>
      </c>
      <c r="B324" s="1" t="s">
        <v>4</v>
      </c>
    </row>
    <row r="325" spans="1:2">
      <c r="A325" s="1">
        <v>36705</v>
      </c>
      <c r="B325" s="1" t="s">
        <v>4</v>
      </c>
    </row>
    <row r="326" spans="1:2">
      <c r="A326" s="1">
        <v>36707</v>
      </c>
      <c r="B326" s="1" t="s">
        <v>4</v>
      </c>
    </row>
    <row r="327" spans="1:2">
      <c r="A327" s="1">
        <v>36743</v>
      </c>
      <c r="B327" s="1" t="s">
        <v>4</v>
      </c>
    </row>
    <row r="328" spans="1:2">
      <c r="A328" s="1">
        <v>36772</v>
      </c>
      <c r="B328" s="1" t="s">
        <v>4</v>
      </c>
    </row>
    <row r="329" spans="1:2">
      <c r="A329" s="1">
        <v>36773</v>
      </c>
      <c r="B329" s="1" t="s">
        <v>4</v>
      </c>
    </row>
    <row r="330" spans="1:2">
      <c r="A330" s="1">
        <v>36932</v>
      </c>
      <c r="B330" s="1" t="s">
        <v>4</v>
      </c>
    </row>
    <row r="331" spans="1:2">
      <c r="A331" s="1">
        <v>36934</v>
      </c>
      <c r="B331" s="1" t="s">
        <v>4</v>
      </c>
    </row>
    <row r="332" spans="1:2">
      <c r="A332" s="1">
        <v>36992</v>
      </c>
      <c r="B332" s="1" t="s">
        <v>4</v>
      </c>
    </row>
    <row r="333" spans="1:2">
      <c r="A333" s="1">
        <v>36994</v>
      </c>
      <c r="B333" s="1" t="s">
        <v>4</v>
      </c>
    </row>
    <row r="334" spans="1:2">
      <c r="A334" s="1">
        <v>36998</v>
      </c>
      <c r="B334" s="1" t="s">
        <v>4</v>
      </c>
    </row>
    <row r="335" spans="1:2">
      <c r="A335" s="1">
        <v>36999</v>
      </c>
      <c r="B335" s="1" t="s">
        <v>4</v>
      </c>
    </row>
    <row r="336" spans="1:2">
      <c r="A336" s="1">
        <v>37250</v>
      </c>
      <c r="B336" s="1" t="s">
        <v>4</v>
      </c>
    </row>
    <row r="337" spans="1:2">
      <c r="A337" s="1">
        <v>37380</v>
      </c>
      <c r="B337" s="1" t="s">
        <v>4</v>
      </c>
    </row>
    <row r="338" spans="1:2">
      <c r="A338" s="1">
        <v>37414</v>
      </c>
      <c r="B338" s="1" t="s">
        <v>4</v>
      </c>
    </row>
    <row r="339" spans="1:2">
      <c r="A339" s="1">
        <v>37572</v>
      </c>
      <c r="B339" s="1" t="s">
        <v>4</v>
      </c>
    </row>
    <row r="340" spans="1:2">
      <c r="A340" s="1">
        <v>37760</v>
      </c>
      <c r="B340" s="1" t="s">
        <v>4</v>
      </c>
    </row>
    <row r="341" spans="1:2">
      <c r="A341" s="1">
        <v>37860</v>
      </c>
      <c r="B341" s="1" t="s">
        <v>4</v>
      </c>
    </row>
    <row r="342" spans="1:2">
      <c r="A342" s="1">
        <v>37862</v>
      </c>
      <c r="B342" s="1" t="s">
        <v>4</v>
      </c>
    </row>
    <row r="343" spans="1:2">
      <c r="A343" s="1">
        <v>37924</v>
      </c>
      <c r="B343" s="1" t="s">
        <v>4</v>
      </c>
    </row>
    <row r="344" spans="1:2">
      <c r="A344" s="1">
        <v>38050</v>
      </c>
      <c r="B344" s="1" t="s">
        <v>4</v>
      </c>
    </row>
    <row r="345" spans="1:2">
      <c r="A345" s="1">
        <v>38210</v>
      </c>
      <c r="B345" s="1" t="s">
        <v>4</v>
      </c>
    </row>
    <row r="346" spans="1:2">
      <c r="A346" s="1">
        <v>38240</v>
      </c>
      <c r="B346" s="1" t="s">
        <v>4</v>
      </c>
    </row>
    <row r="347" spans="1:2">
      <c r="A347" s="1">
        <v>38272</v>
      </c>
      <c r="B347" s="1" t="s">
        <v>4</v>
      </c>
    </row>
    <row r="348" spans="1:2">
      <c r="A348" s="1">
        <v>38400</v>
      </c>
      <c r="B348" s="1" t="s">
        <v>4</v>
      </c>
    </row>
    <row r="349" spans="1:2">
      <c r="A349" s="1">
        <v>38530</v>
      </c>
      <c r="B349" s="1" t="s">
        <v>4</v>
      </c>
    </row>
    <row r="350" spans="1:2">
      <c r="A350" s="1">
        <v>38596</v>
      </c>
      <c r="B350" s="1" t="s">
        <v>4</v>
      </c>
    </row>
    <row r="351" spans="1:2">
      <c r="A351" s="1">
        <v>38661</v>
      </c>
      <c r="B351" s="1" t="s">
        <v>4</v>
      </c>
    </row>
    <row r="352" spans="1:2">
      <c r="A352" s="1">
        <v>38787</v>
      </c>
      <c r="B352" s="1" t="s">
        <v>4</v>
      </c>
    </row>
    <row r="353" spans="1:2">
      <c r="A353" s="1">
        <v>39043</v>
      </c>
      <c r="B353" s="1" t="s">
        <v>4</v>
      </c>
    </row>
    <row r="354" spans="1:2">
      <c r="A354" s="1">
        <v>39075</v>
      </c>
      <c r="B354" s="1" t="s">
        <v>4</v>
      </c>
    </row>
    <row r="355" spans="1:2">
      <c r="A355" s="1">
        <v>39169</v>
      </c>
      <c r="B355" s="1" t="s">
        <v>4</v>
      </c>
    </row>
    <row r="356" spans="1:2">
      <c r="A356" s="1">
        <v>39333</v>
      </c>
      <c r="B356" s="1" t="s">
        <v>4</v>
      </c>
    </row>
    <row r="357" spans="1:2">
      <c r="A357" s="1">
        <v>39490</v>
      </c>
      <c r="B357" s="1" t="s">
        <v>4</v>
      </c>
    </row>
    <row r="358" spans="1:2">
      <c r="A358" s="1">
        <v>39555</v>
      </c>
      <c r="B358" s="1" t="s">
        <v>4</v>
      </c>
    </row>
    <row r="359" spans="1:2">
      <c r="A359" s="1">
        <v>39619</v>
      </c>
      <c r="B359" s="1" t="s">
        <v>4</v>
      </c>
    </row>
    <row r="360" spans="1:2">
      <c r="A360" s="1">
        <v>39872</v>
      </c>
      <c r="B360" s="1" t="s">
        <v>4</v>
      </c>
    </row>
    <row r="361" spans="1:2">
      <c r="A361" s="1">
        <v>39904</v>
      </c>
      <c r="B361" s="1" t="s">
        <v>4</v>
      </c>
    </row>
    <row r="362" spans="1:2">
      <c r="A362" s="1">
        <v>39943</v>
      </c>
      <c r="B362" s="1" t="s">
        <v>4</v>
      </c>
    </row>
    <row r="363" spans="1:2">
      <c r="A363" s="1">
        <v>40097</v>
      </c>
      <c r="B363" s="1" t="s">
        <v>4</v>
      </c>
    </row>
    <row r="364" spans="1:2">
      <c r="A364" s="1">
        <v>40132</v>
      </c>
      <c r="B364" s="1" t="s">
        <v>4</v>
      </c>
    </row>
    <row r="365" spans="1:2">
      <c r="A365" s="1">
        <v>40134</v>
      </c>
      <c r="B365" s="1" t="s">
        <v>4</v>
      </c>
    </row>
    <row r="366" spans="1:2">
      <c r="A366" s="1">
        <v>40160</v>
      </c>
      <c r="B366" s="1" t="s">
        <v>4</v>
      </c>
    </row>
    <row r="367" spans="1:2">
      <c r="A367" s="1">
        <v>40354</v>
      </c>
      <c r="B367" s="1" t="s">
        <v>4</v>
      </c>
    </row>
    <row r="368" spans="1:2">
      <c r="A368" s="1">
        <v>40802</v>
      </c>
      <c r="B368" s="1" t="s">
        <v>4</v>
      </c>
    </row>
    <row r="369" spans="1:2">
      <c r="A369" s="1">
        <v>40806</v>
      </c>
      <c r="B369" s="1" t="s">
        <v>4</v>
      </c>
    </row>
    <row r="370" spans="1:2">
      <c r="A370" s="1">
        <v>41059</v>
      </c>
      <c r="B370" s="1" t="s">
        <v>4</v>
      </c>
    </row>
    <row r="371" spans="1:2">
      <c r="A371" s="1">
        <v>41120</v>
      </c>
      <c r="B371" s="1" t="s">
        <v>4</v>
      </c>
    </row>
    <row r="372" spans="1:2">
      <c r="A372" s="1">
        <v>41186</v>
      </c>
      <c r="B372" s="1" t="s">
        <v>4</v>
      </c>
    </row>
    <row r="373" spans="1:2">
      <c r="A373" s="1">
        <v>41216</v>
      </c>
      <c r="B373" s="1" t="s">
        <v>4</v>
      </c>
    </row>
    <row r="374" spans="1:2">
      <c r="A374" s="1">
        <v>41508</v>
      </c>
      <c r="B374" s="1" t="s">
        <v>4</v>
      </c>
    </row>
    <row r="375" spans="1:2">
      <c r="A375" s="1">
        <v>41760</v>
      </c>
      <c r="B375" s="1" t="s">
        <v>4</v>
      </c>
    </row>
    <row r="376" spans="1:2">
      <c r="A376" s="1">
        <v>41861</v>
      </c>
      <c r="B376" s="1" t="s">
        <v>4</v>
      </c>
    </row>
    <row r="377" spans="1:2">
      <c r="A377" s="1">
        <v>42342</v>
      </c>
      <c r="B377" s="1" t="s">
        <v>4</v>
      </c>
    </row>
    <row r="378" spans="1:2">
      <c r="A378" s="1">
        <v>42375</v>
      </c>
      <c r="B378" s="1" t="s">
        <v>4</v>
      </c>
    </row>
    <row r="379" spans="1:2">
      <c r="A379" s="1">
        <v>42436</v>
      </c>
      <c r="B379" s="1" t="s">
        <v>4</v>
      </c>
    </row>
    <row r="380" spans="1:2">
      <c r="A380" s="1">
        <v>42563</v>
      </c>
      <c r="B380" s="1" t="s">
        <v>4</v>
      </c>
    </row>
    <row r="381" spans="1:2">
      <c r="A381" s="1">
        <v>42628</v>
      </c>
      <c r="B381" s="1" t="s">
        <v>4</v>
      </c>
    </row>
    <row r="382" spans="1:2">
      <c r="A382" s="1">
        <v>42788</v>
      </c>
      <c r="B382" s="1" t="s">
        <v>4</v>
      </c>
    </row>
    <row r="383" spans="1:2">
      <c r="A383" s="1">
        <v>42823</v>
      </c>
      <c r="B383" s="1" t="s">
        <v>4</v>
      </c>
    </row>
    <row r="384" spans="1:2">
      <c r="A384" s="1">
        <v>42850</v>
      </c>
      <c r="B384" s="1" t="s">
        <v>4</v>
      </c>
    </row>
    <row r="385" spans="1:2">
      <c r="A385" s="1">
        <v>42912</v>
      </c>
      <c r="B385" s="1" t="s">
        <v>4</v>
      </c>
    </row>
    <row r="386" spans="1:2">
      <c r="A386" s="1">
        <v>42945</v>
      </c>
      <c r="B386" s="1" t="s">
        <v>4</v>
      </c>
    </row>
    <row r="387" spans="1:2">
      <c r="A387" s="1">
        <v>43138</v>
      </c>
      <c r="B387" s="1" t="s">
        <v>4</v>
      </c>
    </row>
    <row r="388" spans="1:2">
      <c r="A388" s="1">
        <v>43140</v>
      </c>
      <c r="B388" s="1" t="s">
        <v>4</v>
      </c>
    </row>
    <row r="389" spans="1:2">
      <c r="A389" s="1">
        <v>43203</v>
      </c>
      <c r="B389" s="1" t="s">
        <v>4</v>
      </c>
    </row>
    <row r="390" spans="1:2">
      <c r="A390" s="1">
        <v>43269</v>
      </c>
      <c r="B390" s="1" t="s">
        <v>4</v>
      </c>
    </row>
    <row r="391" spans="1:2">
      <c r="A391" s="1">
        <v>43488</v>
      </c>
      <c r="B391" s="1" t="s">
        <v>4</v>
      </c>
    </row>
    <row r="392" spans="1:2">
      <c r="A392" s="1">
        <v>43494</v>
      </c>
      <c r="B392" s="1" t="s">
        <v>4</v>
      </c>
    </row>
    <row r="393" spans="1:2">
      <c r="A393" s="1">
        <v>43585</v>
      </c>
      <c r="B393" s="1" t="s">
        <v>4</v>
      </c>
    </row>
    <row r="394" spans="1:2">
      <c r="A394" s="1">
        <v>43713</v>
      </c>
      <c r="B394" s="1" t="s">
        <v>4</v>
      </c>
    </row>
    <row r="395" spans="1:2">
      <c r="A395" s="1">
        <v>44098</v>
      </c>
      <c r="B395" s="1" t="s">
        <v>4</v>
      </c>
    </row>
    <row r="396" spans="1:2">
      <c r="A396" s="1">
        <v>44292</v>
      </c>
      <c r="B396" s="1" t="s">
        <v>4</v>
      </c>
    </row>
    <row r="397" spans="1:2">
      <c r="A397" s="1">
        <v>44486</v>
      </c>
      <c r="B397" s="1" t="s">
        <v>4</v>
      </c>
    </row>
    <row r="398" spans="1:2">
      <c r="A398" s="1">
        <v>44579</v>
      </c>
      <c r="B398" s="1" t="s">
        <v>4</v>
      </c>
    </row>
    <row r="399" spans="1:2">
      <c r="A399" s="1">
        <v>44583</v>
      </c>
      <c r="B399" s="1" t="s">
        <v>4</v>
      </c>
    </row>
    <row r="400" spans="1:2">
      <c r="A400" s="1">
        <v>44869</v>
      </c>
      <c r="B400" s="1" t="s">
        <v>4</v>
      </c>
    </row>
    <row r="401" spans="1:2">
      <c r="A401" s="1">
        <v>44962</v>
      </c>
      <c r="B401" s="1" t="s">
        <v>4</v>
      </c>
    </row>
    <row r="402" spans="1:2">
      <c r="A402" s="1">
        <v>45127</v>
      </c>
      <c r="B402" s="1" t="s">
        <v>4</v>
      </c>
    </row>
    <row r="403" spans="1:2">
      <c r="A403" s="1">
        <v>45605</v>
      </c>
      <c r="B403" s="1" t="s">
        <v>4</v>
      </c>
    </row>
    <row r="404" spans="1:2">
      <c r="A404" s="1">
        <v>45632</v>
      </c>
      <c r="B404" s="1" t="s">
        <v>4</v>
      </c>
    </row>
    <row r="405" spans="1:2">
      <c r="A405" s="1">
        <v>45698</v>
      </c>
      <c r="B405" s="1" t="s">
        <v>4</v>
      </c>
    </row>
    <row r="406" spans="1:2">
      <c r="A406" s="1">
        <v>45767</v>
      </c>
      <c r="B406" s="1" t="s">
        <v>4</v>
      </c>
    </row>
    <row r="407" spans="1:2">
      <c r="A407" s="1">
        <v>45794</v>
      </c>
      <c r="B407" s="1" t="s">
        <v>4</v>
      </c>
    </row>
    <row r="408" spans="1:2">
      <c r="A408" s="1">
        <v>45863</v>
      </c>
      <c r="B408" s="1" t="s">
        <v>4</v>
      </c>
    </row>
    <row r="409" spans="1:2">
      <c r="A409" s="1">
        <v>46052</v>
      </c>
      <c r="B409" s="1" t="s">
        <v>4</v>
      </c>
    </row>
    <row r="410" spans="1:2">
      <c r="A410" s="1">
        <v>46276</v>
      </c>
      <c r="B410" s="1" t="s">
        <v>4</v>
      </c>
    </row>
    <row r="411" spans="1:2">
      <c r="A411" s="1">
        <v>46311</v>
      </c>
      <c r="B411" s="1" t="s">
        <v>4</v>
      </c>
    </row>
    <row r="412" spans="1:2">
      <c r="A412" s="1">
        <v>46341</v>
      </c>
      <c r="B412" s="1" t="s">
        <v>4</v>
      </c>
    </row>
    <row r="413" spans="1:2">
      <c r="A413" s="1">
        <v>46375</v>
      </c>
      <c r="B413" s="1" t="s">
        <v>4</v>
      </c>
    </row>
    <row r="414" spans="1:2">
      <c r="A414" s="1">
        <v>46497</v>
      </c>
      <c r="B414" s="1" t="s">
        <v>4</v>
      </c>
    </row>
    <row r="415" spans="1:2">
      <c r="A415" s="1">
        <v>46662</v>
      </c>
      <c r="B415" s="1" t="s">
        <v>4</v>
      </c>
    </row>
    <row r="416" spans="1:2">
      <c r="A416" s="1">
        <v>46852</v>
      </c>
      <c r="B416" s="1" t="s">
        <v>4</v>
      </c>
    </row>
    <row r="417" spans="1:2">
      <c r="A417" s="1">
        <v>47078</v>
      </c>
      <c r="B417" s="1" t="s">
        <v>4</v>
      </c>
    </row>
    <row r="418" spans="1:2">
      <c r="A418" s="1">
        <v>47079</v>
      </c>
      <c r="B418" s="1" t="s">
        <v>4</v>
      </c>
    </row>
    <row r="419" spans="1:2">
      <c r="A419" s="1">
        <v>47109</v>
      </c>
      <c r="B419" s="1" t="s">
        <v>4</v>
      </c>
    </row>
    <row r="420" spans="1:2">
      <c r="A420" s="1">
        <v>47138</v>
      </c>
      <c r="B420" s="1" t="s">
        <v>4</v>
      </c>
    </row>
    <row r="421" spans="1:2">
      <c r="A421" s="1">
        <v>47174</v>
      </c>
      <c r="B421" s="1" t="s">
        <v>4</v>
      </c>
    </row>
    <row r="422" spans="1:2">
      <c r="A422" s="1">
        <v>47265</v>
      </c>
      <c r="B422" s="1" t="s">
        <v>4</v>
      </c>
    </row>
    <row r="423" spans="1:2">
      <c r="A423" s="1">
        <v>47271</v>
      </c>
      <c r="B423" s="1" t="s">
        <v>4</v>
      </c>
    </row>
    <row r="424" spans="1:2">
      <c r="A424" s="1">
        <v>47457</v>
      </c>
      <c r="B424" s="1" t="s">
        <v>4</v>
      </c>
    </row>
    <row r="425" spans="1:2">
      <c r="A425" s="1">
        <v>47494</v>
      </c>
      <c r="B425" s="1" t="s">
        <v>4</v>
      </c>
    </row>
    <row r="426" spans="1:2">
      <c r="A426" s="1">
        <v>47620</v>
      </c>
      <c r="B426" s="1" t="s">
        <v>4</v>
      </c>
    </row>
    <row r="427" spans="1:2">
      <c r="A427" s="1">
        <v>47621</v>
      </c>
      <c r="B427" s="1" t="s">
        <v>4</v>
      </c>
    </row>
    <row r="428" spans="1:2">
      <c r="A428" s="1">
        <v>47813</v>
      </c>
      <c r="B428" s="1" t="s">
        <v>4</v>
      </c>
    </row>
    <row r="429" spans="1:2">
      <c r="A429" s="1">
        <v>47876</v>
      </c>
      <c r="B429" s="1" t="s">
        <v>4</v>
      </c>
    </row>
    <row r="430" spans="1:2">
      <c r="A430" s="1">
        <v>47910</v>
      </c>
      <c r="B430" s="1" t="s">
        <v>4</v>
      </c>
    </row>
    <row r="431" spans="1:2">
      <c r="A431" s="1">
        <v>48293</v>
      </c>
      <c r="B431" s="1" t="s">
        <v>4</v>
      </c>
    </row>
    <row r="432" spans="1:2">
      <c r="A432" s="1">
        <v>48295</v>
      </c>
      <c r="B432" s="1" t="s">
        <v>4</v>
      </c>
    </row>
    <row r="433" spans="1:2">
      <c r="A433" s="1">
        <v>48321</v>
      </c>
      <c r="B433" s="1" t="s">
        <v>4</v>
      </c>
    </row>
    <row r="434" spans="1:2">
      <c r="A434" s="1">
        <v>48353</v>
      </c>
      <c r="B434" s="1" t="s">
        <v>4</v>
      </c>
    </row>
    <row r="435" spans="1:2">
      <c r="A435" s="1">
        <v>48391</v>
      </c>
      <c r="B435" s="1" t="s">
        <v>4</v>
      </c>
    </row>
    <row r="436" spans="1:2">
      <c r="A436" s="1">
        <v>48448</v>
      </c>
      <c r="B436" s="1" t="s">
        <v>4</v>
      </c>
    </row>
    <row r="437" spans="1:2">
      <c r="A437" s="1">
        <v>48486</v>
      </c>
      <c r="B437" s="1" t="s">
        <v>4</v>
      </c>
    </row>
    <row r="438" spans="1:2">
      <c r="A438" s="1">
        <v>48487</v>
      </c>
      <c r="B438" s="1" t="s">
        <v>4</v>
      </c>
    </row>
    <row r="439" spans="1:2">
      <c r="A439" s="1">
        <v>48615</v>
      </c>
      <c r="B439" s="1" t="s">
        <v>4</v>
      </c>
    </row>
    <row r="440" spans="1:2">
      <c r="A440" s="1">
        <v>48710</v>
      </c>
      <c r="B440" s="1" t="s">
        <v>4</v>
      </c>
    </row>
    <row r="441" spans="1:2">
      <c r="A441" s="1">
        <v>48773</v>
      </c>
      <c r="B441" s="1" t="s">
        <v>4</v>
      </c>
    </row>
    <row r="442" spans="1:2">
      <c r="A442" s="1">
        <v>48775</v>
      </c>
      <c r="B442" s="1" t="s">
        <v>4</v>
      </c>
    </row>
    <row r="443" spans="1:2">
      <c r="A443" s="1">
        <v>48931</v>
      </c>
      <c r="B443" s="1" t="s">
        <v>4</v>
      </c>
    </row>
    <row r="444" spans="1:2">
      <c r="A444" s="1">
        <v>49026</v>
      </c>
      <c r="B444" s="1" t="s">
        <v>4</v>
      </c>
    </row>
    <row r="445" spans="1:2">
      <c r="A445" s="1">
        <v>49027</v>
      </c>
      <c r="B445" s="1" t="s">
        <v>4</v>
      </c>
    </row>
    <row r="446" spans="1:2">
      <c r="A446" s="1">
        <v>49123</v>
      </c>
      <c r="B446" s="1" t="s">
        <v>4</v>
      </c>
    </row>
    <row r="447" spans="1:2">
      <c r="A447" s="1">
        <v>49255</v>
      </c>
      <c r="B447" s="1" t="s">
        <v>4</v>
      </c>
    </row>
    <row r="448" spans="1:2">
      <c r="A448" s="1">
        <v>49349</v>
      </c>
      <c r="B448" s="1" t="s">
        <v>4</v>
      </c>
    </row>
    <row r="449" spans="1:2">
      <c r="A449" s="1">
        <v>49412</v>
      </c>
      <c r="B449" s="1" t="s">
        <v>4</v>
      </c>
    </row>
    <row r="450" spans="1:2">
      <c r="A450" s="1">
        <v>49510</v>
      </c>
      <c r="B450" s="1" t="s">
        <v>4</v>
      </c>
    </row>
    <row r="451" spans="1:2">
      <c r="A451" s="1">
        <v>49668</v>
      </c>
      <c r="B451" s="1" t="s">
        <v>4</v>
      </c>
    </row>
    <row r="452" spans="1:2">
      <c r="A452" s="1">
        <v>49762</v>
      </c>
      <c r="B452" s="1" t="s">
        <v>4</v>
      </c>
    </row>
    <row r="453" spans="1:2">
      <c r="A453" s="1">
        <v>49797</v>
      </c>
      <c r="B453" s="1" t="s">
        <v>4</v>
      </c>
    </row>
    <row r="454" spans="1:2">
      <c r="A454" s="1">
        <v>49830</v>
      </c>
      <c r="B454" s="1" t="s">
        <v>4</v>
      </c>
    </row>
    <row r="455" spans="1:2">
      <c r="A455" s="1">
        <v>49924</v>
      </c>
      <c r="B455" s="1" t="s">
        <v>4</v>
      </c>
    </row>
    <row r="456" spans="1:2">
      <c r="A456" s="1">
        <v>49988</v>
      </c>
      <c r="B456" s="1" t="s">
        <v>4</v>
      </c>
    </row>
    <row r="457" spans="1:2">
      <c r="A457" s="1">
        <v>50048</v>
      </c>
      <c r="B457" s="1" t="s">
        <v>4</v>
      </c>
    </row>
    <row r="458" spans="1:2">
      <c r="A458" s="1">
        <v>50081</v>
      </c>
      <c r="B458" s="1" t="s">
        <v>4</v>
      </c>
    </row>
    <row r="459" spans="1:2">
      <c r="A459" s="1">
        <v>50083</v>
      </c>
      <c r="B459" s="1" t="s">
        <v>4</v>
      </c>
    </row>
    <row r="460" spans="1:2">
      <c r="A460" s="1">
        <v>50087</v>
      </c>
      <c r="B460" s="1" t="s">
        <v>4</v>
      </c>
    </row>
    <row r="461" spans="1:2">
      <c r="A461" s="1">
        <v>50147</v>
      </c>
      <c r="B461" s="1" t="s">
        <v>4</v>
      </c>
    </row>
    <row r="462" spans="1:2">
      <c r="A462" s="1">
        <v>50246</v>
      </c>
      <c r="B462" s="1" t="s">
        <v>4</v>
      </c>
    </row>
    <row r="463" spans="1:2">
      <c r="A463" s="1">
        <v>50307</v>
      </c>
      <c r="B463" s="1" t="s">
        <v>4</v>
      </c>
    </row>
    <row r="464" spans="1:2">
      <c r="A464" s="1">
        <v>50374</v>
      </c>
      <c r="B464" s="1" t="s">
        <v>4</v>
      </c>
    </row>
    <row r="465" spans="1:2">
      <c r="A465" s="1">
        <v>50432</v>
      </c>
      <c r="B465" s="1" t="s">
        <v>4</v>
      </c>
    </row>
    <row r="466" spans="1:2">
      <c r="A466" s="1">
        <v>50501</v>
      </c>
      <c r="B466" s="1" t="s">
        <v>4</v>
      </c>
    </row>
    <row r="467" spans="1:2">
      <c r="A467" s="1">
        <v>50564</v>
      </c>
      <c r="B467" s="1" t="s">
        <v>4</v>
      </c>
    </row>
    <row r="468" spans="1:2">
      <c r="A468" s="1">
        <v>50566</v>
      </c>
      <c r="B468" s="1" t="s">
        <v>4</v>
      </c>
    </row>
    <row r="469" spans="1:2">
      <c r="A469" s="1">
        <v>50663</v>
      </c>
      <c r="B469" s="1" t="s">
        <v>4</v>
      </c>
    </row>
    <row r="470" spans="1:2">
      <c r="A470" s="1">
        <v>50721</v>
      </c>
      <c r="B470" s="1" t="s">
        <v>4</v>
      </c>
    </row>
    <row r="471" spans="1:2">
      <c r="A471" s="1">
        <v>50789</v>
      </c>
      <c r="B471" s="1" t="s">
        <v>4</v>
      </c>
    </row>
    <row r="472" spans="1:2">
      <c r="A472" s="1">
        <v>50818</v>
      </c>
      <c r="B472" s="1" t="s">
        <v>4</v>
      </c>
    </row>
    <row r="473" spans="1:2">
      <c r="A473" s="1">
        <v>50823</v>
      </c>
      <c r="B473" s="1" t="s">
        <v>4</v>
      </c>
    </row>
    <row r="474" spans="1:2">
      <c r="A474" s="1">
        <v>50850</v>
      </c>
      <c r="B474" s="1" t="s">
        <v>4</v>
      </c>
    </row>
    <row r="475" spans="1:2">
      <c r="A475" s="1">
        <v>50914</v>
      </c>
      <c r="B475" s="1" t="s">
        <v>4</v>
      </c>
    </row>
    <row r="476" spans="1:2">
      <c r="A476" s="1">
        <v>51075</v>
      </c>
      <c r="B476" s="1" t="s">
        <v>4</v>
      </c>
    </row>
    <row r="477" spans="1:2">
      <c r="A477" s="1">
        <v>51239</v>
      </c>
      <c r="B477" s="1" t="s">
        <v>4</v>
      </c>
    </row>
    <row r="478" spans="1:2">
      <c r="A478" s="1">
        <v>51271</v>
      </c>
      <c r="B478" s="1" t="s">
        <v>4</v>
      </c>
    </row>
    <row r="479" spans="1:2">
      <c r="A479" s="1">
        <v>51302</v>
      </c>
      <c r="B479" s="1" t="s">
        <v>4</v>
      </c>
    </row>
    <row r="480" spans="1:2">
      <c r="A480" s="1">
        <v>51553</v>
      </c>
      <c r="B480" s="1" t="s">
        <v>4</v>
      </c>
    </row>
    <row r="481" spans="1:2">
      <c r="A481" s="1">
        <v>51554</v>
      </c>
      <c r="B481" s="1" t="s">
        <v>4</v>
      </c>
    </row>
    <row r="482" spans="1:2">
      <c r="A482" s="1">
        <v>51559</v>
      </c>
      <c r="B482" s="1" t="s">
        <v>4</v>
      </c>
    </row>
    <row r="483" spans="1:2">
      <c r="A483" s="1">
        <v>51876</v>
      </c>
      <c r="B483" s="1" t="s">
        <v>4</v>
      </c>
    </row>
    <row r="484" spans="1:2">
      <c r="A484" s="1">
        <v>51879</v>
      </c>
      <c r="B484" s="1" t="s">
        <v>4</v>
      </c>
    </row>
    <row r="485" spans="1:2">
      <c r="A485" s="1">
        <v>51940</v>
      </c>
      <c r="B485" s="1" t="s">
        <v>4</v>
      </c>
    </row>
    <row r="486" spans="1:2">
      <c r="A486" s="1">
        <v>52035</v>
      </c>
      <c r="B486" s="1" t="s">
        <v>4</v>
      </c>
    </row>
    <row r="487" spans="1:2">
      <c r="A487" s="1">
        <v>52068</v>
      </c>
      <c r="B487" s="1" t="s">
        <v>4</v>
      </c>
    </row>
    <row r="488" spans="1:2">
      <c r="A488" s="1">
        <v>52258</v>
      </c>
      <c r="B488" s="1" t="s">
        <v>4</v>
      </c>
    </row>
    <row r="489" spans="1:2">
      <c r="A489" s="1">
        <v>52288</v>
      </c>
      <c r="B489" s="1" t="s">
        <v>4</v>
      </c>
    </row>
    <row r="490" spans="1:2">
      <c r="A490" s="1">
        <v>52327</v>
      </c>
      <c r="B490" s="1" t="s">
        <v>4</v>
      </c>
    </row>
    <row r="491" spans="1:2">
      <c r="A491" s="1">
        <v>52518</v>
      </c>
      <c r="B491" s="1" t="s">
        <v>4</v>
      </c>
    </row>
    <row r="492" spans="1:2">
      <c r="A492" s="1">
        <v>52608</v>
      </c>
      <c r="B492" s="1" t="s">
        <v>4</v>
      </c>
    </row>
    <row r="493" spans="1:2">
      <c r="A493" s="1">
        <v>52611</v>
      </c>
      <c r="B493" s="1" t="s">
        <v>4</v>
      </c>
    </row>
    <row r="494" spans="1:2">
      <c r="A494" s="1">
        <v>52678</v>
      </c>
      <c r="B494" s="1" t="s">
        <v>4</v>
      </c>
    </row>
    <row r="495" spans="1:2">
      <c r="A495" s="1">
        <v>52805</v>
      </c>
      <c r="B495" s="1" t="s">
        <v>4</v>
      </c>
    </row>
    <row r="496" spans="1:2">
      <c r="A496" s="1">
        <v>53285</v>
      </c>
      <c r="B496" s="1" t="s">
        <v>4</v>
      </c>
    </row>
    <row r="497" spans="1:2">
      <c r="A497" s="1">
        <v>53536</v>
      </c>
      <c r="B497" s="1" t="s">
        <v>4</v>
      </c>
    </row>
    <row r="498" spans="1:2">
      <c r="A498" s="1">
        <v>53600</v>
      </c>
      <c r="B498" s="1" t="s">
        <v>4</v>
      </c>
    </row>
    <row r="499" spans="1:2">
      <c r="A499" s="1">
        <v>53767</v>
      </c>
      <c r="B499" s="1" t="s">
        <v>4</v>
      </c>
    </row>
    <row r="500" spans="1:2">
      <c r="A500" s="1">
        <v>54086</v>
      </c>
      <c r="B500" s="1" t="s">
        <v>4</v>
      </c>
    </row>
    <row r="501" spans="1:2">
      <c r="A501" s="1">
        <v>54119</v>
      </c>
      <c r="B501" s="1" t="s">
        <v>4</v>
      </c>
    </row>
    <row r="502" spans="1:2">
      <c r="A502" s="1">
        <v>54151</v>
      </c>
      <c r="B502" s="1" t="s">
        <v>4</v>
      </c>
    </row>
    <row r="503" spans="1:2">
      <c r="A503" s="1">
        <v>54215</v>
      </c>
      <c r="B503" s="1" t="s">
        <v>4</v>
      </c>
    </row>
    <row r="504" spans="1:2">
      <c r="A504" s="1">
        <v>54243</v>
      </c>
      <c r="B504" s="1" t="s">
        <v>4</v>
      </c>
    </row>
    <row r="505" spans="1:2">
      <c r="A505" s="1">
        <v>54245</v>
      </c>
      <c r="B505" s="1" t="s">
        <v>4</v>
      </c>
    </row>
    <row r="506" spans="1:2">
      <c r="A506" s="1">
        <v>54339</v>
      </c>
      <c r="B506" s="1" t="s">
        <v>4</v>
      </c>
    </row>
    <row r="507" spans="1:2">
      <c r="A507" s="1">
        <v>54368</v>
      </c>
      <c r="B507" s="1" t="s">
        <v>4</v>
      </c>
    </row>
    <row r="508" spans="1:2">
      <c r="A508" s="1">
        <v>54371</v>
      </c>
      <c r="B508" s="1" t="s">
        <v>4</v>
      </c>
    </row>
    <row r="509" spans="1:2">
      <c r="A509" s="1">
        <v>54563</v>
      </c>
      <c r="B509" s="1" t="s">
        <v>4</v>
      </c>
    </row>
    <row r="510" spans="1:2">
      <c r="A510" s="1">
        <v>54595</v>
      </c>
      <c r="B510" s="1" t="s">
        <v>4</v>
      </c>
    </row>
    <row r="511" spans="1:2">
      <c r="A511" s="1">
        <v>54721</v>
      </c>
      <c r="B511" s="1" t="s">
        <v>4</v>
      </c>
    </row>
    <row r="512" spans="1:2">
      <c r="A512" s="1">
        <v>54755</v>
      </c>
      <c r="B512" s="1" t="s">
        <v>4</v>
      </c>
    </row>
    <row r="513" spans="1:2">
      <c r="A513" s="1">
        <v>54787</v>
      </c>
      <c r="B513" s="1" t="s">
        <v>4</v>
      </c>
    </row>
    <row r="514" spans="1:2">
      <c r="A514" s="1">
        <v>54914</v>
      </c>
      <c r="B514" s="1" t="s">
        <v>4</v>
      </c>
    </row>
    <row r="515" spans="1:2">
      <c r="A515" s="1">
        <v>55172</v>
      </c>
      <c r="B515" s="1" t="s">
        <v>4</v>
      </c>
    </row>
    <row r="516" spans="1:2">
      <c r="A516" s="1">
        <v>55203</v>
      </c>
      <c r="B516" s="1" t="s">
        <v>4</v>
      </c>
    </row>
    <row r="517" spans="1:2">
      <c r="A517" s="1">
        <v>55235</v>
      </c>
      <c r="B517" s="1" t="s">
        <v>4</v>
      </c>
    </row>
    <row r="518" spans="1:2">
      <c r="A518" s="1">
        <v>55330</v>
      </c>
      <c r="B518" s="1" t="s">
        <v>4</v>
      </c>
    </row>
    <row r="519" spans="1:2">
      <c r="A519" s="1">
        <v>55526</v>
      </c>
      <c r="B519" s="1" t="s">
        <v>4</v>
      </c>
    </row>
    <row r="520" spans="1:2">
      <c r="A520" s="1">
        <v>55616</v>
      </c>
      <c r="B520" s="1" t="s">
        <v>4</v>
      </c>
    </row>
    <row r="521" spans="1:2">
      <c r="A521" s="1">
        <v>55618</v>
      </c>
      <c r="B521" s="1" t="s">
        <v>4</v>
      </c>
    </row>
    <row r="522" spans="1:2">
      <c r="A522" s="1">
        <v>55623</v>
      </c>
      <c r="B522" s="1" t="s">
        <v>4</v>
      </c>
    </row>
    <row r="523" spans="1:2">
      <c r="A523" s="1">
        <v>55747</v>
      </c>
      <c r="B523" s="1" t="s">
        <v>4</v>
      </c>
    </row>
    <row r="524" spans="1:2">
      <c r="A524" s="1">
        <v>55776</v>
      </c>
      <c r="B524" s="1" t="s">
        <v>4</v>
      </c>
    </row>
    <row r="525" spans="1:2">
      <c r="A525" s="1">
        <v>55808</v>
      </c>
      <c r="B525" s="1" t="s">
        <v>4</v>
      </c>
    </row>
    <row r="526" spans="1:2">
      <c r="A526" s="1">
        <v>55874</v>
      </c>
      <c r="B526" s="1" t="s">
        <v>4</v>
      </c>
    </row>
    <row r="527" spans="1:2">
      <c r="A527" s="1">
        <v>55877</v>
      </c>
      <c r="B527" s="1" t="s">
        <v>4</v>
      </c>
    </row>
    <row r="528" spans="1:2">
      <c r="A528" s="1">
        <v>55968</v>
      </c>
      <c r="B528" s="1" t="s">
        <v>4</v>
      </c>
    </row>
    <row r="529" spans="1:2">
      <c r="A529" s="1">
        <v>56101</v>
      </c>
      <c r="B529" s="1" t="s">
        <v>4</v>
      </c>
    </row>
    <row r="530" spans="1:2">
      <c r="A530" s="1">
        <v>56128</v>
      </c>
      <c r="B530" s="1" t="s">
        <v>4</v>
      </c>
    </row>
    <row r="531" spans="1:2">
      <c r="A531" s="1">
        <v>56257</v>
      </c>
      <c r="B531" s="1" t="s">
        <v>4</v>
      </c>
    </row>
    <row r="532" spans="1:2">
      <c r="A532" s="1">
        <v>56387</v>
      </c>
      <c r="B532" s="1" t="s">
        <v>4</v>
      </c>
    </row>
    <row r="533" spans="1:2">
      <c r="A533" s="1">
        <v>56452</v>
      </c>
      <c r="B533" s="1" t="s">
        <v>4</v>
      </c>
    </row>
    <row r="534" spans="1:2">
      <c r="A534" s="1">
        <v>56514</v>
      </c>
      <c r="B534" s="1" t="s">
        <v>4</v>
      </c>
    </row>
    <row r="535" spans="1:2">
      <c r="A535" s="1">
        <v>56582</v>
      </c>
      <c r="B535" s="1" t="s">
        <v>4</v>
      </c>
    </row>
    <row r="536" spans="1:2">
      <c r="A536" s="1">
        <v>56612</v>
      </c>
      <c r="B536" s="1" t="s">
        <v>4</v>
      </c>
    </row>
    <row r="537" spans="1:2">
      <c r="A537" s="1">
        <v>56768</v>
      </c>
      <c r="B537" s="1" t="s">
        <v>4</v>
      </c>
    </row>
    <row r="538" spans="1:2">
      <c r="A538" s="1">
        <v>56769</v>
      </c>
      <c r="B538" s="1" t="s">
        <v>4</v>
      </c>
    </row>
    <row r="539" spans="1:2">
      <c r="A539" s="1">
        <v>56868</v>
      </c>
      <c r="B539" s="1" t="s">
        <v>4</v>
      </c>
    </row>
    <row r="540" spans="1:2">
      <c r="A540" s="1">
        <v>56901</v>
      </c>
      <c r="B540" s="1" t="s">
        <v>4</v>
      </c>
    </row>
    <row r="541" spans="1:2">
      <c r="A541" s="1">
        <v>56930</v>
      </c>
      <c r="B541" s="1" t="s">
        <v>4</v>
      </c>
    </row>
    <row r="542" spans="1:2">
      <c r="A542" s="1">
        <v>56931</v>
      </c>
      <c r="B542" s="1" t="s">
        <v>4</v>
      </c>
    </row>
    <row r="543" spans="1:2">
      <c r="A543" s="1">
        <v>57157</v>
      </c>
      <c r="B543" s="1" t="s">
        <v>4</v>
      </c>
    </row>
    <row r="544" spans="1:2">
      <c r="A544" s="1">
        <v>57190</v>
      </c>
      <c r="B544" s="1" t="s">
        <v>4</v>
      </c>
    </row>
    <row r="545" spans="1:2">
      <c r="A545" s="1">
        <v>57248</v>
      </c>
      <c r="B545" s="1" t="s">
        <v>4</v>
      </c>
    </row>
    <row r="546" spans="1:2">
      <c r="A546" s="1">
        <v>57253</v>
      </c>
      <c r="B546" s="1" t="s">
        <v>4</v>
      </c>
    </row>
    <row r="547" spans="1:2">
      <c r="A547" s="1">
        <v>57440</v>
      </c>
      <c r="B547" s="1" t="s">
        <v>4</v>
      </c>
    </row>
    <row r="548" spans="1:2">
      <c r="A548" s="1">
        <v>57510</v>
      </c>
      <c r="B548" s="1" t="s">
        <v>4</v>
      </c>
    </row>
    <row r="549" spans="1:2">
      <c r="A549" s="1">
        <v>57600</v>
      </c>
      <c r="B549" s="1" t="s">
        <v>4</v>
      </c>
    </row>
    <row r="550" spans="1:2">
      <c r="A550" s="1">
        <v>57638</v>
      </c>
      <c r="B550" s="1" t="s">
        <v>4</v>
      </c>
    </row>
    <row r="551" spans="1:2">
      <c r="A551" s="1">
        <v>57986</v>
      </c>
      <c r="B551" s="1" t="s">
        <v>4</v>
      </c>
    </row>
    <row r="552" spans="1:2">
      <c r="A552" s="1">
        <v>58368</v>
      </c>
      <c r="B552" s="1" t="s">
        <v>4</v>
      </c>
    </row>
    <row r="553" spans="1:2">
      <c r="A553" s="1">
        <v>58372</v>
      </c>
      <c r="B553" s="1" t="s">
        <v>4</v>
      </c>
    </row>
    <row r="554" spans="1:2">
      <c r="A554" s="1">
        <v>58470</v>
      </c>
      <c r="B554" s="1" t="s">
        <v>4</v>
      </c>
    </row>
    <row r="555" spans="1:2">
      <c r="A555" s="1">
        <v>58500</v>
      </c>
      <c r="B555" s="1" t="s">
        <v>4</v>
      </c>
    </row>
    <row r="556" spans="1:2">
      <c r="A556" s="1">
        <v>58566</v>
      </c>
      <c r="B556" s="1" t="s">
        <v>4</v>
      </c>
    </row>
    <row r="557" spans="1:2">
      <c r="A557" s="1">
        <v>58688</v>
      </c>
      <c r="B557" s="1" t="s">
        <v>4</v>
      </c>
    </row>
    <row r="558" spans="1:2">
      <c r="A558" s="1">
        <v>58720</v>
      </c>
      <c r="B558" s="1" t="s">
        <v>4</v>
      </c>
    </row>
    <row r="559" spans="1:2">
      <c r="A559" s="1">
        <v>58725</v>
      </c>
      <c r="B559" s="1" t="s">
        <v>4</v>
      </c>
    </row>
    <row r="560" spans="1:2">
      <c r="A560" s="1">
        <v>58818</v>
      </c>
      <c r="B560" s="1" t="s">
        <v>4</v>
      </c>
    </row>
    <row r="561" spans="1:2">
      <c r="A561" s="1">
        <v>58949</v>
      </c>
      <c r="B561" s="1" t="s">
        <v>4</v>
      </c>
    </row>
    <row r="562" spans="1:2">
      <c r="A562" s="1">
        <v>59009</v>
      </c>
      <c r="B562" s="1" t="s">
        <v>4</v>
      </c>
    </row>
    <row r="563" spans="1:2">
      <c r="A563" s="1">
        <v>59047</v>
      </c>
      <c r="B563" s="1" t="s">
        <v>4</v>
      </c>
    </row>
    <row r="564" spans="1:2">
      <c r="A564" s="1">
        <v>59072</v>
      </c>
      <c r="B564" s="1" t="s">
        <v>4</v>
      </c>
    </row>
    <row r="565" spans="1:2">
      <c r="A565" s="1">
        <v>59139</v>
      </c>
      <c r="B565" s="1" t="s">
        <v>4</v>
      </c>
    </row>
    <row r="566" spans="1:2">
      <c r="A566" s="1">
        <v>59171</v>
      </c>
      <c r="B566" s="1" t="s">
        <v>4</v>
      </c>
    </row>
    <row r="567" spans="1:2">
      <c r="A567" s="1">
        <v>59585</v>
      </c>
      <c r="B567" s="1" t="s">
        <v>4</v>
      </c>
    </row>
    <row r="568" spans="1:2">
      <c r="A568" s="1">
        <v>59652</v>
      </c>
      <c r="B568" s="1" t="s">
        <v>4</v>
      </c>
    </row>
    <row r="569" spans="1:2">
      <c r="A569" s="1">
        <v>59680</v>
      </c>
      <c r="B569" s="1" t="s">
        <v>4</v>
      </c>
    </row>
    <row r="570" spans="1:2">
      <c r="A570" s="1">
        <v>59683</v>
      </c>
      <c r="B570" s="1" t="s">
        <v>4</v>
      </c>
    </row>
    <row r="571" spans="1:2">
      <c r="A571" s="1">
        <v>59776</v>
      </c>
      <c r="B571" s="1" t="s">
        <v>4</v>
      </c>
    </row>
    <row r="572" spans="1:2">
      <c r="A572" s="1">
        <v>59879</v>
      </c>
      <c r="B572" s="1" t="s">
        <v>4</v>
      </c>
    </row>
    <row r="573" spans="1:2">
      <c r="A573" s="1">
        <v>59937</v>
      </c>
      <c r="B573" s="1" t="s">
        <v>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5" sqref="A5"/>
    </sheetView>
  </sheetViews>
  <sheetFormatPr defaultColWidth="9" defaultRowHeight="14.25" outlineLevelCol="2"/>
  <cols>
    <col min="1" max="1" width="5.71428571428571" style="1" customWidth="1"/>
    <col min="2" max="2" width="8" style="1" customWidth="1"/>
    <col min="3" max="3" width="7.28571428571429" style="1" customWidth="1"/>
    <col min="4" max="16384" width="9.14285714285714" style="1"/>
  </cols>
  <sheetData>
    <row r="1" spans="1:3">
      <c r="A1" s="2" t="s">
        <v>5</v>
      </c>
      <c r="B1" s="2" t="s">
        <v>6</v>
      </c>
      <c r="C1" s="3" t="s">
        <v>7</v>
      </c>
    </row>
    <row r="2" spans="1:3">
      <c r="A2" s="1" t="s">
        <v>8</v>
      </c>
      <c r="B2" s="1" t="s">
        <v>9</v>
      </c>
      <c r="C2" s="1">
        <v>23</v>
      </c>
    </row>
    <row r="3" spans="1:3">
      <c r="A3" s="1" t="s">
        <v>10</v>
      </c>
      <c r="B3" s="1" t="s">
        <v>11</v>
      </c>
      <c r="C3" s="1">
        <v>23</v>
      </c>
    </row>
    <row r="4" spans="1:3">
      <c r="A4" s="1" t="s">
        <v>12</v>
      </c>
      <c r="B4" s="1" t="s">
        <v>13</v>
      </c>
      <c r="C4" s="1">
        <v>23</v>
      </c>
    </row>
    <row r="5" spans="1:3">
      <c r="A5" s="1" t="s">
        <v>14</v>
      </c>
      <c r="B5" s="1" t="s">
        <v>15</v>
      </c>
      <c r="C5" s="1">
        <v>23</v>
      </c>
    </row>
    <row r="6" spans="1:3">
      <c r="A6" s="1" t="s">
        <v>14</v>
      </c>
      <c r="B6" s="1" t="s">
        <v>16</v>
      </c>
      <c r="C6" s="1">
        <v>23</v>
      </c>
    </row>
    <row r="7" spans="1:3">
      <c r="A7" s="1" t="s">
        <v>8</v>
      </c>
      <c r="B7" s="1" t="s">
        <v>16</v>
      </c>
      <c r="C7" s="1">
        <v>23</v>
      </c>
    </row>
    <row r="8" spans="1:3">
      <c r="A8" s="1" t="s">
        <v>10</v>
      </c>
      <c r="B8" s="1" t="s">
        <v>16</v>
      </c>
      <c r="C8" s="1">
        <v>23</v>
      </c>
    </row>
    <row r="9" spans="1:3">
      <c r="A9" s="1" t="s">
        <v>12</v>
      </c>
      <c r="B9" s="1" t="s">
        <v>16</v>
      </c>
      <c r="C9" s="1">
        <v>23</v>
      </c>
    </row>
    <row r="10" spans="1:3">
      <c r="A10" s="1" t="s">
        <v>14</v>
      </c>
      <c r="B10" s="1" t="s">
        <v>15</v>
      </c>
      <c r="C10" s="1">
        <v>23</v>
      </c>
    </row>
    <row r="11" spans="1:3">
      <c r="A11" s="1" t="s">
        <v>14</v>
      </c>
      <c r="B11" s="1" t="s">
        <v>16</v>
      </c>
      <c r="C11" s="1">
        <v>23</v>
      </c>
    </row>
    <row r="12" spans="1:3">
      <c r="A12" s="1" t="s">
        <v>14</v>
      </c>
      <c r="B12" s="1" t="s">
        <v>15</v>
      </c>
      <c r="C12" s="1">
        <v>23</v>
      </c>
    </row>
    <row r="13" spans="1:3">
      <c r="A13" s="1" t="s">
        <v>14</v>
      </c>
      <c r="B13" s="1" t="s">
        <v>16</v>
      </c>
      <c r="C13" s="1">
        <v>23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全国订单明细</vt:lpstr>
      <vt:lpstr>退单</vt:lpstr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方圆</cp:lastModifiedBy>
  <dcterms:created xsi:type="dcterms:W3CDTF">2009-03-27T23:19:00Z</dcterms:created>
  <dcterms:modified xsi:type="dcterms:W3CDTF">2021-08-27T08:21:51Z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5A2BF094EC9A421B941E79D0330887C2</vt:lpwstr>
  </property>
  <property fmtid="{D5CDD505-2E9C-101B-9397-08002B2CF9AE}" pid="3" name="KSOProductBuildVer">
    <vt:lpwstr>2052-11.1.0.10700</vt:lpwstr>
  </property>
</Properties>
</file>