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ul\Documents\MMF\Billing&amp;Settlement\"/>
    </mc:Choice>
  </mc:AlternateContent>
  <bookViews>
    <workbookView xWindow="0" yWindow="0" windowWidth="20490" windowHeight="7155"/>
  </bookViews>
  <sheets>
    <sheet name="Sheet4" sheetId="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4" l="1"/>
  <c r="J9" i="4"/>
  <c r="J10" i="4"/>
  <c r="J12" i="4"/>
  <c r="J13" i="4"/>
  <c r="J15" i="4"/>
  <c r="J16" i="4"/>
  <c r="J17" i="4"/>
  <c r="J19" i="4"/>
  <c r="J20" i="4"/>
  <c r="J21" i="4"/>
  <c r="J23" i="4"/>
  <c r="J24" i="4"/>
  <c r="E9" i="4"/>
  <c r="H9" i="4"/>
  <c r="H10" i="4"/>
  <c r="H12" i="4"/>
  <c r="H13" i="4"/>
  <c r="H15" i="4"/>
  <c r="H16" i="4"/>
  <c r="H17" i="4"/>
  <c r="H19" i="4"/>
  <c r="H20" i="4"/>
  <c r="H21" i="4"/>
  <c r="H23" i="4"/>
  <c r="H24" i="4"/>
  <c r="M25" i="4"/>
  <c r="M22" i="4"/>
  <c r="M18" i="4"/>
  <c r="M14" i="4"/>
  <c r="M11" i="4"/>
  <c r="E4" i="4"/>
  <c r="N25" i="4" s="1"/>
  <c r="O25" i="4" s="1"/>
  <c r="P25" i="4" s="1"/>
  <c r="Q25" i="4" s="1"/>
  <c r="E10" i="4" l="1"/>
  <c r="F10" i="4" s="1"/>
  <c r="N18" i="4"/>
  <c r="O18" i="4" s="1"/>
  <c r="P18" i="4" s="1"/>
  <c r="Q18" i="4" s="1"/>
  <c r="N11" i="4"/>
  <c r="O11" i="4" s="1"/>
  <c r="P11" i="4" s="1"/>
  <c r="Q11" i="4" s="1"/>
  <c r="N22" i="4"/>
  <c r="O22" i="4" s="1"/>
  <c r="P22" i="4" s="1"/>
  <c r="Q22" i="4" s="1"/>
  <c r="N14" i="4"/>
  <c r="O14" i="4" s="1"/>
  <c r="P14" i="4" s="1"/>
  <c r="Q14" i="4" s="1"/>
  <c r="E11" i="4" l="1"/>
  <c r="E12" i="4" s="1"/>
  <c r="E13" i="4" s="1"/>
  <c r="E14" i="4" s="1"/>
  <c r="Q27" i="4"/>
  <c r="F11" i="4" l="1"/>
  <c r="H11" i="4" s="1"/>
  <c r="E15" i="4"/>
  <c r="E16" i="4" s="1"/>
  <c r="E17" i="4" s="1"/>
  <c r="E18" i="4" s="1"/>
  <c r="E19" i="4" s="1"/>
  <c r="E20" i="4" s="1"/>
  <c r="E21" i="4" s="1"/>
  <c r="F13" i="4" l="1"/>
  <c r="J11" i="4"/>
  <c r="F14" i="4"/>
  <c r="F12" i="4"/>
  <c r="E22" i="4"/>
  <c r="E23" i="4" l="1"/>
  <c r="E24" i="4" s="1"/>
  <c r="E25" i="4" s="1"/>
  <c r="H14" i="4"/>
  <c r="J14" i="4" s="1"/>
  <c r="F16" i="4" l="1"/>
  <c r="F17" i="4"/>
  <c r="F15" i="4"/>
  <c r="F18" i="4"/>
  <c r="H18" i="4" l="1"/>
  <c r="J18" i="4" s="1"/>
  <c r="F22" i="4" l="1"/>
  <c r="F21" i="4"/>
  <c r="F20" i="4"/>
  <c r="F19" i="4"/>
  <c r="H22" i="4" l="1"/>
  <c r="J22" i="4" s="1"/>
  <c r="F24" i="4" l="1"/>
  <c r="F25" i="4"/>
  <c r="F23" i="4"/>
  <c r="H25" i="4" l="1"/>
  <c r="J25" i="4" s="1"/>
  <c r="J26" i="4" s="1"/>
</calcChain>
</file>

<file path=xl/sharedStrings.xml><?xml version="1.0" encoding="utf-8"?>
<sst xmlns="http://schemas.openxmlformats.org/spreadsheetml/2006/main" count="23" uniqueCount="22">
  <si>
    <t>R</t>
  </si>
  <si>
    <t>Date</t>
  </si>
  <si>
    <t>MarketValue</t>
  </si>
  <si>
    <t>BillableReturn</t>
  </si>
  <si>
    <t>IsBillDate</t>
  </si>
  <si>
    <t>1+r</t>
  </si>
  <si>
    <t>CashFlow</t>
  </si>
  <si>
    <t>ExpectedReturn</t>
  </si>
  <si>
    <t>BillableAmount</t>
  </si>
  <si>
    <t>Bill (@10%)</t>
  </si>
  <si>
    <t>Bill</t>
  </si>
  <si>
    <t>Total=</t>
  </si>
  <si>
    <t>Modified Dietz Returns</t>
  </si>
  <si>
    <t>Mdietz Return</t>
  </si>
  <si>
    <t>Difference</t>
  </si>
  <si>
    <t>HurdleRate</t>
  </si>
  <si>
    <t>Absolute Total =</t>
  </si>
  <si>
    <t>EffectiveHWM</t>
  </si>
  <si>
    <t>CashFlows</t>
  </si>
  <si>
    <t>Annual Return</t>
  </si>
  <si>
    <t>Portfolio Returns and Performance Fee (Bill) Calculation</t>
  </si>
  <si>
    <t>Quarterly Billing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</si>
</sst>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2" borderId="0" xfId="0" applyFill="1"/>
    <xf numFmtId="14" fontId="0" fillId="0" borderId="0" xfId="0" applyNumberFormat="1" applyBorder="1"/>
    <xf numFmtId="14" fontId="0" fillId="3" borderId="0" xfId="0" applyNumberFormat="1" applyFont="1" applyFill="1" applyBorder="1"/>
    <xf numFmtId="14" fontId="0" fillId="0" borderId="0" xfId="0" applyNumberFormat="1" applyFont="1" applyBorder="1"/>
    <xf numFmtId="0" fontId="0" fillId="4" borderId="0" xfId="0" applyFill="1"/>
    <xf numFmtId="9" fontId="0" fillId="4" borderId="0" xfId="0" applyNumberFormat="1" applyFill="1"/>
    <xf numFmtId="2" fontId="0" fillId="0" borderId="0" xfId="0" applyNumberFormat="1" applyBorder="1"/>
    <xf numFmtId="0" fontId="0" fillId="0" borderId="0" xfId="0" applyFill="1"/>
    <xf numFmtId="0" fontId="1" fillId="0" borderId="1" xfId="0" applyFont="1" applyBorder="1"/>
    <xf numFmtId="0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4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2" fontId="0" fillId="6" borderId="0" xfId="0" applyNumberFormat="1" applyFill="1" applyBorder="1"/>
    <xf numFmtId="0" fontId="0" fillId="6" borderId="6" xfId="0" applyFill="1" applyBorder="1" applyAlignment="1">
      <alignment horizontal="center"/>
    </xf>
    <xf numFmtId="10" fontId="0" fillId="6" borderId="9" xfId="0" applyNumberFormat="1" applyFill="1" applyBorder="1" applyAlignment="1">
      <alignment horizontal="center"/>
    </xf>
    <xf numFmtId="0" fontId="1" fillId="2" borderId="6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</cellXfs>
  <cellStyles count="1">
    <cellStyle name="Normal" xfId="0" builtinId="0"/>
  </cellStyles>
  <dxfs count="12"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theme="0" tint="-0.14999847407452621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6432053892087"/>
          <c:y val="5.740377163735938E-2"/>
          <c:w val="0.81438902278368885"/>
          <c:h val="0.68387225215911318"/>
        </c:manualLayout>
      </c:layout>
      <c:lineChart>
        <c:grouping val="standard"/>
        <c:varyColors val="0"/>
        <c:ser>
          <c:idx val="0"/>
          <c:order val="0"/>
          <c:tx>
            <c:strRef>
              <c:f>Sheet4!$E$8</c:f>
              <c:strCache>
                <c:ptCount val="1"/>
                <c:pt idx="0">
                  <c:v>ExpectedReturn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Sheet4!$E$9:$E$25</c:f>
              <c:numCache>
                <c:formatCode>0.00</c:formatCode>
                <c:ptCount val="17"/>
                <c:pt idx="0">
                  <c:v>100000</c:v>
                </c:pt>
                <c:pt idx="1">
                  <c:v>100812.76889668549</c:v>
                </c:pt>
                <c:pt idx="2">
                  <c:v>101552.55919365103</c:v>
                </c:pt>
                <c:pt idx="3">
                  <c:v>102377.94680856515</c:v>
                </c:pt>
                <c:pt idx="4">
                  <c:v>103183.09583913488</c:v>
                </c:pt>
                <c:pt idx="5">
                  <c:v>104021.73594875255</c:v>
                </c:pt>
                <c:pt idx="6">
                  <c:v>114675.68411961017</c:v>
                </c:pt>
                <c:pt idx="7">
                  <c:v>114855.49222821338</c:v>
                </c:pt>
                <c:pt idx="8">
                  <c:v>115789.00194517932</c:v>
                </c:pt>
                <c:pt idx="9">
                  <c:v>116730.09893877229</c:v>
                </c:pt>
                <c:pt idx="10">
                  <c:v>117648.12014283691</c:v>
                </c:pt>
                <c:pt idx="11">
                  <c:v>118604.32747089307</c:v>
                </c:pt>
                <c:pt idx="12">
                  <c:v>148883.38894872746</c:v>
                </c:pt>
                <c:pt idx="13">
                  <c:v>139702.04835765518</c:v>
                </c:pt>
                <c:pt idx="14">
                  <c:v>140837.50315473872</c:v>
                </c:pt>
                <c:pt idx="15">
                  <c:v>141982.18657524887</c:v>
                </c:pt>
                <c:pt idx="16">
                  <c:v>143024.08875807616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Sheet4!$G$8</c:f>
              <c:strCache>
                <c:ptCount val="1"/>
                <c:pt idx="0">
                  <c:v>MarketValue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Sheet4!$G$9:$G$25</c:f>
              <c:numCache>
                <c:formatCode>0.00</c:formatCode>
                <c:ptCount val="17"/>
                <c:pt idx="0">
                  <c:v>100000</c:v>
                </c:pt>
                <c:pt idx="1">
                  <c:v>100000</c:v>
                </c:pt>
                <c:pt idx="2">
                  <c:v>102000</c:v>
                </c:pt>
                <c:pt idx="3">
                  <c:v>102400</c:v>
                </c:pt>
                <c:pt idx="4">
                  <c:v>103200</c:v>
                </c:pt>
                <c:pt idx="5">
                  <c:v>104500</c:v>
                </c:pt>
                <c:pt idx="6">
                  <c:v>113000</c:v>
                </c:pt>
                <c:pt idx="7">
                  <c:v>113000</c:v>
                </c:pt>
                <c:pt idx="8">
                  <c:v>113000</c:v>
                </c:pt>
                <c:pt idx="9">
                  <c:v>119000</c:v>
                </c:pt>
                <c:pt idx="10">
                  <c:v>118000</c:v>
                </c:pt>
                <c:pt idx="11">
                  <c:v>120000</c:v>
                </c:pt>
                <c:pt idx="12">
                  <c:v>149000</c:v>
                </c:pt>
                <c:pt idx="13">
                  <c:v>139000</c:v>
                </c:pt>
                <c:pt idx="14">
                  <c:v>145000</c:v>
                </c:pt>
                <c:pt idx="15">
                  <c:v>145000</c:v>
                </c:pt>
                <c:pt idx="16">
                  <c:v>149000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</c:extLst>
        </c:ser>
        <c:ser>
          <c:idx val="3"/>
          <c:order val="2"/>
          <c:tx>
            <c:strRef>
              <c:f>Sheet4!$F$8</c:f>
              <c:strCache>
                <c:ptCount val="1"/>
                <c:pt idx="0">
                  <c:v>EffectiveHWM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Sheet4!$F$9:$F$25</c:f>
              <c:numCache>
                <c:formatCode>0.00</c:formatCode>
                <c:ptCount val="17"/>
                <c:pt idx="0">
                  <c:v>100000</c:v>
                </c:pt>
                <c:pt idx="1">
                  <c:v>100812.76889668549</c:v>
                </c:pt>
                <c:pt idx="2">
                  <c:v>101552.55919365103</c:v>
                </c:pt>
                <c:pt idx="3">
                  <c:v>102825.38761491411</c:v>
                </c:pt>
                <c:pt idx="4">
                  <c:v>103630.53664548385</c:v>
                </c:pt>
                <c:pt idx="5">
                  <c:v>104469.17675510152</c:v>
                </c:pt>
                <c:pt idx="6">
                  <c:v>115153.94817085762</c:v>
                </c:pt>
                <c:pt idx="7">
                  <c:v>115333.75627946082</c:v>
                </c:pt>
                <c:pt idx="8">
                  <c:v>116267.26599642677</c:v>
                </c:pt>
                <c:pt idx="9">
                  <c:v>117208.36299001974</c:v>
                </c:pt>
                <c:pt idx="10">
                  <c:v>119918.02120406461</c:v>
                </c:pt>
                <c:pt idx="11">
                  <c:v>120874.22853212077</c:v>
                </c:pt>
                <c:pt idx="12">
                  <c:v>151153.29000995518</c:v>
                </c:pt>
                <c:pt idx="13">
                  <c:v>141971.9494188829</c:v>
                </c:pt>
                <c:pt idx="14">
                  <c:v>143107.40421596641</c:v>
                </c:pt>
                <c:pt idx="15">
                  <c:v>144252.08763647656</c:v>
                </c:pt>
                <c:pt idx="16">
                  <c:v>145293.98981930385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726768"/>
        <c:axId val="1132720784"/>
      </c:lineChart>
      <c:dateAx>
        <c:axId val="11327267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720784"/>
        <c:crosses val="autoZero"/>
        <c:auto val="0"/>
        <c:lblOffset val="100"/>
        <c:baseTimeUnit val="days"/>
      </c:dateAx>
      <c:valAx>
        <c:axId val="1132720784"/>
        <c:scaling>
          <c:orientation val="minMax"/>
          <c:max val="170000"/>
          <c:min val="80000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72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bg1"/>
        </a:solidFill>
        <a:ln cmpd="sng">
          <a:solidFill>
            <a:schemeClr val="accent1"/>
          </a:solidFill>
          <a:prstDash val="sysDot"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180973</xdr:rowOff>
    </xdr:from>
    <xdr:to>
      <xdr:col>10</xdr:col>
      <xdr:colOff>342900</xdr:colOff>
      <xdr:row>59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1581150</xdr:colOff>
      <xdr:row>7</xdr:row>
      <xdr:rowOff>19050</xdr:rowOff>
    </xdr:from>
    <xdr:to>
      <xdr:col>22</xdr:col>
      <xdr:colOff>924791</xdr:colOff>
      <xdr:row>16</xdr:row>
      <xdr:rowOff>53687</xdr:rowOff>
    </xdr:to>
    <xdr:sp macro="" textlink="">
      <xdr:nvSpPr>
        <xdr:cNvPr id="4" name="TextBox 3"/>
        <xdr:cNvSpPr txBox="1"/>
      </xdr:nvSpPr>
      <xdr:spPr>
        <a:xfrm>
          <a:off x="19059525" y="1352550"/>
          <a:ext cx="4182341" cy="1749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Modified</a:t>
          </a:r>
          <a:r>
            <a:rPr lang="en-US" sz="1100" baseline="0"/>
            <a:t> Dietz Return = [Ve - Vb - Sum(CF)] / [Vb + Sum(CF*W)]</a:t>
          </a:r>
        </a:p>
        <a:p>
          <a:endParaRPr lang="en-US" sz="1100"/>
        </a:p>
        <a:p>
          <a:r>
            <a:rPr lang="en-US" sz="1100"/>
            <a:t>Where,</a:t>
          </a:r>
        </a:p>
        <a:p>
          <a:r>
            <a:rPr lang="en-US" sz="1100" baseline="0"/>
            <a:t>Vb = Portfolio Value at the beginning of period</a:t>
          </a:r>
        </a:p>
        <a:p>
          <a:r>
            <a:rPr lang="en-US" sz="1100" baseline="0"/>
            <a:t>Ve = Portfolio Value at the end of period</a:t>
          </a:r>
        </a:p>
        <a:p>
          <a:r>
            <a:rPr lang="en-US" sz="1100"/>
            <a:t>Sum(CF) = Summation of all the Cashflows in the period</a:t>
          </a:r>
        </a:p>
        <a:p>
          <a:r>
            <a:rPr lang="en-US" sz="1100"/>
            <a:t>W</a:t>
          </a:r>
          <a:r>
            <a:rPr lang="en-US" sz="1100" baseline="0"/>
            <a:t> = Wieght of Cashflow = (De-Dc)/De</a:t>
          </a:r>
        </a:p>
        <a:p>
          <a:r>
            <a:rPr lang="en-US" sz="1100" baseline="0"/>
            <a:t>De = Total calendar days in the period</a:t>
          </a:r>
        </a:p>
        <a:p>
          <a:r>
            <a:rPr lang="en-US" sz="1100" baseline="0"/>
            <a:t>Dc = Total Calendar days from start of period till the cashflow </a:t>
          </a: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22" displayName="Table22" ref="A8:B25" totalsRowShown="0" tableBorderDxfId="9">
  <autoFilter ref="A8:B25"/>
  <tableColumns count="2">
    <tableColumn id="1" name="Date" dataDxfId="8"/>
    <tableColumn id="2" name="CashFlow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45" displayName="Table45" ref="D8:J25" totalsRowShown="0" tableBorderDxfId="7">
  <autoFilter ref="D8:J25"/>
  <tableColumns count="7">
    <tableColumn id="1" name="Date" dataDxfId="6"/>
    <tableColumn id="2" name="ExpectedReturn" dataDxfId="5"/>
    <tableColumn id="17" name="EffectiveHWM" dataDxfId="4"/>
    <tableColumn id="3" name="MarketValue" dataDxfId="3"/>
    <tableColumn id="6" name="BillableAmount" dataDxfId="2">
      <calculatedColumnFormula>IF(I9&gt;0, IF(G9&gt;F9, (G9-F9), 0), 0)</calculatedColumnFormula>
    </tableColumn>
    <tableColumn id="9" name="IsBillDate" dataDxfId="1"/>
    <tableColumn id="8" name="Bill (@10%)" dataDxfId="0">
      <calculatedColumnFormula>IF(Table45[[#This Row],[IsBillDate]], Table45[[#This Row],[BillableAmount]]*0.1, 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workbookViewId="0">
      <selection activeCell="Q27" sqref="Q27"/>
    </sheetView>
  </sheetViews>
  <sheetFormatPr defaultRowHeight="15" x14ac:dyDescent="0.25"/>
  <cols>
    <col min="1" max="1" width="11" customWidth="1"/>
    <col min="2" max="2" width="12.140625" customWidth="1"/>
    <col min="3" max="3" width="13" customWidth="1"/>
    <col min="4" max="4" width="13.28515625" customWidth="1"/>
    <col min="5" max="5" width="17.7109375" customWidth="1"/>
    <col min="6" max="6" width="16.28515625" customWidth="1"/>
    <col min="7" max="7" width="19.42578125" customWidth="1"/>
    <col min="8" max="9" width="17.140625" customWidth="1"/>
    <col min="10" max="10" width="12.42578125" customWidth="1"/>
    <col min="11" max="11" width="12.28515625" customWidth="1"/>
    <col min="12" max="13" width="22" customWidth="1"/>
    <col min="14" max="14" width="16.140625" customWidth="1"/>
    <col min="15" max="15" width="14.85546875" customWidth="1"/>
    <col min="16" max="16" width="15.140625" customWidth="1"/>
    <col min="17" max="17" width="17" customWidth="1"/>
    <col min="18" max="18" width="24.28515625" customWidth="1"/>
    <col min="19" max="19" width="13.28515625" customWidth="1"/>
    <col min="20" max="20" width="10.140625" customWidth="1"/>
    <col min="21" max="21" width="10.28515625" customWidth="1"/>
    <col min="22" max="23" width="14.5703125" customWidth="1"/>
    <col min="24" max="24" width="12.7109375" customWidth="1"/>
    <col min="25" max="25" width="12" customWidth="1"/>
    <col min="26" max="26" width="8.7109375" customWidth="1"/>
    <col min="28" max="28" width="13.28515625" customWidth="1"/>
    <col min="29" max="29" width="11.85546875" customWidth="1"/>
    <col min="30" max="30" width="11.42578125" customWidth="1"/>
    <col min="31" max="31" width="13.140625" customWidth="1"/>
  </cols>
  <sheetData>
    <row r="1" spans="1:17" ht="15" customHeight="1" x14ac:dyDescent="0.25">
      <c r="A1" s="16" t="s">
        <v>20</v>
      </c>
      <c r="B1" s="16"/>
      <c r="C1" s="16"/>
      <c r="D1" s="16"/>
      <c r="E1" s="16"/>
      <c r="F1" s="16"/>
      <c r="G1" s="16"/>
      <c r="H1" s="16"/>
      <c r="I1" s="16"/>
    </row>
    <row r="2" spans="1:17" ht="15" customHeight="1" x14ac:dyDescent="0.25">
      <c r="A2" s="16"/>
      <c r="B2" s="16"/>
      <c r="C2" s="16"/>
      <c r="D2" s="16"/>
      <c r="E2" s="16"/>
      <c r="F2" s="16"/>
      <c r="G2" s="16"/>
      <c r="H2" s="16"/>
      <c r="I2" s="16"/>
    </row>
    <row r="4" spans="1:17" x14ac:dyDescent="0.25">
      <c r="A4" s="6" t="s">
        <v>0</v>
      </c>
      <c r="B4" s="7">
        <v>0.1</v>
      </c>
      <c r="D4" s="2" t="s">
        <v>5</v>
      </c>
      <c r="E4" s="2">
        <f>POWER((1+B4), 1/365)</f>
        <v>1.0002611578760678</v>
      </c>
      <c r="F4" s="9"/>
    </row>
    <row r="5" spans="1:17" x14ac:dyDescent="0.25">
      <c r="A5" s="6"/>
      <c r="B5" s="7"/>
      <c r="D5" s="2"/>
      <c r="E5" s="2"/>
      <c r="F5" s="9"/>
    </row>
    <row r="6" spans="1:17" x14ac:dyDescent="0.25">
      <c r="F6" s="9"/>
    </row>
    <row r="7" spans="1:17" x14ac:dyDescent="0.25">
      <c r="A7" s="21" t="s">
        <v>18</v>
      </c>
      <c r="B7" s="21"/>
      <c r="D7" s="21" t="s">
        <v>21</v>
      </c>
      <c r="E7" s="21"/>
      <c r="F7" s="21"/>
      <c r="G7" s="21"/>
      <c r="H7" s="21"/>
      <c r="I7" s="21"/>
      <c r="J7" s="21"/>
      <c r="M7" s="17" t="s">
        <v>12</v>
      </c>
      <c r="N7" s="18"/>
      <c r="O7" s="18"/>
      <c r="P7" s="18"/>
      <c r="Q7" s="19"/>
    </row>
    <row r="8" spans="1:17" x14ac:dyDescent="0.25">
      <c r="A8" s="1" t="s">
        <v>1</v>
      </c>
      <c r="B8" s="1" t="s">
        <v>6</v>
      </c>
      <c r="D8" s="10" t="s">
        <v>1</v>
      </c>
      <c r="E8" s="1" t="s">
        <v>7</v>
      </c>
      <c r="F8" s="1" t="s">
        <v>17</v>
      </c>
      <c r="G8" s="1" t="s">
        <v>2</v>
      </c>
      <c r="H8" s="1" t="s">
        <v>8</v>
      </c>
      <c r="I8" s="1" t="s">
        <v>4</v>
      </c>
      <c r="J8" t="s">
        <v>9</v>
      </c>
      <c r="M8" s="25" t="s">
        <v>13</v>
      </c>
      <c r="N8" s="26" t="s">
        <v>15</v>
      </c>
      <c r="O8" s="26" t="s">
        <v>14</v>
      </c>
      <c r="P8" s="26" t="s">
        <v>3</v>
      </c>
      <c r="Q8" s="27" t="s">
        <v>10</v>
      </c>
    </row>
    <row r="9" spans="1:17" x14ac:dyDescent="0.25">
      <c r="A9" s="3">
        <v>36892</v>
      </c>
      <c r="B9" s="1">
        <v>100000</v>
      </c>
      <c r="D9" s="4">
        <v>36892</v>
      </c>
      <c r="E9" s="8">
        <f>B9</f>
        <v>100000</v>
      </c>
      <c r="F9" s="8">
        <v>100000</v>
      </c>
      <c r="G9" s="8">
        <v>100000</v>
      </c>
      <c r="H9" s="8">
        <f>IF(I9&gt;0, IF(G9&gt;F9, (G9-F9), 0), 0)</f>
        <v>0</v>
      </c>
      <c r="I9" s="11">
        <v>0</v>
      </c>
      <c r="J9" s="8">
        <f>IF(Table45[[#This Row],[IsBillDate]], Table45[[#This Row],[BillableAmount]]*0.1, 0)</f>
        <v>0</v>
      </c>
      <c r="M9" s="13"/>
      <c r="Q9" s="12"/>
    </row>
    <row r="10" spans="1:17" x14ac:dyDescent="0.25">
      <c r="A10" s="3">
        <v>36923</v>
      </c>
      <c r="B10" s="1">
        <v>0</v>
      </c>
      <c r="D10" s="5">
        <v>36923</v>
      </c>
      <c r="E10" s="8">
        <f xml:space="preserve"> (E9*POWER($E$4,A10-A9)+B10)</f>
        <v>100812.76889668549</v>
      </c>
      <c r="F10" s="8">
        <f>E10+SUM($H$9:H9)</f>
        <v>100812.76889668549</v>
      </c>
      <c r="G10" s="8">
        <v>100000</v>
      </c>
      <c r="H10" s="8">
        <f>IF(I10&gt;0, IF(G10&gt;F10, (G10-F10), 0), 0)</f>
        <v>0</v>
      </c>
      <c r="I10" s="11">
        <v>0</v>
      </c>
      <c r="J10" s="8">
        <f>IF(Table45[[#This Row],[IsBillDate]], Table45[[#This Row],[BillableAmount]]*0.1, 0)</f>
        <v>0</v>
      </c>
      <c r="M10" s="13"/>
      <c r="N10" s="1"/>
      <c r="O10" s="1"/>
      <c r="P10" s="1"/>
      <c r="Q10" s="12"/>
    </row>
    <row r="11" spans="1:17" x14ac:dyDescent="0.25">
      <c r="A11" s="3">
        <v>36951</v>
      </c>
      <c r="B11" s="1">
        <v>0</v>
      </c>
      <c r="D11" s="4">
        <v>36951</v>
      </c>
      <c r="E11" s="8">
        <f xml:space="preserve"> (E10*POWER($E$4,A11-A10)+B11)</f>
        <v>101552.55919365103</v>
      </c>
      <c r="F11" s="8">
        <f>E11+SUM($H$9:H10)</f>
        <v>101552.55919365103</v>
      </c>
      <c r="G11" s="8">
        <v>102000</v>
      </c>
      <c r="H11" s="8">
        <f>IF(I11&gt;0, IF(G11&gt;F11, (G11-F11), 0), 0)</f>
        <v>447.44080634896818</v>
      </c>
      <c r="I11" s="11">
        <v>1</v>
      </c>
      <c r="J11" s="22">
        <f>IF(Table45[[#This Row],[IsBillDate]], Table45[[#This Row],[BillableAmount]]*0.1, 0)</f>
        <v>44.744080634896818</v>
      </c>
      <c r="M11" s="13">
        <f>(G11-G9-SUM(B10:B11))/(G9)</f>
        <v>0.02</v>
      </c>
      <c r="N11" s="1">
        <f>POWER(E4, (A11-A9))-1</f>
        <v>1.5525591936510041E-2</v>
      </c>
      <c r="O11" s="1">
        <f>M11-N11</f>
        <v>4.474408063489959E-3</v>
      </c>
      <c r="P11" s="1">
        <f>O11*G9</f>
        <v>447.44080634899592</v>
      </c>
      <c r="Q11" s="12">
        <f>IF(P11&gt;0, P11*0.1, 0)</f>
        <v>44.744080634899596</v>
      </c>
    </row>
    <row r="12" spans="1:17" x14ac:dyDescent="0.25">
      <c r="A12" s="3">
        <v>36982</v>
      </c>
      <c r="B12" s="1">
        <v>0</v>
      </c>
      <c r="D12" s="5">
        <v>36982</v>
      </c>
      <c r="E12" s="8">
        <f xml:space="preserve"> (E11*POWER($E$4,A12-A11)+B12)</f>
        <v>102377.94680856515</v>
      </c>
      <c r="F12" s="8">
        <f>E12+SUM($H$9:H11)</f>
        <v>102825.38761491411</v>
      </c>
      <c r="G12" s="8">
        <v>102400</v>
      </c>
      <c r="H12" s="8">
        <f>IF(I12&gt;0, IF(G12&gt;F12, (G12-F12), 0), 0)</f>
        <v>0</v>
      </c>
      <c r="I12" s="11">
        <v>0</v>
      </c>
      <c r="J12" s="8">
        <f>IF(Table45[[#This Row],[IsBillDate]], Table45[[#This Row],[BillableAmount]]*0.1, 0)</f>
        <v>0</v>
      </c>
      <c r="M12" s="13"/>
      <c r="N12" s="1"/>
      <c r="O12" s="1"/>
      <c r="P12" s="1"/>
      <c r="Q12" s="12"/>
    </row>
    <row r="13" spans="1:17" x14ac:dyDescent="0.25">
      <c r="A13" s="3">
        <v>37012</v>
      </c>
      <c r="B13" s="1">
        <v>0</v>
      </c>
      <c r="D13" s="4">
        <v>37012</v>
      </c>
      <c r="E13" s="8">
        <f xml:space="preserve"> (E12*POWER($E$4,A13-A12)+B13)</f>
        <v>103183.09583913488</v>
      </c>
      <c r="F13" s="8">
        <f>E13+SUM($H$9:H12)</f>
        <v>103630.53664548385</v>
      </c>
      <c r="G13" s="8">
        <v>103200</v>
      </c>
      <c r="H13" s="8">
        <f>IF(I13&gt;0, IF(G13&gt;F13, (G13-F13), 0), 0)</f>
        <v>0</v>
      </c>
      <c r="I13" s="11">
        <v>0</v>
      </c>
      <c r="J13" s="8">
        <f>IF(Table45[[#This Row],[IsBillDate]], Table45[[#This Row],[BillableAmount]]*0.1, 0)</f>
        <v>0</v>
      </c>
      <c r="M13" s="13"/>
      <c r="N13" s="1"/>
      <c r="O13" s="1"/>
      <c r="P13" s="1"/>
      <c r="Q13" s="12"/>
    </row>
    <row r="14" spans="1:17" x14ac:dyDescent="0.25">
      <c r="A14" s="3">
        <v>37043</v>
      </c>
      <c r="B14" s="1">
        <v>0</v>
      </c>
      <c r="D14" s="5">
        <v>37043</v>
      </c>
      <c r="E14" s="8">
        <f xml:space="preserve"> (E13*POWER($E$4,A14-A13)+B14)</f>
        <v>104021.73594875255</v>
      </c>
      <c r="F14" s="8">
        <f>E14+SUM($H$9:H13)</f>
        <v>104469.17675510152</v>
      </c>
      <c r="G14" s="8">
        <v>104500</v>
      </c>
      <c r="H14" s="8">
        <f>IF(I14&gt;0, IF(G14&gt;F14, (G14-F14), 0), 0)</f>
        <v>30.823244898478151</v>
      </c>
      <c r="I14" s="11">
        <v>1</v>
      </c>
      <c r="J14" s="22">
        <f>IF(Table45[[#This Row],[IsBillDate]], Table45[[#This Row],[BillableAmount]]*0.1, 0)</f>
        <v>3.0823244898478155</v>
      </c>
      <c r="M14" s="13">
        <f>(G14-G11-SUM(B12:B14))/(G11)</f>
        <v>2.4509803921568627E-2</v>
      </c>
      <c r="N14" s="1">
        <f>POWER(E4, (A14-A11))-1</f>
        <v>2.4314274053822471E-2</v>
      </c>
      <c r="O14" s="1">
        <f>M14-N14</f>
        <v>1.9552986774615602E-4</v>
      </c>
      <c r="P14" s="1">
        <f>O14*G11</f>
        <v>19.944046510107913</v>
      </c>
      <c r="Q14" s="12">
        <f t="shared" ref="Q14:Q25" si="0">IF(P14&gt;0, P14*0.1, 0)</f>
        <v>1.9944046510107913</v>
      </c>
    </row>
    <row r="15" spans="1:17" x14ac:dyDescent="0.25">
      <c r="A15" s="3">
        <v>37067</v>
      </c>
      <c r="B15" s="1">
        <v>10000</v>
      </c>
      <c r="D15" s="4">
        <v>37067</v>
      </c>
      <c r="E15" s="8">
        <f xml:space="preserve"> (E14*POWER($E$4,A15-A14)+B15)</f>
        <v>114675.68411961017</v>
      </c>
      <c r="F15" s="8">
        <f>E15+SUM($H$9:H14)</f>
        <v>115153.94817085762</v>
      </c>
      <c r="G15" s="8">
        <v>113000</v>
      </c>
      <c r="H15" s="8">
        <f>IF(I15&gt;0, IF(G15&gt;F15, (G15-F15), 0), 0)</f>
        <v>0</v>
      </c>
      <c r="I15" s="11">
        <v>0</v>
      </c>
      <c r="J15" s="8">
        <f>IF(Table45[[#This Row],[IsBillDate]], Table45[[#This Row],[BillableAmount]]*0.1, 0)</f>
        <v>0</v>
      </c>
      <c r="M15" s="13"/>
      <c r="N15" s="1"/>
      <c r="O15" s="1"/>
      <c r="P15" s="1"/>
      <c r="Q15" s="12"/>
    </row>
    <row r="16" spans="1:17" x14ac:dyDescent="0.25">
      <c r="A16" s="3">
        <v>37073</v>
      </c>
      <c r="B16" s="1">
        <v>0</v>
      </c>
      <c r="D16" s="5">
        <v>37073</v>
      </c>
      <c r="E16" s="8">
        <f xml:space="preserve"> (E15*POWER($E$4,A16-A15)+B16)</f>
        <v>114855.49222821338</v>
      </c>
      <c r="F16" s="8">
        <f>E16+SUM($H$9:H15)</f>
        <v>115333.75627946082</v>
      </c>
      <c r="G16" s="8">
        <v>113000</v>
      </c>
      <c r="H16" s="8">
        <f>IF(I16&gt;0, IF(G16&gt;F16, (G16-F16), 0), 0)</f>
        <v>0</v>
      </c>
      <c r="I16" s="11">
        <v>0</v>
      </c>
      <c r="J16" s="8">
        <f>IF(Table45[[#This Row],[IsBillDate]], Table45[[#This Row],[BillableAmount]]*0.1, 0)</f>
        <v>0</v>
      </c>
      <c r="M16" s="13"/>
      <c r="N16" s="1"/>
      <c r="O16" s="1"/>
      <c r="P16" s="1"/>
      <c r="Q16" s="12"/>
    </row>
    <row r="17" spans="1:17" x14ac:dyDescent="0.25">
      <c r="A17" s="3">
        <v>37104</v>
      </c>
      <c r="B17" s="1">
        <v>0</v>
      </c>
      <c r="D17" s="4">
        <v>37104</v>
      </c>
      <c r="E17" s="8">
        <f xml:space="preserve"> (E16*POWER($E$4,A17-A16)+B17)</f>
        <v>115789.00194517932</v>
      </c>
      <c r="F17" s="8">
        <f>E17+SUM($H$9:H16)</f>
        <v>116267.26599642677</v>
      </c>
      <c r="G17" s="8">
        <v>113000</v>
      </c>
      <c r="H17" s="8">
        <f>IF(I17&gt;0, IF(G17&gt;F17, (G17-F17), 0), 0)</f>
        <v>0</v>
      </c>
      <c r="I17" s="11">
        <v>0</v>
      </c>
      <c r="J17" s="8">
        <f>IF(Table45[[#This Row],[IsBillDate]], Table45[[#This Row],[BillableAmount]]*0.1, 0)</f>
        <v>0</v>
      </c>
      <c r="M17" s="13"/>
      <c r="N17" s="1"/>
      <c r="O17" s="1"/>
      <c r="P17" s="1"/>
      <c r="Q17" s="12"/>
    </row>
    <row r="18" spans="1:17" x14ac:dyDescent="0.25">
      <c r="A18" s="3">
        <v>37135</v>
      </c>
      <c r="B18" s="1">
        <v>0</v>
      </c>
      <c r="D18" s="5">
        <v>37135</v>
      </c>
      <c r="E18" s="8">
        <f xml:space="preserve"> (E17*POWER($E$4,A18-A17)+B18)</f>
        <v>116730.09893877229</v>
      </c>
      <c r="F18" s="8">
        <f>E18+SUM($H$9:H17)</f>
        <v>117208.36299001974</v>
      </c>
      <c r="G18" s="8">
        <v>119000</v>
      </c>
      <c r="H18" s="8">
        <f>IF(I18&gt;0, IF(G18&gt;F18, (G18-F18), 0), 0)</f>
        <v>1791.6370099802589</v>
      </c>
      <c r="I18" s="11">
        <v>1</v>
      </c>
      <c r="J18" s="22">
        <f>IF(Table45[[#This Row],[IsBillDate]], Table45[[#This Row],[BillableAmount]]*0.1, 0)</f>
        <v>179.16370099802589</v>
      </c>
      <c r="M18" s="13">
        <f>(G18-G14-SUM(B14:B18))/(G14+(B15*((A18-A14)-(A15-A14))/(A18-A14)))</f>
        <v>4.0217602486885565E-2</v>
      </c>
      <c r="N18" s="1">
        <f>POWER(E4, (A18-A14))-1</f>
        <v>2.4314274053822471E-2</v>
      </c>
      <c r="O18" s="1">
        <f>M18-N18</f>
        <v>1.5903328433063094E-2</v>
      </c>
      <c r="P18" s="1">
        <f>O18*G14</f>
        <v>1661.8978212550933</v>
      </c>
      <c r="Q18" s="12">
        <f t="shared" si="0"/>
        <v>166.18978212550934</v>
      </c>
    </row>
    <row r="19" spans="1:17" x14ac:dyDescent="0.25">
      <c r="A19" s="3">
        <v>37165</v>
      </c>
      <c r="B19" s="1">
        <v>0</v>
      </c>
      <c r="D19" s="4">
        <v>37165</v>
      </c>
      <c r="E19" s="8">
        <f xml:space="preserve"> (E18*POWER($E$4,A19-A18)+B19)</f>
        <v>117648.12014283691</v>
      </c>
      <c r="F19" s="8">
        <f>E19+SUM($H$9:H18)</f>
        <v>119918.02120406461</v>
      </c>
      <c r="G19" s="8">
        <v>118000</v>
      </c>
      <c r="H19" s="8">
        <f>IF(I19&gt;0, IF(G19&gt;F19, (G19-F19), 0), 0)</f>
        <v>0</v>
      </c>
      <c r="I19" s="11">
        <v>0</v>
      </c>
      <c r="J19" s="8">
        <f>IF(Table45[[#This Row],[IsBillDate]], Table45[[#This Row],[BillableAmount]]*0.1, 0)</f>
        <v>0</v>
      </c>
      <c r="M19" s="13"/>
      <c r="N19" s="1"/>
      <c r="O19" s="1"/>
      <c r="P19" s="1"/>
      <c r="Q19" s="12"/>
    </row>
    <row r="20" spans="1:17" x14ac:dyDescent="0.25">
      <c r="A20" s="3">
        <v>37196</v>
      </c>
      <c r="B20" s="1">
        <v>0</v>
      </c>
      <c r="D20" s="5">
        <v>37196</v>
      </c>
      <c r="E20" s="8">
        <f xml:space="preserve"> (E19*POWER($E$4,A20-A19)+B20)</f>
        <v>118604.32747089307</v>
      </c>
      <c r="F20" s="8">
        <f>E20+SUM($H$9:H19)</f>
        <v>120874.22853212077</v>
      </c>
      <c r="G20" s="8">
        <v>120000</v>
      </c>
      <c r="H20" s="8">
        <f>IF(I20&gt;0, IF(G20&gt;F20, (G20-F20), 0), 0)</f>
        <v>0</v>
      </c>
      <c r="I20" s="11">
        <v>0</v>
      </c>
      <c r="J20" s="8">
        <f>IF(Table45[[#This Row],[IsBillDate]], Table45[[#This Row],[BillableAmount]]*0.1, 0)</f>
        <v>0</v>
      </c>
      <c r="M20" s="13"/>
      <c r="N20" s="1"/>
      <c r="O20" s="1"/>
      <c r="P20" s="1"/>
      <c r="Q20" s="12"/>
    </row>
    <row r="21" spans="1:17" x14ac:dyDescent="0.25">
      <c r="A21" s="3">
        <v>37205</v>
      </c>
      <c r="B21" s="1">
        <v>30000</v>
      </c>
      <c r="D21" s="4">
        <v>37205</v>
      </c>
      <c r="E21" s="8">
        <f xml:space="preserve"> (E20*POWER($E$4,A21-A20)+B21)</f>
        <v>148883.38894872746</v>
      </c>
      <c r="F21" s="8">
        <f>E21+SUM($H$9:H20)</f>
        <v>151153.29000995518</v>
      </c>
      <c r="G21" s="8">
        <v>149000</v>
      </c>
      <c r="H21" s="8">
        <f>IF(I21&gt;0, IF(G21&gt;F21, (G21-F21), 0), 0)</f>
        <v>0</v>
      </c>
      <c r="I21" s="11">
        <v>0</v>
      </c>
      <c r="J21" s="8">
        <f>IF(Table45[[#This Row],[IsBillDate]], Table45[[#This Row],[BillableAmount]]*0.1, 0)</f>
        <v>0</v>
      </c>
      <c r="M21" s="13"/>
      <c r="N21" s="1"/>
      <c r="O21" s="1"/>
      <c r="P21" s="1"/>
      <c r="Q21" s="12"/>
    </row>
    <row r="22" spans="1:17" x14ac:dyDescent="0.25">
      <c r="A22" s="3">
        <v>37226</v>
      </c>
      <c r="B22" s="1">
        <v>-10000</v>
      </c>
      <c r="D22" s="5">
        <v>37226</v>
      </c>
      <c r="E22" s="8">
        <f xml:space="preserve"> (E21*POWER($E$4,A22-A21)+B22)</f>
        <v>139702.04835765518</v>
      </c>
      <c r="F22" s="8">
        <f>E22+SUM($H$9:H21)</f>
        <v>141971.9494188829</v>
      </c>
      <c r="G22" s="8">
        <v>139000</v>
      </c>
      <c r="H22" s="8">
        <f>IF(I22&gt;0, IF(G22&gt;F22, (G22-F22), 0), 0)</f>
        <v>0</v>
      </c>
      <c r="I22" s="11">
        <v>1</v>
      </c>
      <c r="J22" s="8">
        <f>IF(Table45[[#This Row],[IsBillDate]], Table45[[#This Row],[BillableAmount]]*0.1, 0)</f>
        <v>0</v>
      </c>
      <c r="M22" s="13">
        <f>(G22-G18-SUM(B18:B21))/(G18+SUM(B21*((A22-A18)-(A21-A18))/(A22-A18), B22*((A22-A18)-(A22-A18))/(A22-A18)))</f>
        <v>-7.9413561392791696E-2</v>
      </c>
      <c r="N22" s="1">
        <f>POWER(E4, (A22-A18))-1</f>
        <v>2.4046836157098017E-2</v>
      </c>
      <c r="O22" s="1">
        <f>M22-N22</f>
        <v>-0.10346039754988971</v>
      </c>
      <c r="P22" s="1">
        <f>O22*G18</f>
        <v>-12311.787308436877</v>
      </c>
      <c r="Q22" s="12">
        <f t="shared" si="0"/>
        <v>0</v>
      </c>
    </row>
    <row r="23" spans="1:17" x14ac:dyDescent="0.25">
      <c r="A23" s="3">
        <v>37257</v>
      </c>
      <c r="B23" s="1">
        <v>0</v>
      </c>
      <c r="D23" s="4">
        <v>37257</v>
      </c>
      <c r="E23" s="8">
        <f xml:space="preserve"> (E22*POWER($E$4,A23-A22)+B23)</f>
        <v>140837.50315473872</v>
      </c>
      <c r="F23" s="8">
        <f>E23+SUM($H$9:H22)</f>
        <v>143107.40421596641</v>
      </c>
      <c r="G23" s="8">
        <v>145000</v>
      </c>
      <c r="H23" s="8">
        <f>IF(I23&gt;0, IF(G23&gt;F23, (G23-F23), 0), 0)</f>
        <v>0</v>
      </c>
      <c r="I23" s="11">
        <v>0</v>
      </c>
      <c r="J23" s="8">
        <f>IF(Table45[[#This Row],[IsBillDate]], Table45[[#This Row],[BillableAmount]]*0.1, 0)</f>
        <v>0</v>
      </c>
      <c r="M23" s="13"/>
      <c r="N23" s="1"/>
      <c r="O23" s="1"/>
      <c r="P23" s="1"/>
      <c r="Q23" s="12"/>
    </row>
    <row r="24" spans="1:17" x14ac:dyDescent="0.25">
      <c r="A24" s="3">
        <v>37288</v>
      </c>
      <c r="B24" s="1">
        <v>0</v>
      </c>
      <c r="D24" s="5">
        <v>37288</v>
      </c>
      <c r="E24" s="8">
        <f xml:space="preserve"> (E23*POWER($E$4,A24-A23)+B24)</f>
        <v>141982.18657524887</v>
      </c>
      <c r="F24" s="8">
        <f>E24+SUM($H$9:H23)</f>
        <v>144252.08763647656</v>
      </c>
      <c r="G24" s="8">
        <v>145000</v>
      </c>
      <c r="H24" s="8">
        <f>IF(I24&gt;0, IF(G24&gt;F24, (G24-F24), 0), 0)</f>
        <v>0</v>
      </c>
      <c r="I24" s="11">
        <v>0</v>
      </c>
      <c r="J24" s="8">
        <f>IF(Table45[[#This Row],[IsBillDate]], Table45[[#This Row],[BillableAmount]]*0.1, 0)</f>
        <v>0</v>
      </c>
      <c r="M24" s="13"/>
      <c r="N24" s="1"/>
      <c r="O24" s="1"/>
      <c r="P24" s="1"/>
      <c r="Q24" s="12"/>
    </row>
    <row r="25" spans="1:17" x14ac:dyDescent="0.25">
      <c r="A25" s="3">
        <v>37316</v>
      </c>
      <c r="B25" s="1">
        <v>0</v>
      </c>
      <c r="D25" s="4">
        <v>37316</v>
      </c>
      <c r="E25" s="8">
        <f xml:space="preserve"> (E24*POWER($E$4,A25-A24)+B25)</f>
        <v>143024.08875807616</v>
      </c>
      <c r="F25" s="8">
        <f>E25+SUM($H$9:H24)</f>
        <v>145293.98981930385</v>
      </c>
      <c r="G25" s="8">
        <v>149000</v>
      </c>
      <c r="H25" s="8">
        <f>IF(I25&gt;0, IF(G25&gt;F25, (G25-F25), 0), 0)</f>
        <v>3706.0101806961466</v>
      </c>
      <c r="I25" s="11">
        <v>1</v>
      </c>
      <c r="J25" s="22">
        <f>IF(Table45[[#This Row],[IsBillDate]], Table45[[#This Row],[BillableAmount]]*0.1, 0)</f>
        <v>370.60101806961467</v>
      </c>
      <c r="M25" s="13">
        <f>(G25-(G18)-SUM(B18:B25))/((G18+SUM(B21*((A25-A18)-(A21-A18))/(A25-A18),B22*((A25-A18)-(A22-A18))/(A25-A18))))</f>
        <v>7.5514205849221902E-2</v>
      </c>
      <c r="N25" s="1">
        <f>POWER(E4, (A25-A18))-1</f>
        <v>4.8398125215706633E-2</v>
      </c>
      <c r="O25" s="1">
        <f>M25-N25</f>
        <v>2.7116080633515269E-2</v>
      </c>
      <c r="P25" s="1">
        <f>O25*G22</f>
        <v>3769.1352080586225</v>
      </c>
      <c r="Q25" s="12">
        <f t="shared" si="0"/>
        <v>376.91352080586228</v>
      </c>
    </row>
    <row r="26" spans="1:17" x14ac:dyDescent="0.25">
      <c r="H26" t="s">
        <v>16</v>
      </c>
      <c r="J26" s="20">
        <f>SUM(Table45[Bill (@10%)])</f>
        <v>597.59112419238522</v>
      </c>
      <c r="M26" s="23" t="s">
        <v>19</v>
      </c>
      <c r="N26" s="1"/>
      <c r="O26" s="1"/>
      <c r="P26" s="1"/>
      <c r="Q26" s="12"/>
    </row>
    <row r="27" spans="1:17" x14ac:dyDescent="0.25">
      <c r="M27" s="24">
        <f>(G25-(G9)-SUM(B10:B25))/((G9+SUM(B15*((A25-A9)-(A15-A9))/(A25-A9), B21*((A25-A9)-(A21-A9))/(A25-A9), B22*((A25-A9)-(A22-A9))/(A25-A9))))</f>
        <v>0.17024513947590869</v>
      </c>
      <c r="N27" s="15"/>
      <c r="O27" s="15"/>
      <c r="P27" s="15" t="s">
        <v>11</v>
      </c>
      <c r="Q27" s="14">
        <f>SUM(Q11:Q25)</f>
        <v>589.84178821728199</v>
      </c>
    </row>
  </sheetData>
  <mergeCells count="4">
    <mergeCell ref="A1:I2"/>
    <mergeCell ref="A7:B7"/>
    <mergeCell ref="D7:J7"/>
    <mergeCell ref="M7:Q7"/>
  </mergeCells>
  <pageMargins left="0.7" right="0.7" top="0.75" bottom="0.75" header="0.3" footer="0.3"/>
  <pageSetup orientation="portrait" horizontalDpi="429496729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2015-06-26T10:55:32Z</dcterms:created>
  <dcterms:modified xsi:type="dcterms:W3CDTF">2015-07-08T10:29:23Z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e4fd228c-bbd1-4840-b350-8a2a4867cdfe</vt:lpwstr>
  </property>
</Properties>
</file>