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ul\Documents\MMF\Billing&amp;Settlemen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8" i="1" l="1"/>
  <c r="L45" i="1"/>
  <c r="L41" i="1"/>
  <c r="L37" i="1"/>
  <c r="L34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32" i="1"/>
  <c r="H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32" i="1"/>
  <c r="I8" i="1"/>
  <c r="I10" i="1"/>
  <c r="I11" i="1"/>
  <c r="I13" i="1"/>
  <c r="I14" i="1"/>
  <c r="I15" i="1"/>
  <c r="I17" i="1"/>
  <c r="I18" i="1"/>
  <c r="I19" i="1"/>
  <c r="I21" i="1"/>
  <c r="I22" i="1"/>
  <c r="I7" i="1"/>
  <c r="F23" i="1"/>
  <c r="F22" i="1"/>
  <c r="F21" i="1"/>
  <c r="F18" i="1"/>
  <c r="F17" i="1"/>
  <c r="F16" i="1"/>
  <c r="F15" i="1"/>
  <c r="F14" i="1"/>
  <c r="F12" i="1"/>
  <c r="F11" i="1"/>
  <c r="F10" i="1"/>
  <c r="F9" i="1"/>
  <c r="F8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G8" i="1"/>
  <c r="J8" i="1" s="1"/>
  <c r="G9" i="1"/>
  <c r="G10" i="1"/>
  <c r="J10" i="1" s="1"/>
  <c r="G11" i="1"/>
  <c r="J11" i="1" s="1"/>
  <c r="G12" i="1"/>
  <c r="G14" i="1"/>
  <c r="J14" i="1" s="1"/>
  <c r="G15" i="1"/>
  <c r="J15" i="1" s="1"/>
  <c r="G17" i="1"/>
  <c r="J17" i="1" s="1"/>
  <c r="G18" i="1"/>
  <c r="J18" i="1" s="1"/>
  <c r="G20" i="1"/>
  <c r="G21" i="1"/>
  <c r="J21" i="1" s="1"/>
  <c r="G22" i="1"/>
  <c r="J22" i="1" s="1"/>
  <c r="G23" i="1"/>
  <c r="H7" i="1"/>
  <c r="F13" i="1"/>
  <c r="F19" i="1"/>
  <c r="F20" i="1"/>
  <c r="F7" i="1"/>
  <c r="H3" i="1"/>
  <c r="I9" i="1" s="1"/>
  <c r="J9" i="1" s="1"/>
  <c r="L12" i="1" l="1"/>
  <c r="G16" i="1"/>
  <c r="I20" i="1"/>
  <c r="J20" i="1" s="1"/>
  <c r="L23" i="1" s="1"/>
  <c r="I12" i="1"/>
  <c r="J12" i="1" s="1"/>
  <c r="G13" i="1"/>
  <c r="J13" i="1" s="1"/>
  <c r="I23" i="1"/>
  <c r="J23" i="1" s="1"/>
  <c r="G7" i="1"/>
  <c r="J7" i="1" s="1"/>
  <c r="L9" i="1" s="1"/>
  <c r="I16" i="1"/>
  <c r="J16" i="1" s="1"/>
  <c r="G19" i="1"/>
  <c r="J19" i="1" s="1"/>
  <c r="L20" i="1" l="1"/>
  <c r="L16" i="1"/>
</calcChain>
</file>

<file path=xl/comments1.xml><?xml version="1.0" encoding="utf-8"?>
<comments xmlns="http://schemas.openxmlformats.org/spreadsheetml/2006/main">
  <authors>
    <author>rahul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Total Management Fees to be considered for advisory settlements at the end of quarter.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On the day contract starts we need to charge for the remaining days in quarter on prorata base.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Total Management Fees to be considered for advisory settlements at the end of quarter.</t>
        </r>
      </text>
    </comment>
    <comment ref="J48" authorId="0" shapeId="0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On Contract End Date or last billing date, we need not charge management fees, as we have already charge for the period the portfolio was active.</t>
        </r>
      </text>
    </comment>
  </commentList>
</comments>
</file>

<file path=xl/sharedStrings.xml><?xml version="1.0" encoding="utf-8"?>
<sst xmlns="http://schemas.openxmlformats.org/spreadsheetml/2006/main" count="28" uniqueCount="23">
  <si>
    <t>CashFlows</t>
  </si>
  <si>
    <t>Date</t>
  </si>
  <si>
    <t>CashFlow</t>
  </si>
  <si>
    <t xml:space="preserve">Management Fee = </t>
  </si>
  <si>
    <t>Annually</t>
  </si>
  <si>
    <t>=</t>
  </si>
  <si>
    <t>Days to Quarter End</t>
  </si>
  <si>
    <t>ManagementFee</t>
  </si>
  <si>
    <t>IsQuarterEnd</t>
  </si>
  <si>
    <t>ManagementFeeonCurrentCF</t>
  </si>
  <si>
    <t>TotalAllocatedFund</t>
  </si>
  <si>
    <t>Daily</t>
  </si>
  <si>
    <t>QuarterlyManagementFee</t>
  </si>
  <si>
    <t>ActualBillsGenerated</t>
  </si>
  <si>
    <t>MngFeeForAdvSettlement</t>
  </si>
  <si>
    <t>For Variable Management Fee i.e. (x% of AUM option in contract)</t>
  </si>
  <si>
    <t>For Fixed Management Fee</t>
  </si>
  <si>
    <t xml:space="preserve">Management Fee = Rs </t>
  </si>
  <si>
    <t>Charged Quarterly</t>
  </si>
  <si>
    <t>IsContractStart</t>
  </si>
  <si>
    <t>IsContractEnd</t>
  </si>
  <si>
    <t>ContractStartEndFee</t>
  </si>
  <si>
    <t>ActualBillGenerated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</si>
</sst>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0" fillId="0" borderId="0" xfId="0" applyAlignment="1">
      <alignment horizontal="right"/>
    </xf>
    <xf numFmtId="0" fontId="0" fillId="0" borderId="0" xfId="0" applyNumberFormat="1" applyBorder="1"/>
    <xf numFmtId="0" fontId="0" fillId="3" borderId="0" xfId="0" applyFill="1"/>
    <xf numFmtId="9" fontId="0" fillId="3" borderId="0" xfId="0" applyNumberFormat="1" applyFill="1"/>
    <xf numFmtId="0" fontId="0" fillId="4" borderId="0" xfId="0" applyFill="1" applyAlignment="1">
      <alignment horizontal="right"/>
    </xf>
    <xf numFmtId="0" fontId="0" fillId="4" borderId="0" xfId="0" applyFill="1"/>
    <xf numFmtId="0" fontId="3" fillId="5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19" formatCode="m/d/yyyy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2" displayName="Table22" ref="C6:E23" totalsRowShown="0" tableBorderDxfId="5">
  <autoFilter ref="C6:E23"/>
  <tableColumns count="3">
    <tableColumn id="1" name="Date" dataDxfId="4"/>
    <tableColumn id="2" name="CashFlow"/>
    <tableColumn id="3" name="IsQuarterEn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6:J23" totalsRowShown="0" tableBorderDxfId="3">
  <autoFilter ref="F6:J23"/>
  <tableColumns count="5">
    <tableColumn id="1" name="Days to Quarter End" dataDxfId="2"/>
    <tableColumn id="2" name="ManagementFeeonCurrentCF">
      <calculatedColumnFormula>IF(D7&gt;0, D7*F7*$H$3,0)</calculatedColumnFormula>
    </tableColumn>
    <tableColumn id="3" name="TotalAllocatedFund">
      <calculatedColumnFormula>SUM($D$7:D7)</calculatedColumnFormula>
    </tableColumn>
    <tableColumn id="4" name="QuarterlyManagementFee">
      <calculatedColumnFormula>IF(E7, H7*F7*$H$3,0)</calculatedColumnFormula>
    </tableColumn>
    <tableColumn id="5" name="ActualBillsGenerated">
      <calculatedColumnFormula>IF(E7, I7,G7)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L6:L23" totalsRowShown="0">
  <autoFilter ref="L6:L23"/>
  <tableColumns count="1">
    <tableColumn id="1" name="MngFeeForAdvSettlement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5" name="Table226" displayName="Table226" ref="C31:J48" totalsRowShown="0" tableBorderDxfId="1">
  <autoFilter ref="C31:J48"/>
  <tableColumns count="8">
    <tableColumn id="1" name="Date" dataDxfId="0"/>
    <tableColumn id="2" name="CashFlow"/>
    <tableColumn id="3" name="IsQuarterEnd"/>
    <tableColumn id="6" name="IsContractStart"/>
    <tableColumn id="7" name="IsContractEnd"/>
    <tableColumn id="5" name="ContractStartEndFee"/>
    <tableColumn id="4" name="ManagementFee">
      <calculatedColumnFormula>IF(Table226[[#This Row],[IsQuarterEnd]], 300, 0)</calculatedColumnFormula>
    </tableColumn>
    <tableColumn id="8" name="ActualBillGenerated">
      <calculatedColumnFormula>IF(Table226[[#This Row],[IsContractStart]], Table226[[#This Row],[ContractStartEndFee]], IF(Table226[[#This Row],[IsContractEnd]], Table226[[#This Row],[ContractStartEndFee]], Table226[[#This Row],[ManagementFee]]))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6" name="Table47" displayName="Table47" ref="L31:L48" totalsRowShown="0">
  <autoFilter ref="L31:L48"/>
  <tableColumns count="1">
    <tableColumn id="1" name="MngFeeForAdvSettlem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L48"/>
  <sheetViews>
    <sheetView tabSelected="1" topLeftCell="A34" workbookViewId="0">
      <selection activeCell="B52" sqref="B52"/>
    </sheetView>
  </sheetViews>
  <sheetFormatPr defaultRowHeight="15" x14ac:dyDescent="0.25"/>
  <cols>
    <col min="3" max="3" width="13.140625" customWidth="1"/>
    <col min="5" max="5" width="13.5703125" customWidth="1"/>
    <col min="6" max="6" width="20.5703125" customWidth="1"/>
    <col min="7" max="7" width="29.28515625" customWidth="1"/>
    <col min="8" max="8" width="20.42578125" customWidth="1"/>
    <col min="9" max="9" width="26.5703125" customWidth="1"/>
    <col min="10" max="10" width="21.85546875" customWidth="1"/>
    <col min="12" max="12" width="26.5703125" customWidth="1"/>
  </cols>
  <sheetData>
    <row r="1" spans="3:12" ht="21" x14ac:dyDescent="0.35">
      <c r="C1" s="10" t="s">
        <v>15</v>
      </c>
      <c r="D1" s="10"/>
      <c r="E1" s="10"/>
      <c r="F1" s="10"/>
      <c r="G1" s="10"/>
    </row>
    <row r="3" spans="3:12" x14ac:dyDescent="0.25">
      <c r="C3" s="6" t="s">
        <v>3</v>
      </c>
      <c r="D3" s="6"/>
      <c r="E3" s="7">
        <v>0.01</v>
      </c>
      <c r="F3" s="6" t="s">
        <v>4</v>
      </c>
      <c r="G3" s="8" t="s">
        <v>5</v>
      </c>
      <c r="H3" s="9">
        <f>E3/365</f>
        <v>2.7397260273972603E-5</v>
      </c>
      <c r="I3" s="9" t="s">
        <v>11</v>
      </c>
    </row>
    <row r="5" spans="3:12" x14ac:dyDescent="0.25">
      <c r="C5" s="1" t="s">
        <v>0</v>
      </c>
      <c r="D5" s="1"/>
    </row>
    <row r="6" spans="3:12" x14ac:dyDescent="0.25">
      <c r="C6" s="2" t="s">
        <v>1</v>
      </c>
      <c r="D6" s="2" t="s">
        <v>2</v>
      </c>
      <c r="E6" t="s">
        <v>8</v>
      </c>
      <c r="F6" s="2" t="s">
        <v>6</v>
      </c>
      <c r="G6" s="2" t="s">
        <v>9</v>
      </c>
      <c r="H6" s="2" t="s">
        <v>10</v>
      </c>
      <c r="I6" s="2" t="s">
        <v>12</v>
      </c>
      <c r="J6" s="2" t="s">
        <v>13</v>
      </c>
      <c r="L6" t="s">
        <v>14</v>
      </c>
    </row>
    <row r="7" spans="3:12" x14ac:dyDescent="0.25">
      <c r="C7" s="3">
        <v>36892</v>
      </c>
      <c r="D7" s="2">
        <v>100000</v>
      </c>
      <c r="E7">
        <v>0</v>
      </c>
      <c r="F7" s="5">
        <f>IF(D7&gt;0, C9-Table22[[#This Row],[Date]], 0)</f>
        <v>59</v>
      </c>
      <c r="G7" s="2">
        <f>IF(D7&gt;0, D7*F7*$H$3,0)</f>
        <v>161.64383561643837</v>
      </c>
      <c r="H7" s="2">
        <f>SUM($D$7:D7)</f>
        <v>100000</v>
      </c>
      <c r="I7" s="2">
        <f>IF(E7, H7*F7*$H$3,0)</f>
        <v>0</v>
      </c>
      <c r="J7" s="2">
        <f>IF(E7, I7,G7)</f>
        <v>161.64383561643837</v>
      </c>
    </row>
    <row r="8" spans="3:12" x14ac:dyDescent="0.25">
      <c r="C8" s="3">
        <v>36923</v>
      </c>
      <c r="D8" s="2">
        <v>0</v>
      </c>
      <c r="E8">
        <v>0</v>
      </c>
      <c r="F8" s="5">
        <f>C9-Table22[[#This Row],[Date]]</f>
        <v>28</v>
      </c>
      <c r="G8" s="2">
        <f>IF(D8&gt;0, D8*F8*$H$3,0)</f>
        <v>0</v>
      </c>
      <c r="H8" s="2">
        <f>SUM($D$7:D8)</f>
        <v>100000</v>
      </c>
      <c r="I8" s="2">
        <f>IF(E8, H8*F8*$H$3,0)</f>
        <v>0</v>
      </c>
      <c r="J8" s="2">
        <f t="shared" ref="J8:J23" si="0">IF(E8, I8,G8)</f>
        <v>0</v>
      </c>
    </row>
    <row r="9" spans="3:12" x14ac:dyDescent="0.25">
      <c r="C9" s="3">
        <v>36951</v>
      </c>
      <c r="D9" s="2">
        <v>0</v>
      </c>
      <c r="E9">
        <v>1</v>
      </c>
      <c r="F9" s="5">
        <f>C12-Table22[[#This Row],[Date]]</f>
        <v>92</v>
      </c>
      <c r="G9" s="2">
        <f>IF(D9&gt;0, D9*F9*$H$3,0)</f>
        <v>0</v>
      </c>
      <c r="H9" s="2">
        <f>SUM($D$7:D9)</f>
        <v>100000</v>
      </c>
      <c r="I9" s="2">
        <f>IF(E9, H9*F9*$H$3,0)</f>
        <v>252.05479452054794</v>
      </c>
      <c r="J9" s="2">
        <f t="shared" si="0"/>
        <v>252.05479452054794</v>
      </c>
      <c r="L9">
        <f>SUM(J7:J8)</f>
        <v>161.64383561643837</v>
      </c>
    </row>
    <row r="10" spans="3:12" x14ac:dyDescent="0.25">
      <c r="C10" s="3">
        <v>36982</v>
      </c>
      <c r="D10" s="2">
        <v>0</v>
      </c>
      <c r="E10">
        <v>0</v>
      </c>
      <c r="F10" s="5">
        <f>C12-Table22[[#This Row],[Date]]</f>
        <v>61</v>
      </c>
      <c r="G10" s="2">
        <f>IF(D10&gt;0, D10*F10*$H$3,0)</f>
        <v>0</v>
      </c>
      <c r="H10" s="2">
        <f>SUM($D$7:D10)</f>
        <v>100000</v>
      </c>
      <c r="I10" s="2">
        <f>IF(E10, H10*F10*$H$3,0)</f>
        <v>0</v>
      </c>
      <c r="J10" s="2">
        <f t="shared" si="0"/>
        <v>0</v>
      </c>
    </row>
    <row r="11" spans="3:12" x14ac:dyDescent="0.25">
      <c r="C11" s="3">
        <v>37012</v>
      </c>
      <c r="D11" s="2">
        <v>0</v>
      </c>
      <c r="E11">
        <v>0</v>
      </c>
      <c r="F11" s="5">
        <f>C12-Table22[[#This Row],[Date]]</f>
        <v>31</v>
      </c>
      <c r="G11" s="2">
        <f>IF(D11&gt;0, D11*F11*$H$3,0)</f>
        <v>0</v>
      </c>
      <c r="H11" s="2">
        <f>SUM($D$7:D11)</f>
        <v>100000</v>
      </c>
      <c r="I11" s="2">
        <f>IF(E11, H11*F11*$H$3,0)</f>
        <v>0</v>
      </c>
      <c r="J11" s="2">
        <f t="shared" si="0"/>
        <v>0</v>
      </c>
    </row>
    <row r="12" spans="3:12" x14ac:dyDescent="0.25">
      <c r="C12" s="3">
        <v>37043</v>
      </c>
      <c r="D12" s="2">
        <v>0</v>
      </c>
      <c r="E12">
        <v>1</v>
      </c>
      <c r="F12" s="5">
        <f>C16-Table22[[#This Row],[Date]]</f>
        <v>92</v>
      </c>
      <c r="G12" s="2">
        <f>IF(D12&gt;0, D12*F12*$H$3,0)</f>
        <v>0</v>
      </c>
      <c r="H12" s="2">
        <f>SUM($D$7:D12)</f>
        <v>100000</v>
      </c>
      <c r="I12" s="2">
        <f>IF(E12, H12*F12*$H$3,0)</f>
        <v>252.05479452054794</v>
      </c>
      <c r="J12" s="2">
        <f t="shared" si="0"/>
        <v>252.05479452054794</v>
      </c>
      <c r="L12">
        <f>SUM(J9:J11)</f>
        <v>252.05479452054794</v>
      </c>
    </row>
    <row r="13" spans="3:12" x14ac:dyDescent="0.25">
      <c r="C13" s="3">
        <v>37067</v>
      </c>
      <c r="D13" s="2">
        <v>10000</v>
      </c>
      <c r="E13">
        <v>0</v>
      </c>
      <c r="F13" s="5">
        <f>C16-Table22[[#This Row],[Date]]</f>
        <v>68</v>
      </c>
      <c r="G13" s="2">
        <f>IF(D13&gt;0, D13*F13*$H$3,0)</f>
        <v>18.63013698630137</v>
      </c>
      <c r="H13" s="2">
        <f>SUM($D$7:D13)</f>
        <v>110000</v>
      </c>
      <c r="I13" s="2">
        <f>IF(E13, H13*F13*$H$3,0)</f>
        <v>0</v>
      </c>
      <c r="J13" s="2">
        <f t="shared" si="0"/>
        <v>18.63013698630137</v>
      </c>
    </row>
    <row r="14" spans="3:12" x14ac:dyDescent="0.25">
      <c r="C14" s="3">
        <v>37073</v>
      </c>
      <c r="D14" s="2">
        <v>0</v>
      </c>
      <c r="E14">
        <v>0</v>
      </c>
      <c r="F14" s="5">
        <f>C16-Table22[[#This Row],[Date]]</f>
        <v>62</v>
      </c>
      <c r="G14" s="2">
        <f>IF(D14&gt;0, D14*F14*$H$3,0)</f>
        <v>0</v>
      </c>
      <c r="H14" s="2">
        <f>SUM($D$7:D14)</f>
        <v>110000</v>
      </c>
      <c r="I14" s="2">
        <f>IF(E14, H14*F14*$H$3,0)</f>
        <v>0</v>
      </c>
      <c r="J14" s="2">
        <f t="shared" si="0"/>
        <v>0</v>
      </c>
    </row>
    <row r="15" spans="3:12" x14ac:dyDescent="0.25">
      <c r="C15" s="3">
        <v>37104</v>
      </c>
      <c r="D15" s="2">
        <v>0</v>
      </c>
      <c r="E15">
        <v>0</v>
      </c>
      <c r="F15" s="5">
        <f>C16-Table22[[#This Row],[Date]]</f>
        <v>31</v>
      </c>
      <c r="G15" s="2">
        <f>IF(D15&gt;0, D15*F15*$H$3,0)</f>
        <v>0</v>
      </c>
      <c r="H15" s="2">
        <f>SUM($D$7:D15)</f>
        <v>110000</v>
      </c>
      <c r="I15" s="2">
        <f>IF(E15, H15*F15*$H$3,0)</f>
        <v>0</v>
      </c>
      <c r="J15" s="2">
        <f t="shared" si="0"/>
        <v>0</v>
      </c>
    </row>
    <row r="16" spans="3:12" x14ac:dyDescent="0.25">
      <c r="C16" s="3">
        <v>37135</v>
      </c>
      <c r="D16" s="2">
        <v>10000</v>
      </c>
      <c r="E16">
        <v>1</v>
      </c>
      <c r="F16" s="5">
        <f>C20-Table22[[#This Row],[Date]]</f>
        <v>91</v>
      </c>
      <c r="G16" s="2">
        <f>IF(D16&gt;0, D16*F16*$H$3,0)</f>
        <v>24.93150684931507</v>
      </c>
      <c r="H16" s="2">
        <f>SUM($D$7:D16)</f>
        <v>120000</v>
      </c>
      <c r="I16" s="2">
        <f>IF(E16, H16*F16*$H$3,0)</f>
        <v>299.17808219178085</v>
      </c>
      <c r="J16" s="2">
        <f t="shared" si="0"/>
        <v>299.17808219178085</v>
      </c>
      <c r="L16">
        <f>SUM(J12:J15)</f>
        <v>270.6849315068493</v>
      </c>
    </row>
    <row r="17" spans="3:12" x14ac:dyDescent="0.25">
      <c r="C17" s="3">
        <v>37165</v>
      </c>
      <c r="D17" s="2">
        <v>0</v>
      </c>
      <c r="E17">
        <v>0</v>
      </c>
      <c r="F17" s="5">
        <f>C20-Table22[[#This Row],[Date]]</f>
        <v>61</v>
      </c>
      <c r="G17" s="2">
        <f>IF(D17&gt;0, D17*F17*$H$3,0)</f>
        <v>0</v>
      </c>
      <c r="H17" s="2">
        <f>SUM($D$7:D17)</f>
        <v>120000</v>
      </c>
      <c r="I17" s="2">
        <f>IF(E17, H17*F17*$H$3,0)</f>
        <v>0</v>
      </c>
      <c r="J17" s="2">
        <f t="shared" si="0"/>
        <v>0</v>
      </c>
    </row>
    <row r="18" spans="3:12" x14ac:dyDescent="0.25">
      <c r="C18" s="3">
        <v>37196</v>
      </c>
      <c r="D18" s="2">
        <v>0</v>
      </c>
      <c r="E18">
        <v>0</v>
      </c>
      <c r="F18" s="5">
        <f>C20-Table22[[#This Row],[Date]]</f>
        <v>30</v>
      </c>
      <c r="G18" s="2">
        <f>IF(D18&gt;0, D18*F18*$H$3,0)</f>
        <v>0</v>
      </c>
      <c r="H18" s="2">
        <f>SUM($D$7:D18)</f>
        <v>120000</v>
      </c>
      <c r="I18" s="2">
        <f>IF(E18, H18*F18*$H$3,0)</f>
        <v>0</v>
      </c>
      <c r="J18" s="2">
        <f t="shared" si="0"/>
        <v>0</v>
      </c>
    </row>
    <row r="19" spans="3:12" x14ac:dyDescent="0.25">
      <c r="C19" s="3">
        <v>37205</v>
      </c>
      <c r="D19" s="2">
        <v>30000</v>
      </c>
      <c r="E19">
        <v>0</v>
      </c>
      <c r="F19" s="5">
        <f>C20-Table22[[#This Row],[Date]]</f>
        <v>21</v>
      </c>
      <c r="G19" s="2">
        <f>IF(D19&gt;0, D19*F19*$H$3,0)</f>
        <v>17.260273972602739</v>
      </c>
      <c r="H19" s="2">
        <f>SUM($D$7:D19)</f>
        <v>150000</v>
      </c>
      <c r="I19" s="2">
        <f>IF(E19, H19*F19*$H$3,0)</f>
        <v>0</v>
      </c>
      <c r="J19" s="2">
        <f t="shared" si="0"/>
        <v>17.260273972602739</v>
      </c>
    </row>
    <row r="20" spans="3:12" x14ac:dyDescent="0.25">
      <c r="C20" s="3">
        <v>37226</v>
      </c>
      <c r="D20" s="2">
        <v>-10000</v>
      </c>
      <c r="E20">
        <v>1</v>
      </c>
      <c r="F20" s="5">
        <f>C23-Table22[[#This Row],[Date]]</f>
        <v>90</v>
      </c>
      <c r="G20" s="2">
        <f>IF(D20&gt;0, D20*F20*$H$3,0)</f>
        <v>0</v>
      </c>
      <c r="H20" s="2">
        <f>SUM($D$7:D20)</f>
        <v>140000</v>
      </c>
      <c r="I20" s="2">
        <f>IF(E20, H20*F20*$H$3,0)</f>
        <v>345.20547945205482</v>
      </c>
      <c r="J20" s="2">
        <f t="shared" si="0"/>
        <v>345.20547945205482</v>
      </c>
      <c r="L20">
        <f>SUM(J16:J19)</f>
        <v>316.43835616438361</v>
      </c>
    </row>
    <row r="21" spans="3:12" x14ac:dyDescent="0.25">
      <c r="C21" s="3">
        <v>37257</v>
      </c>
      <c r="D21" s="2">
        <v>0</v>
      </c>
      <c r="E21">
        <v>0</v>
      </c>
      <c r="F21" s="5">
        <f>C23-Table22[[#This Row],[Date]]</f>
        <v>59</v>
      </c>
      <c r="G21" s="2">
        <f>IF(D21&gt;0, D21*F21*$H$3,0)</f>
        <v>0</v>
      </c>
      <c r="H21" s="2">
        <f>SUM($D$7:D21)</f>
        <v>140000</v>
      </c>
      <c r="I21" s="2">
        <f>IF(E21, H21*F21*$H$3,0)</f>
        <v>0</v>
      </c>
      <c r="J21" s="2">
        <f t="shared" si="0"/>
        <v>0</v>
      </c>
    </row>
    <row r="22" spans="3:12" x14ac:dyDescent="0.25">
      <c r="C22" s="3">
        <v>37288</v>
      </c>
      <c r="D22" s="2">
        <v>0</v>
      </c>
      <c r="E22">
        <v>0</v>
      </c>
      <c r="F22" s="5">
        <f>C23-Table22[[#This Row],[Date]]</f>
        <v>28</v>
      </c>
      <c r="G22" s="2">
        <f>IF(D22&gt;0, D22*F22*$H$3,0)</f>
        <v>0</v>
      </c>
      <c r="H22" s="2">
        <f>SUM($D$7:D22)</f>
        <v>140000</v>
      </c>
      <c r="I22" s="2">
        <f>IF(E22, H22*F22*$H$3,0)</f>
        <v>0</v>
      </c>
      <c r="J22" s="2">
        <f t="shared" si="0"/>
        <v>0</v>
      </c>
    </row>
    <row r="23" spans="3:12" x14ac:dyDescent="0.25">
      <c r="C23" s="3">
        <v>37316</v>
      </c>
      <c r="D23" s="2">
        <v>0</v>
      </c>
      <c r="E23">
        <v>1</v>
      </c>
      <c r="F23" s="5">
        <f>0</f>
        <v>0</v>
      </c>
      <c r="G23" s="2">
        <f>IF(D23&gt;0, D23*F23*$H$3,0)</f>
        <v>0</v>
      </c>
      <c r="H23" s="2">
        <f>SUM($D$7:D23)</f>
        <v>140000</v>
      </c>
      <c r="I23" s="2">
        <f>IF(E23, H23*F23*$H$3,0)</f>
        <v>0</v>
      </c>
      <c r="J23" s="2">
        <f t="shared" si="0"/>
        <v>0</v>
      </c>
      <c r="L23">
        <f>SUM(J20:J22)</f>
        <v>345.20547945205482</v>
      </c>
    </row>
    <row r="26" spans="3:12" ht="21" x14ac:dyDescent="0.35">
      <c r="C26" s="10" t="s">
        <v>16</v>
      </c>
      <c r="D26" s="10"/>
      <c r="E26" s="10"/>
      <c r="F26" s="10"/>
      <c r="G26" s="10"/>
    </row>
    <row r="28" spans="3:12" x14ac:dyDescent="0.25">
      <c r="D28" s="4" t="s">
        <v>17</v>
      </c>
      <c r="E28" s="11">
        <v>300</v>
      </c>
      <c r="F28" t="s">
        <v>18</v>
      </c>
    </row>
    <row r="30" spans="3:12" x14ac:dyDescent="0.25">
      <c r="C30" s="1" t="s">
        <v>0</v>
      </c>
      <c r="D30" s="1"/>
    </row>
    <row r="31" spans="3:12" x14ac:dyDescent="0.25">
      <c r="C31" s="2" t="s">
        <v>1</v>
      </c>
      <c r="D31" s="2" t="s">
        <v>2</v>
      </c>
      <c r="E31" t="s">
        <v>8</v>
      </c>
      <c r="F31" t="s">
        <v>19</v>
      </c>
      <c r="G31" t="s">
        <v>20</v>
      </c>
      <c r="H31" t="s">
        <v>21</v>
      </c>
      <c r="I31" t="s">
        <v>7</v>
      </c>
      <c r="J31" t="s">
        <v>22</v>
      </c>
      <c r="L31" t="s">
        <v>14</v>
      </c>
    </row>
    <row r="32" spans="3:12" x14ac:dyDescent="0.25">
      <c r="C32" s="3">
        <v>36892</v>
      </c>
      <c r="D32" s="2">
        <v>100000</v>
      </c>
      <c r="E32">
        <v>0</v>
      </c>
      <c r="F32">
        <v>1</v>
      </c>
      <c r="G32">
        <v>0</v>
      </c>
      <c r="H32">
        <f>300*((C34-Table226[[#This Row],[Date]])/90)</f>
        <v>196.66666666666666</v>
      </c>
      <c r="I32">
        <f>IF(Table226[[#This Row],[IsQuarterEnd]], 300, 0)</f>
        <v>0</v>
      </c>
      <c r="J32">
        <f>IF(Table226[[#This Row],[IsContractStart]], Table226[[#This Row],[ContractStartEndFee]], IF(Table226[[#This Row],[IsContractEnd]], Table226[[#This Row],[ContractStartEndFee]], Table226[[#This Row],[ManagementFee]]))</f>
        <v>196.66666666666666</v>
      </c>
    </row>
    <row r="33" spans="3:12" x14ac:dyDescent="0.25">
      <c r="C33" s="3">
        <v>36923</v>
      </c>
      <c r="D33" s="2">
        <v>0</v>
      </c>
      <c r="E33">
        <v>0</v>
      </c>
      <c r="F33">
        <v>0</v>
      </c>
      <c r="G33">
        <v>0</v>
      </c>
      <c r="H33">
        <v>0</v>
      </c>
      <c r="I33">
        <f>IF(Table226[[#This Row],[IsQuarterEnd]], 300, 0)</f>
        <v>0</v>
      </c>
      <c r="J33">
        <f>IF(Table226[[#This Row],[IsContractStart]], Table226[[#This Row],[ContractStartEndFee]], IF(Table226[[#This Row],[IsContractEnd]], Table226[[#This Row],[ContractStartEndFee]], Table226[[#This Row],[ManagementFee]]))</f>
        <v>0</v>
      </c>
    </row>
    <row r="34" spans="3:12" x14ac:dyDescent="0.25">
      <c r="C34" s="3">
        <v>36951</v>
      </c>
      <c r="D34" s="2">
        <v>0</v>
      </c>
      <c r="E34">
        <v>1</v>
      </c>
      <c r="F34">
        <v>0</v>
      </c>
      <c r="G34">
        <v>0</v>
      </c>
      <c r="H34">
        <v>0</v>
      </c>
      <c r="I34">
        <f>IF(Table226[[#This Row],[IsQuarterEnd]], 300, 0)</f>
        <v>300</v>
      </c>
      <c r="J34">
        <f>IF(Table226[[#This Row],[IsContractStart]], Table226[[#This Row],[ContractStartEndFee]], IF(Table226[[#This Row],[IsContractEnd]], Table226[[#This Row],[ContractStartEndFee]], Table226[[#This Row],[ManagementFee]]))</f>
        <v>300</v>
      </c>
      <c r="L34">
        <f>SUM(J32:J33)</f>
        <v>196.66666666666666</v>
      </c>
    </row>
    <row r="35" spans="3:12" x14ac:dyDescent="0.25">
      <c r="C35" s="3">
        <v>36982</v>
      </c>
      <c r="D35" s="2">
        <v>0</v>
      </c>
      <c r="E35">
        <v>0</v>
      </c>
      <c r="F35">
        <v>0</v>
      </c>
      <c r="G35">
        <v>0</v>
      </c>
      <c r="H35">
        <v>0</v>
      </c>
      <c r="I35">
        <f>IF(Table226[[#This Row],[IsQuarterEnd]], 300, 0)</f>
        <v>0</v>
      </c>
      <c r="J35">
        <f>IF(Table226[[#This Row],[IsContractStart]], Table226[[#This Row],[ContractStartEndFee]], IF(Table226[[#This Row],[IsContractEnd]], Table226[[#This Row],[ContractStartEndFee]], Table226[[#This Row],[ManagementFee]]))</f>
        <v>0</v>
      </c>
    </row>
    <row r="36" spans="3:12" x14ac:dyDescent="0.25">
      <c r="C36" s="3">
        <v>37012</v>
      </c>
      <c r="D36" s="2">
        <v>0</v>
      </c>
      <c r="E36">
        <v>0</v>
      </c>
      <c r="F36">
        <v>0</v>
      </c>
      <c r="G36">
        <v>0</v>
      </c>
      <c r="H36">
        <v>0</v>
      </c>
      <c r="I36">
        <f>IF(Table226[[#This Row],[IsQuarterEnd]], 300, 0)</f>
        <v>0</v>
      </c>
      <c r="J36">
        <f>IF(Table226[[#This Row],[IsContractStart]], Table226[[#This Row],[ContractStartEndFee]], IF(Table226[[#This Row],[IsContractEnd]], Table226[[#This Row],[ContractStartEndFee]], Table226[[#This Row],[ManagementFee]]))</f>
        <v>0</v>
      </c>
    </row>
    <row r="37" spans="3:12" x14ac:dyDescent="0.25">
      <c r="C37" s="3">
        <v>37043</v>
      </c>
      <c r="D37" s="2">
        <v>0</v>
      </c>
      <c r="E37">
        <v>1</v>
      </c>
      <c r="F37">
        <v>0</v>
      </c>
      <c r="G37">
        <v>0</v>
      </c>
      <c r="H37">
        <v>0</v>
      </c>
      <c r="I37">
        <f>IF(Table226[[#This Row],[IsQuarterEnd]], 300, 0)</f>
        <v>300</v>
      </c>
      <c r="J37">
        <f>IF(Table226[[#This Row],[IsContractStart]], Table226[[#This Row],[ContractStartEndFee]], IF(Table226[[#This Row],[IsContractEnd]], Table226[[#This Row],[ContractStartEndFee]], Table226[[#This Row],[ManagementFee]]))</f>
        <v>300</v>
      </c>
      <c r="L37">
        <f>SUM(J34:J36)</f>
        <v>300</v>
      </c>
    </row>
    <row r="38" spans="3:12" x14ac:dyDescent="0.25">
      <c r="C38" s="3">
        <v>37067</v>
      </c>
      <c r="D38" s="2">
        <v>10000</v>
      </c>
      <c r="E38">
        <v>0</v>
      </c>
      <c r="F38">
        <v>0</v>
      </c>
      <c r="G38">
        <v>0</v>
      </c>
      <c r="H38">
        <v>0</v>
      </c>
      <c r="I38">
        <f>IF(Table226[[#This Row],[IsQuarterEnd]], 300, 0)</f>
        <v>0</v>
      </c>
      <c r="J38">
        <f>IF(Table226[[#This Row],[IsContractStart]], Table226[[#This Row],[ContractStartEndFee]], IF(Table226[[#This Row],[IsContractEnd]], Table226[[#This Row],[ContractStartEndFee]], Table226[[#This Row],[ManagementFee]]))</f>
        <v>0</v>
      </c>
    </row>
    <row r="39" spans="3:12" x14ac:dyDescent="0.25">
      <c r="C39" s="3">
        <v>37073</v>
      </c>
      <c r="D39" s="2">
        <v>0</v>
      </c>
      <c r="E39">
        <v>0</v>
      </c>
      <c r="F39">
        <v>0</v>
      </c>
      <c r="G39">
        <v>0</v>
      </c>
      <c r="H39">
        <v>0</v>
      </c>
      <c r="I39">
        <f>IF(Table226[[#This Row],[IsQuarterEnd]], 300, 0)</f>
        <v>0</v>
      </c>
      <c r="J39">
        <f>IF(Table226[[#This Row],[IsContractStart]], Table226[[#This Row],[ContractStartEndFee]], IF(Table226[[#This Row],[IsContractEnd]], Table226[[#This Row],[ContractStartEndFee]], Table226[[#This Row],[ManagementFee]]))</f>
        <v>0</v>
      </c>
    </row>
    <row r="40" spans="3:12" x14ac:dyDescent="0.25">
      <c r="C40" s="3">
        <v>37104</v>
      </c>
      <c r="D40" s="2">
        <v>0</v>
      </c>
      <c r="E40">
        <v>0</v>
      </c>
      <c r="F40">
        <v>0</v>
      </c>
      <c r="G40">
        <v>0</v>
      </c>
      <c r="H40">
        <v>0</v>
      </c>
      <c r="I40">
        <f>IF(Table226[[#This Row],[IsQuarterEnd]], 300, 0)</f>
        <v>0</v>
      </c>
      <c r="J40">
        <f>IF(Table226[[#This Row],[IsContractStart]], Table226[[#This Row],[ContractStartEndFee]], IF(Table226[[#This Row],[IsContractEnd]], Table226[[#This Row],[ContractStartEndFee]], Table226[[#This Row],[ManagementFee]]))</f>
        <v>0</v>
      </c>
    </row>
    <row r="41" spans="3:12" x14ac:dyDescent="0.25">
      <c r="C41" s="3">
        <v>37135</v>
      </c>
      <c r="D41" s="2">
        <v>10000</v>
      </c>
      <c r="E41">
        <v>1</v>
      </c>
      <c r="F41">
        <v>0</v>
      </c>
      <c r="G41">
        <v>0</v>
      </c>
      <c r="H41">
        <v>0</v>
      </c>
      <c r="I41">
        <f>IF(Table226[[#This Row],[IsQuarterEnd]], 300, 0)</f>
        <v>300</v>
      </c>
      <c r="J41">
        <f>IF(Table226[[#This Row],[IsContractStart]], Table226[[#This Row],[ContractStartEndFee]], IF(Table226[[#This Row],[IsContractEnd]], Table226[[#This Row],[ContractStartEndFee]], Table226[[#This Row],[ManagementFee]]))</f>
        <v>300</v>
      </c>
      <c r="L41">
        <f>SUM(J37:J40)</f>
        <v>300</v>
      </c>
    </row>
    <row r="42" spans="3:12" x14ac:dyDescent="0.25">
      <c r="C42" s="3">
        <v>37165</v>
      </c>
      <c r="D42" s="2">
        <v>0</v>
      </c>
      <c r="E42">
        <v>0</v>
      </c>
      <c r="F42">
        <v>0</v>
      </c>
      <c r="G42">
        <v>0</v>
      </c>
      <c r="H42">
        <v>0</v>
      </c>
      <c r="I42">
        <f>IF(Table226[[#This Row],[IsQuarterEnd]], 300, 0)</f>
        <v>0</v>
      </c>
      <c r="J42">
        <f>IF(Table226[[#This Row],[IsContractStart]], Table226[[#This Row],[ContractStartEndFee]], IF(Table226[[#This Row],[IsContractEnd]], Table226[[#This Row],[ContractStartEndFee]], Table226[[#This Row],[ManagementFee]]))</f>
        <v>0</v>
      </c>
    </row>
    <row r="43" spans="3:12" x14ac:dyDescent="0.25">
      <c r="C43" s="3">
        <v>37196</v>
      </c>
      <c r="D43" s="2">
        <v>0</v>
      </c>
      <c r="E43">
        <v>0</v>
      </c>
      <c r="F43">
        <v>0</v>
      </c>
      <c r="G43">
        <v>0</v>
      </c>
      <c r="H43">
        <v>0</v>
      </c>
      <c r="I43">
        <f>IF(Table226[[#This Row],[IsQuarterEnd]], 300, 0)</f>
        <v>0</v>
      </c>
      <c r="J43">
        <f>IF(Table226[[#This Row],[IsContractStart]], Table226[[#This Row],[ContractStartEndFee]], IF(Table226[[#This Row],[IsContractEnd]], Table226[[#This Row],[ContractStartEndFee]], Table226[[#This Row],[ManagementFee]]))</f>
        <v>0</v>
      </c>
    </row>
    <row r="44" spans="3:12" x14ac:dyDescent="0.25">
      <c r="C44" s="3">
        <v>37205</v>
      </c>
      <c r="D44" s="2">
        <v>30000</v>
      </c>
      <c r="E44">
        <v>0</v>
      </c>
      <c r="F44">
        <v>0</v>
      </c>
      <c r="G44">
        <v>0</v>
      </c>
      <c r="H44">
        <v>0</v>
      </c>
      <c r="I44">
        <f>IF(Table226[[#This Row],[IsQuarterEnd]], 300, 0)</f>
        <v>0</v>
      </c>
      <c r="J44">
        <f>IF(Table226[[#This Row],[IsContractStart]], Table226[[#This Row],[ContractStartEndFee]], IF(Table226[[#This Row],[IsContractEnd]], Table226[[#This Row],[ContractStartEndFee]], Table226[[#This Row],[ManagementFee]]))</f>
        <v>0</v>
      </c>
    </row>
    <row r="45" spans="3:12" x14ac:dyDescent="0.25">
      <c r="C45" s="3">
        <v>37226</v>
      </c>
      <c r="D45" s="2">
        <v>-10000</v>
      </c>
      <c r="E45">
        <v>1</v>
      </c>
      <c r="F45">
        <v>0</v>
      </c>
      <c r="G45">
        <v>0</v>
      </c>
      <c r="H45">
        <v>0</v>
      </c>
      <c r="I45">
        <f>IF(Table226[[#This Row],[IsQuarterEnd]], 300, 0)</f>
        <v>300</v>
      </c>
      <c r="J45">
        <f>IF(Table226[[#This Row],[IsContractStart]], Table226[[#This Row],[ContractStartEndFee]], IF(Table226[[#This Row],[IsContractEnd]], Table226[[#This Row],[ContractStartEndFee]], Table226[[#This Row],[ManagementFee]]))</f>
        <v>300</v>
      </c>
      <c r="L45">
        <f>SUM(J41:J44)</f>
        <v>300</v>
      </c>
    </row>
    <row r="46" spans="3:12" x14ac:dyDescent="0.25">
      <c r="C46" s="3">
        <v>37257</v>
      </c>
      <c r="D46" s="2">
        <v>0</v>
      </c>
      <c r="E46">
        <v>0</v>
      </c>
      <c r="F46">
        <v>0</v>
      </c>
      <c r="G46">
        <v>0</v>
      </c>
      <c r="H46">
        <v>0</v>
      </c>
      <c r="I46">
        <f>IF(Table226[[#This Row],[IsQuarterEnd]], 300, 0)</f>
        <v>0</v>
      </c>
      <c r="J46">
        <f>IF(Table226[[#This Row],[IsContractStart]], Table226[[#This Row],[ContractStartEndFee]], IF(Table226[[#This Row],[IsContractEnd]], Table226[[#This Row],[ContractStartEndFee]], Table226[[#This Row],[ManagementFee]]))</f>
        <v>0</v>
      </c>
    </row>
    <row r="47" spans="3:12" x14ac:dyDescent="0.25">
      <c r="C47" s="3">
        <v>37288</v>
      </c>
      <c r="D47" s="2">
        <v>0</v>
      </c>
      <c r="E47">
        <v>0</v>
      </c>
      <c r="F47">
        <v>0</v>
      </c>
      <c r="G47">
        <v>0</v>
      </c>
      <c r="H47">
        <v>0</v>
      </c>
      <c r="I47">
        <f>IF(Table226[[#This Row],[IsQuarterEnd]], 300, 0)</f>
        <v>0</v>
      </c>
      <c r="J47">
        <f>IF(Table226[[#This Row],[IsContractStart]], Table226[[#This Row],[ContractStartEndFee]], IF(Table226[[#This Row],[IsContractEnd]], Table226[[#This Row],[ContractStartEndFee]], Table226[[#This Row],[ManagementFee]]))</f>
        <v>0</v>
      </c>
    </row>
    <row r="48" spans="3:12" x14ac:dyDescent="0.25">
      <c r="C48" s="3">
        <v>37316</v>
      </c>
      <c r="D48" s="2">
        <v>0</v>
      </c>
      <c r="E48">
        <v>1</v>
      </c>
      <c r="F48">
        <v>0</v>
      </c>
      <c r="G48">
        <v>1</v>
      </c>
      <c r="H48">
        <v>0</v>
      </c>
      <c r="I48">
        <f>IF(Table226[[#This Row],[IsQuarterEnd]], 300, 0)</f>
        <v>300</v>
      </c>
      <c r="J48">
        <f>IF(Table226[[#This Row],[IsContractStart]], Table226[[#This Row],[ContractStartEndFee]], IF(Table226[[#This Row],[IsContractEnd]], Table226[[#This Row],[ContractStartEndFee]], Table226[[#This Row],[ManagementFee]]))</f>
        <v>0</v>
      </c>
      <c r="L48">
        <f>SUM(J45:J47)</f>
        <v>300</v>
      </c>
    </row>
  </sheetData>
  <mergeCells count="4">
    <mergeCell ref="C5:D5"/>
    <mergeCell ref="C1:G1"/>
    <mergeCell ref="C26:G26"/>
    <mergeCell ref="C30:D30"/>
  </mergeCells>
  <pageMargins left="0.7" right="0.7" top="0.75" bottom="0.75" header="0.3" footer="0.3"/>
  <pageSetup orientation="portrait" horizontalDpi="4294967293" verticalDpi="0" r:id="rId1"/>
  <legacy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2015-07-09T07:37:13Z</dcterms:created>
  <dcterms:modified xsi:type="dcterms:W3CDTF">2015-07-09T11:41:06Z</dcterms:modified>
</cp:coreProperties>
</file>