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nicol\Downloads\"/>
    </mc:Choice>
  </mc:AlternateContent>
  <xr:revisionPtr revIDLastSave="0" documentId="13_ncr:1_{A4110011-B468-4F06-849E-4E5C6E91CA37}" xr6:coauthVersionLast="46" xr6:coauthVersionMax="46" xr10:uidLastSave="{00000000-0000-0000-0000-000000000000}"/>
  <bookViews>
    <workbookView xWindow="-90" yWindow="-90" windowWidth="19380" windowHeight="10380" xr2:uid="{31221058-7161-4372-94D8-1FEBAAA56F5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32" i="1" l="1"/>
  <c r="J631" i="1"/>
  <c r="J630" i="1"/>
  <c r="J629" i="1"/>
  <c r="J628" i="1"/>
  <c r="J627" i="1"/>
  <c r="AX626" i="1"/>
  <c r="J626" i="1"/>
  <c r="BO625" i="1" l="1"/>
  <c r="BO624" i="1"/>
  <c r="BO623" i="1"/>
  <c r="BO622" i="1"/>
  <c r="BO621" i="1"/>
  <c r="J621" i="1"/>
  <c r="BO620" i="1"/>
  <c r="J620" i="1"/>
  <c r="BO619" i="1"/>
  <c r="J619" i="1"/>
  <c r="BO618" i="1"/>
  <c r="BO617" i="1"/>
  <c r="J617" i="1"/>
  <c r="BO616" i="1"/>
  <c r="J616" i="1"/>
  <c r="BO615" i="1"/>
  <c r="J615" i="1"/>
  <c r="BO614" i="1"/>
  <c r="BO613" i="1"/>
  <c r="J613" i="1"/>
  <c r="BO612" i="1"/>
  <c r="J612" i="1"/>
  <c r="BO611" i="1"/>
  <c r="J611" i="1"/>
  <c r="BO610" i="1"/>
  <c r="BO609" i="1"/>
  <c r="J609" i="1"/>
  <c r="BO608" i="1"/>
  <c r="J608" i="1"/>
  <c r="BO607" i="1"/>
  <c r="AX607" i="1"/>
  <c r="J607" i="1"/>
  <c r="BO606" i="1"/>
  <c r="BO605" i="1"/>
  <c r="J605" i="1"/>
  <c r="BO604" i="1"/>
  <c r="J604" i="1"/>
  <c r="BO603" i="1"/>
  <c r="J603" i="1"/>
  <c r="BO602" i="1"/>
  <c r="BO601" i="1"/>
  <c r="J601" i="1"/>
  <c r="BO600" i="1"/>
  <c r="J600" i="1"/>
  <c r="BO599" i="1"/>
  <c r="J599" i="1"/>
  <c r="BO598" i="1"/>
  <c r="BO597" i="1"/>
  <c r="J597" i="1"/>
  <c r="BO596" i="1"/>
  <c r="J596" i="1"/>
  <c r="BO595" i="1"/>
  <c r="J595" i="1"/>
  <c r="BO594" i="1"/>
  <c r="BM564" i="1"/>
  <c r="BM563" i="1"/>
  <c r="BM562" i="1"/>
  <c r="BM561" i="1"/>
  <c r="BR549" i="1"/>
  <c r="BR548" i="1"/>
  <c r="M548" i="1"/>
  <c r="BN541" i="1"/>
  <c r="BN540" i="1"/>
  <c r="BN539" i="1"/>
  <c r="BN538" i="1"/>
  <c r="BN537" i="1"/>
  <c r="BN536" i="1"/>
  <c r="BN535" i="1"/>
  <c r="N534" i="1"/>
  <c r="M534" i="1"/>
  <c r="L534" i="1"/>
  <c r="BN526" i="1"/>
  <c r="M526" i="1"/>
  <c r="L526" i="1"/>
  <c r="BN525" i="1"/>
  <c r="M525" i="1"/>
  <c r="L525" i="1"/>
  <c r="BN524" i="1"/>
  <c r="M524" i="1"/>
  <c r="L524" i="1"/>
  <c r="BN523" i="1"/>
  <c r="M523" i="1"/>
  <c r="L523" i="1"/>
  <c r="BN522" i="1"/>
  <c r="M522" i="1"/>
  <c r="L522" i="1"/>
  <c r="BN521" i="1"/>
  <c r="M521" i="1"/>
  <c r="L521" i="1"/>
  <c r="BN520" i="1"/>
  <c r="M520" i="1"/>
  <c r="L520" i="1"/>
  <c r="BN519" i="1"/>
  <c r="M519" i="1"/>
  <c r="L519" i="1"/>
  <c r="M518" i="1"/>
  <c r="L518" i="1"/>
  <c r="M517" i="1"/>
  <c r="L517" i="1"/>
  <c r="M516" i="1"/>
  <c r="L516" i="1"/>
  <c r="M515" i="1"/>
  <c r="L515" i="1"/>
  <c r="M514" i="1"/>
  <c r="L514" i="1"/>
  <c r="M513" i="1"/>
  <c r="L513" i="1"/>
  <c r="M512" i="1"/>
  <c r="L512" i="1"/>
  <c r="M511" i="1"/>
  <c r="L511" i="1"/>
  <c r="N510" i="1"/>
  <c r="M510" i="1"/>
  <c r="N509" i="1"/>
  <c r="M509" i="1"/>
  <c r="M505" i="1"/>
  <c r="M504" i="1"/>
  <c r="L504" i="1"/>
  <c r="M503" i="1"/>
  <c r="L503" i="1"/>
  <c r="M502" i="1"/>
  <c r="L502" i="1"/>
  <c r="N501" i="1"/>
  <c r="M501" i="1"/>
  <c r="L501" i="1"/>
  <c r="N500" i="1"/>
  <c r="M500" i="1"/>
  <c r="L500" i="1"/>
  <c r="N499" i="1"/>
  <c r="M499" i="1"/>
  <c r="N498" i="1"/>
  <c r="M498" i="1"/>
  <c r="L498" i="1"/>
  <c r="L499" i="1" s="1"/>
  <c r="BN468" i="1" l="1"/>
  <c r="J468" i="1"/>
  <c r="BN467" i="1"/>
  <c r="J467" i="1"/>
  <c r="BN466" i="1"/>
  <c r="J466" i="1"/>
  <c r="BN465" i="1"/>
  <c r="J465" i="1"/>
  <c r="BN464" i="1"/>
  <c r="J464" i="1"/>
  <c r="BN463" i="1"/>
  <c r="J463" i="1"/>
  <c r="BN462" i="1"/>
  <c r="J462" i="1"/>
  <c r="BN461" i="1"/>
  <c r="J461" i="1"/>
  <c r="BN460" i="1"/>
  <c r="J460" i="1"/>
  <c r="BN459" i="1"/>
  <c r="J459" i="1"/>
  <c r="BN458" i="1"/>
  <c r="J458" i="1"/>
  <c r="BN457" i="1"/>
  <c r="J457" i="1"/>
  <c r="BN456" i="1"/>
  <c r="J456" i="1"/>
  <c r="BO455" i="1"/>
  <c r="J455" i="1"/>
  <c r="BO454" i="1"/>
  <c r="J454" i="1"/>
  <c r="BO453" i="1"/>
  <c r="J453" i="1"/>
  <c r="BO452" i="1"/>
  <c r="J452" i="1"/>
  <c r="BO451" i="1"/>
  <c r="J451" i="1"/>
  <c r="BO450" i="1"/>
  <c r="J450" i="1"/>
  <c r="BO449" i="1"/>
  <c r="J449" i="1"/>
  <c r="BO448" i="1"/>
  <c r="J448" i="1"/>
  <c r="BO447" i="1"/>
  <c r="J447" i="1"/>
  <c r="BO446" i="1"/>
  <c r="J446" i="1"/>
  <c r="BO445" i="1"/>
  <c r="J445" i="1"/>
  <c r="BO444" i="1"/>
  <c r="J444" i="1"/>
  <c r="BO443" i="1"/>
  <c r="J443" i="1"/>
  <c r="BO442" i="1"/>
  <c r="J442" i="1"/>
  <c r="BO441" i="1"/>
  <c r="J441" i="1"/>
  <c r="BO440" i="1"/>
  <c r="J440" i="1"/>
  <c r="BO439" i="1"/>
  <c r="J439" i="1"/>
  <c r="BO438" i="1"/>
  <c r="J438" i="1"/>
  <c r="BO437" i="1"/>
  <c r="J437" i="1"/>
  <c r="BO436" i="1"/>
  <c r="J436" i="1"/>
  <c r="BO435" i="1"/>
  <c r="J435" i="1"/>
  <c r="BO434" i="1"/>
  <c r="J434" i="1"/>
  <c r="BO433" i="1"/>
  <c r="J433" i="1"/>
  <c r="BO432" i="1"/>
  <c r="J432" i="1"/>
  <c r="BO431" i="1"/>
  <c r="J431" i="1"/>
  <c r="BO430" i="1"/>
  <c r="J430" i="1"/>
  <c r="BO429" i="1"/>
  <c r="J429" i="1"/>
  <c r="BO428" i="1"/>
  <c r="J428" i="1"/>
  <c r="BO427" i="1"/>
  <c r="J427" i="1"/>
  <c r="BO426" i="1"/>
  <c r="J426" i="1"/>
  <c r="BO425" i="1"/>
  <c r="J425" i="1"/>
  <c r="BO424" i="1"/>
  <c r="J424" i="1"/>
  <c r="BO423" i="1"/>
  <c r="J423" i="1"/>
  <c r="BO422" i="1"/>
  <c r="J422" i="1"/>
  <c r="BO421"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BO371" i="1"/>
  <c r="BO370" i="1"/>
  <c r="BO369" i="1"/>
  <c r="BO368" i="1"/>
  <c r="BO367" i="1"/>
  <c r="BO366" i="1"/>
  <c r="BO365" i="1"/>
  <c r="BO363" i="1"/>
  <c r="BO362" i="1"/>
  <c r="BO361" i="1"/>
  <c r="BO360" i="1"/>
  <c r="BO359" i="1"/>
  <c r="BO358" i="1"/>
  <c r="BO357" i="1"/>
  <c r="X326" i="1"/>
  <c r="J326" i="1"/>
  <c r="X325" i="1"/>
  <c r="J325" i="1"/>
  <c r="X324" i="1"/>
  <c r="J324" i="1"/>
  <c r="X323" i="1"/>
  <c r="J323" i="1"/>
  <c r="X322" i="1"/>
  <c r="J322" i="1"/>
  <c r="X321" i="1"/>
  <c r="J321" i="1"/>
  <c r="X320" i="1"/>
  <c r="J320" i="1"/>
  <c r="X319" i="1"/>
  <c r="J319" i="1"/>
  <c r="X318" i="1"/>
  <c r="J318" i="1"/>
  <c r="X317" i="1"/>
  <c r="J317" i="1"/>
  <c r="X316" i="1"/>
  <c r="J316" i="1"/>
  <c r="X315"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BN262" i="1"/>
  <c r="BO262" i="1" s="1"/>
  <c r="BN261" i="1"/>
  <c r="BO261" i="1" s="1"/>
  <c r="BN260" i="1"/>
  <c r="BO260" i="1" s="1"/>
  <c r="J260" i="1"/>
  <c r="BN259" i="1"/>
  <c r="BO259" i="1" s="1"/>
  <c r="J259" i="1"/>
  <c r="BN258" i="1"/>
  <c r="BO258" i="1" s="1"/>
  <c r="J258" i="1"/>
  <c r="BN257" i="1"/>
  <c r="BO257" i="1" s="1"/>
  <c r="J257" i="1"/>
  <c r="BN256" i="1"/>
  <c r="BO256" i="1" s="1"/>
  <c r="J256" i="1"/>
  <c r="BN255" i="1"/>
  <c r="BO255" i="1" s="1"/>
  <c r="J255" i="1"/>
  <c r="BN254" i="1"/>
  <c r="BO254" i="1" s="1"/>
  <c r="J254" i="1"/>
  <c r="BN253" i="1"/>
  <c r="BO253" i="1" s="1"/>
  <c r="J253" i="1"/>
  <c r="BN252" i="1"/>
  <c r="BO252" i="1" s="1"/>
  <c r="BN251" i="1"/>
  <c r="BO251" i="1" s="1"/>
  <c r="J251" i="1"/>
  <c r="BN250" i="1"/>
  <c r="BO250" i="1" s="1"/>
  <c r="BN249" i="1"/>
  <c r="BO249" i="1" s="1"/>
  <c r="J249" i="1"/>
  <c r="BN248" i="1"/>
  <c r="BO248" i="1" s="1"/>
  <c r="BN247" i="1"/>
  <c r="BO247" i="1" s="1"/>
  <c r="J247" i="1"/>
  <c r="BN246" i="1"/>
  <c r="BO246" i="1" s="1"/>
  <c r="J246" i="1"/>
  <c r="BN245" i="1"/>
  <c r="BO245" i="1" s="1"/>
  <c r="J245" i="1"/>
  <c r="BN244" i="1"/>
  <c r="BO244" i="1" s="1"/>
  <c r="J244" i="1"/>
  <c r="BN243" i="1"/>
  <c r="BO243" i="1" s="1"/>
  <c r="J243" i="1"/>
  <c r="BN242" i="1"/>
  <c r="BO242" i="1" s="1"/>
  <c r="J242" i="1"/>
  <c r="BN241" i="1"/>
  <c r="BO241" i="1" s="1"/>
  <c r="J241" i="1"/>
  <c r="BN240" i="1"/>
  <c r="BO240" i="1" s="1"/>
  <c r="J240" i="1"/>
  <c r="BN239" i="1"/>
  <c r="BO239" i="1" s="1"/>
  <c r="J239" i="1"/>
  <c r="BN238" i="1"/>
  <c r="BO238" i="1" s="1"/>
  <c r="J238" i="1"/>
  <c r="BN237" i="1"/>
  <c r="BO237" i="1" s="1"/>
  <c r="J237" i="1"/>
  <c r="BN236" i="1"/>
  <c r="I236" i="1"/>
  <c r="G236" i="1"/>
  <c r="BN235" i="1"/>
  <c r="I235" i="1"/>
  <c r="G235" i="1"/>
  <c r="BM234"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BS193" i="1"/>
  <c r="BS192" i="1"/>
  <c r="BS191" i="1"/>
  <c r="BS190" i="1"/>
  <c r="BS189" i="1"/>
  <c r="BS188" i="1"/>
  <c r="J179" i="1"/>
  <c r="J178" i="1"/>
  <c r="J177" i="1"/>
  <c r="J176" i="1"/>
  <c r="J175" i="1"/>
  <c r="J174" i="1"/>
  <c r="J173" i="1"/>
  <c r="J172" i="1"/>
  <c r="J171" i="1"/>
  <c r="J170" i="1"/>
  <c r="J169" i="1"/>
  <c r="J168" i="1"/>
  <c r="J167" i="1"/>
  <c r="J166" i="1"/>
  <c r="J165" i="1"/>
  <c r="J157" i="1"/>
  <c r="I157" i="1" s="1"/>
  <c r="J156" i="1"/>
  <c r="I156" i="1" s="1"/>
  <c r="J155" i="1"/>
  <c r="I155" i="1" s="1"/>
  <c r="I154" i="1"/>
  <c r="BO153" i="1"/>
  <c r="J153" i="1"/>
  <c r="BO152" i="1"/>
  <c r="J152" i="1"/>
  <c r="BO143" i="1"/>
  <c r="J143" i="1"/>
  <c r="BO142" i="1"/>
  <c r="J142" i="1"/>
  <c r="BO141" i="1"/>
  <c r="J141" i="1"/>
  <c r="BO140" i="1"/>
  <c r="J140" i="1"/>
  <c r="BO139" i="1"/>
  <c r="J139" i="1"/>
  <c r="BO138" i="1"/>
  <c r="J138" i="1"/>
  <c r="BO137" i="1"/>
  <c r="J137" i="1"/>
  <c r="BO136" i="1"/>
  <c r="J136" i="1"/>
  <c r="BO135" i="1"/>
  <c r="J135" i="1"/>
  <c r="BO134" i="1"/>
  <c r="J134" i="1"/>
  <c r="BO133" i="1"/>
  <c r="J133" i="1"/>
  <c r="BO132" i="1"/>
  <c r="J132" i="1"/>
  <c r="BO131" i="1"/>
  <c r="J131" i="1"/>
  <c r="BO130" i="1"/>
  <c r="J130" i="1"/>
  <c r="BO129" i="1"/>
  <c r="J129" i="1"/>
  <c r="BO128" i="1"/>
  <c r="J128" i="1"/>
  <c r="BO127" i="1"/>
  <c r="J127" i="1"/>
  <c r="BO126" i="1"/>
  <c r="J126" i="1"/>
  <c r="BO125" i="1"/>
  <c r="J125" i="1"/>
  <c r="BO124" i="1"/>
  <c r="J124" i="1"/>
  <c r="BO123" i="1"/>
  <c r="J123" i="1"/>
  <c r="BO122" i="1"/>
  <c r="J122" i="1"/>
  <c r="BO121" i="1"/>
  <c r="J121" i="1"/>
  <c r="BO120" i="1"/>
  <c r="J120" i="1"/>
  <c r="BO119" i="1"/>
  <c r="J119" i="1"/>
  <c r="BO118" i="1"/>
  <c r="J118" i="1"/>
  <c r="BO117" i="1"/>
  <c r="J117" i="1"/>
  <c r="BO116" i="1"/>
  <c r="J116" i="1"/>
  <c r="BO115" i="1"/>
  <c r="J115" i="1"/>
  <c r="BO114" i="1"/>
  <c r="J114" i="1"/>
  <c r="BO113" i="1"/>
  <c r="J113" i="1"/>
  <c r="BO112" i="1"/>
  <c r="J112" i="1"/>
  <c r="J92" i="1"/>
  <c r="I91" i="1"/>
  <c r="J91" i="1" s="1"/>
  <c r="I90" i="1"/>
  <c r="J90" i="1" s="1"/>
  <c r="I89" i="1"/>
  <c r="J89" i="1" s="1"/>
  <c r="I88" i="1"/>
  <c r="J88" i="1" s="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J54" i="1"/>
  <c r="I54" i="1"/>
  <c r="BO51" i="1"/>
  <c r="BO46" i="1"/>
  <c r="BO45" i="1"/>
  <c r="BO44" i="1"/>
  <c r="BO43" i="1"/>
  <c r="BO42" i="1"/>
  <c r="BO41" i="1"/>
  <c r="BO40" i="1"/>
  <c r="AP40" i="1"/>
  <c r="J40" i="1"/>
  <c r="I40" i="1"/>
  <c r="BO39" i="1"/>
  <c r="I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5" i="1"/>
  <c r="BO4" i="1"/>
  <c r="BO3" i="1"/>
  <c r="BO2" i="1"/>
  <c r="J235" i="1" l="1"/>
  <c r="J236" i="1"/>
</calcChain>
</file>

<file path=xl/sharedStrings.xml><?xml version="1.0" encoding="utf-8"?>
<sst xmlns="http://schemas.openxmlformats.org/spreadsheetml/2006/main" count="8280" uniqueCount="701">
  <si>
    <t>Polymer system Notes</t>
  </si>
  <si>
    <t>Polymer family</t>
  </si>
  <si>
    <t>Polymer</t>
  </si>
  <si>
    <t>SMILES descriptor 1</t>
  </si>
  <si>
    <t>SMILES descriptor 2</t>
  </si>
  <si>
    <t>Comonomer percentage</t>
  </si>
  <si>
    <t>Average functional group per monomer</t>
  </si>
  <si>
    <t>Anion</t>
  </si>
  <si>
    <t>Li:monomer</t>
  </si>
  <si>
    <t>Li:functional group</t>
  </si>
  <si>
    <t>salt wt%</t>
  </si>
  <si>
    <t>Tg</t>
  </si>
  <si>
    <t>Tg polymer without salt</t>
  </si>
  <si>
    <t>Tm</t>
  </si>
  <si>
    <t>Tm start</t>
  </si>
  <si>
    <t>Tm end</t>
  </si>
  <si>
    <t>% crystallinity</t>
  </si>
  <si>
    <t>crystalline?</t>
  </si>
  <si>
    <t>Conductivity at 0C</t>
  </si>
  <si>
    <t>Conductivity at 15C</t>
  </si>
  <si>
    <t>Conductivity at 20C</t>
  </si>
  <si>
    <t>Conductivity at 21C</t>
  </si>
  <si>
    <t>Conductivity at 25C</t>
  </si>
  <si>
    <t>Conductivity at 27C</t>
  </si>
  <si>
    <t>Conductivity at 30C</t>
  </si>
  <si>
    <t>Conductivity at 35C</t>
  </si>
  <si>
    <t>Conductivity at 40C</t>
  </si>
  <si>
    <t>Conductivity at 45C</t>
  </si>
  <si>
    <t>Conductivity at 50C</t>
  </si>
  <si>
    <t>Conductivity at 55C</t>
  </si>
  <si>
    <t>Conductivity at 60C</t>
  </si>
  <si>
    <t>Conductivity at 65C</t>
  </si>
  <si>
    <t>Conductivity at 70C</t>
  </si>
  <si>
    <t>Conductivity at 75C</t>
  </si>
  <si>
    <t>Conductivity at 80C</t>
  </si>
  <si>
    <t>Conductivity at 85C</t>
  </si>
  <si>
    <t>Conductivity at 90C</t>
  </si>
  <si>
    <t>Conductivity at 100C</t>
  </si>
  <si>
    <t>Conductivity at 110C</t>
  </si>
  <si>
    <t>Conductivity at 125C</t>
  </si>
  <si>
    <t>Transference number</t>
  </si>
  <si>
    <t>T for transference</t>
  </si>
  <si>
    <t>Transference notes</t>
  </si>
  <si>
    <t>storage modulus</t>
  </si>
  <si>
    <t>T for storage mod</t>
  </si>
  <si>
    <t>viscosity (mPa s)</t>
  </si>
  <si>
    <t>VFT prefactor (S/cm*T^(1/2))</t>
  </si>
  <si>
    <t>VFT activation energy (K)</t>
  </si>
  <si>
    <t>VFT T0 (degC)</t>
  </si>
  <si>
    <t>VFT Notes (above temp)</t>
  </si>
  <si>
    <t>VFT prefactor with set T0</t>
  </si>
  <si>
    <t>VFT activation energy with fixed T0 (K)</t>
  </si>
  <si>
    <t>Fixed T0 (degC)</t>
  </si>
  <si>
    <t>Arrhenius Ea (eV) low T</t>
  </si>
  <si>
    <t>Arrhenius Ea (eV) high T</t>
  </si>
  <si>
    <t>Arrhenius Ea (eV) low T me</t>
  </si>
  <si>
    <t>Arrhenius prefactor low T me (S/cm)</t>
  </si>
  <si>
    <t>Arrhenius Ea (eV) high T me</t>
  </si>
  <si>
    <t>Arrhenius prefactor high T me (S/cm)</t>
  </si>
  <si>
    <t>Arrhenius notes</t>
  </si>
  <si>
    <t>Li diffusion coefficient cm^2/s</t>
  </si>
  <si>
    <t>temperature for D_Li</t>
  </si>
  <si>
    <t>X-ray structural data (aggregate? Distance?)</t>
  </si>
  <si>
    <t>PDI</t>
  </si>
  <si>
    <t>Polymer Mn (kDa)</t>
  </si>
  <si>
    <t>Polymer Mw (kDa)</t>
  </si>
  <si>
    <t>chain architecture</t>
  </si>
  <si>
    <t>Solvent used</t>
  </si>
  <si>
    <t>drying temp</t>
  </si>
  <si>
    <t>drying time (h)</t>
  </si>
  <si>
    <t>drying vacuum</t>
  </si>
  <si>
    <t>Notes</t>
  </si>
  <si>
    <t>DOI</t>
  </si>
  <si>
    <t>Reference</t>
  </si>
  <si>
    <t>carbonate, ether</t>
  </si>
  <si>
    <t>polyethylene carbonate</t>
  </si>
  <si>
    <t>COC(=O)OC</t>
  </si>
  <si>
    <t>COC</t>
  </si>
  <si>
    <t>TFSI</t>
  </si>
  <si>
    <t>no</t>
  </si>
  <si>
    <t>all temps</t>
  </si>
  <si>
    <t>entire range</t>
  </si>
  <si>
    <t>linear</t>
  </si>
  <si>
    <t>acetonitrile</t>
  </si>
  <si>
    <t>yes</t>
  </si>
  <si>
    <t>10.1038/pj.2012.97</t>
  </si>
  <si>
    <t>Bruce-vincent method, taken from DOI: 10.1149/2.0211502jes</t>
  </si>
  <si>
    <t>all temps, highest temp a little low</t>
  </si>
  <si>
    <t>N(SO2C2F5)2</t>
  </si>
  <si>
    <t>BF4</t>
  </si>
  <si>
    <t>ClO4</t>
  </si>
  <si>
    <t>CF3SO3</t>
  </si>
  <si>
    <t>Bruce-vincent method</t>
  </si>
  <si>
    <t>10.1149/2.0211502jes</t>
  </si>
  <si>
    <t>PF6</t>
  </si>
  <si>
    <t>carbonate</t>
  </si>
  <si>
    <t>10.1002/pat.3896</t>
  </si>
  <si>
    <t>poly(butyl ether 1,2-glycerol carbonate)</t>
  </si>
  <si>
    <t>COC(=O)OC(COCCCC)</t>
  </si>
  <si>
    <t>all temps, use Tg of neat polymer</t>
  </si>
  <si>
    <t>10.1021/acsmacrolett.5b00193</t>
  </si>
  <si>
    <t>poly(trimethylene carbonate)</t>
  </si>
  <si>
    <t>CCOC(=O)OC</t>
  </si>
  <si>
    <t>10.1039/C6CP00757K</t>
  </si>
  <si>
    <t>10.1016/j.ssi.2013.08.014</t>
  </si>
  <si>
    <t>all temps, T-Tg fit from 0 upwards</t>
  </si>
  <si>
    <t>dimethylcarbonate</t>
  </si>
  <si>
    <t>10.1016/j.ssi.2014.09.011</t>
  </si>
  <si>
    <t>acrylonitrile, acrylate</t>
  </si>
  <si>
    <t>poly(acrylonitrile-co-butylacrylate)</t>
  </si>
  <si>
    <t>CC(C#N)</t>
  </si>
  <si>
    <t>CC(C(=O)OCCCC)</t>
  </si>
  <si>
    <t>Bruce-vincent method, also have .48 at 85</t>
  </si>
  <si>
    <t>First 50 h at 20 Torr,  then 140h 1e-3 Torr</t>
  </si>
  <si>
    <t>10.1021/jp049195d</t>
  </si>
  <si>
    <t>acrylate</t>
  </si>
  <si>
    <t>poly(methyl methacrylate)</t>
  </si>
  <si>
    <t>CC(C)(C(=O)OC)</t>
  </si>
  <si>
    <t>First 50 h at 20 Torr</t>
  </si>
  <si>
    <t>poly(butyl acrylate)</t>
  </si>
  <si>
    <t>First 50 h at 20 Torr, also mixed in chloroform</t>
  </si>
  <si>
    <t>poly(vinylene carbonate)</t>
  </si>
  <si>
    <t>C1C(OC(=O)O1)C2C(OC(=O)O2)</t>
  </si>
  <si>
    <t>fit between 45 and 80, cond decreased above that</t>
  </si>
  <si>
    <t>only fit 45 to 80C</t>
  </si>
  <si>
    <t>none</t>
  </si>
  <si>
    <t>Synthesis with salt and without solvent</t>
  </si>
  <si>
    <t>10.1016/0167-2738(87)90175-5</t>
  </si>
  <si>
    <t>poly carbosilane carbonate</t>
  </si>
  <si>
    <t>C[Si](C)(CCC1COC(=O)O1)CC</t>
  </si>
  <si>
    <t>acetone</t>
  </si>
  <si>
    <t>10.1021/acs.macromol.6b01516</t>
  </si>
  <si>
    <t>poly carbosilane dicarbonate</t>
  </si>
  <si>
    <t>C[Si](CCC1COC(=O)O1)(CCC2COC(=O)O2)CC</t>
  </si>
  <si>
    <t>ester, carbonate</t>
  </si>
  <si>
    <t>poly(e-caprolactone)-co-(trimethylene carbonate)</t>
  </si>
  <si>
    <t>COC(=O)CCCC</t>
  </si>
  <si>
    <t>COC(=O)OCC</t>
  </si>
  <si>
    <t>No Tg given</t>
  </si>
  <si>
    <t>split at 1000/T = 3.1, at Tm</t>
  </si>
  <si>
    <t>&lt; 1 mbar</t>
  </si>
  <si>
    <t>10.1016/j.jpowsour.2015.08.035</t>
  </si>
  <si>
    <t>Mindemark J, Sun B, Toermae E, Brandell D. High-performance solid polymer electrolytes for lithium batteries operational at ambient temperature. J Power Sources 298 (2015) 166-170.</t>
  </si>
  <si>
    <t>fit entire range, because not very different…</t>
  </si>
  <si>
    <t>Bruce-Vincent method, also 0.62 at 40C</t>
  </si>
  <si>
    <t>ester</t>
  </si>
  <si>
    <t>poly(ethylene malonate)</t>
  </si>
  <si>
    <t>COC(=O)CC(=O)OC</t>
  </si>
  <si>
    <t>THF</t>
  </si>
  <si>
    <t>high</t>
  </si>
  <si>
    <t>5e-6 Torr</t>
  </si>
  <si>
    <t>10.1016/S0167-2738(00)00791-8</t>
  </si>
  <si>
    <t>Poly(ethylene adipate)</t>
  </si>
  <si>
    <t>COC(=O)CCCCC(=O)OC</t>
  </si>
  <si>
    <t>split at 1000/T = 3.1</t>
  </si>
  <si>
    <t>10.1016/j.polymer.2011.06.055</t>
  </si>
  <si>
    <t>Poly(1,4-butylene adipate)</t>
  </si>
  <si>
    <t>COC(=O)CCCCC(=O)OCCC</t>
  </si>
  <si>
    <t>Poly(1,6-hexamethylene adipate)</t>
  </si>
  <si>
    <t>COC(=O)CCCCC(=O)OCCCCC</t>
  </si>
  <si>
    <t>split at 1000/T = 3.07</t>
  </si>
  <si>
    <t>Polycaprolactone</t>
  </si>
  <si>
    <t>1a</t>
  </si>
  <si>
    <t>COC(=O)CCCC(=O)OC(C)</t>
  </si>
  <si>
    <t>Conductivity determined from paper's VFT Tg+50 fits</t>
  </si>
  <si>
    <t>NMP</t>
  </si>
  <si>
    <t>also 2 days no vacuum</t>
  </si>
  <si>
    <t>10.1016/j.ssi.2016.02.020</t>
  </si>
  <si>
    <t>1b</t>
  </si>
  <si>
    <t>ester, ether</t>
  </si>
  <si>
    <t>COC(=O)COCC(=O)OC(C)</t>
  </si>
  <si>
    <t>2a</t>
  </si>
  <si>
    <t>COC(=O)CCCC(=O)OC(COCC=C)</t>
  </si>
  <si>
    <t>branched</t>
  </si>
  <si>
    <t>2b</t>
  </si>
  <si>
    <t>COC(=O)COCC(=O)OC(COCC=C)</t>
  </si>
  <si>
    <t>rigid polymer</t>
  </si>
  <si>
    <t>VFT fits not great</t>
  </si>
  <si>
    <t>DMF</t>
  </si>
  <si>
    <t>10^-5 torr</t>
  </si>
  <si>
    <t>10.1021/cm980170z</t>
  </si>
  <si>
    <t>need arrhenius</t>
  </si>
  <si>
    <t>could have split, but no physical reason to</t>
  </si>
  <si>
    <t>only at RT, crystalline</t>
  </si>
  <si>
    <t>10.1016/j.jpowsour.2005.05.004</t>
  </si>
  <si>
    <t>crystalline</t>
  </si>
  <si>
    <t>Poly (ethylene succinate)</t>
  </si>
  <si>
    <t>COC(=O)CCC(=O)OC</t>
  </si>
  <si>
    <t>SCN</t>
  </si>
  <si>
    <t>dry nitrogen</t>
  </si>
  <si>
    <t>10.1021/ma00155a029</t>
  </si>
  <si>
    <t>poly(ethylene sebacate)</t>
  </si>
  <si>
    <t>COC(=O)CCCCCCCCC(=O)OC</t>
  </si>
  <si>
    <t>polymer 40</t>
  </si>
  <si>
    <t>carbonyl</t>
  </si>
  <si>
    <t>poly(1,3- diacetyl-4-imidazolin-2-one)</t>
  </si>
  <si>
    <t>C1C(N(C(=O)C)C(=O)N1(C(=O)C))</t>
  </si>
  <si>
    <t>10.1007/s00289-006-0567-6</t>
  </si>
  <si>
    <t>COULD ADD COPOLYMERS</t>
  </si>
  <si>
    <t>nitrile</t>
  </si>
  <si>
    <t>polyacrylonitrile</t>
  </si>
  <si>
    <t>10.1016/j.electacta.2004.01.095</t>
  </si>
  <si>
    <t>start 95C</t>
  </si>
  <si>
    <t>hot press at 150 to incorporate salt</t>
  </si>
  <si>
    <t>10.1063/1.371053</t>
  </si>
  <si>
    <t xml:space="preserve">  A. Ferry, L. Edman, M. Forsyth, D.R. MacFarlane, J. Sun,J.  Appl.  Phys.  86  (1999)  2346.</t>
  </si>
  <si>
    <t>similar reference: https://reader.elsevier.com/reader/sd/pii/S0167273898001660?token=BEF34E6E10AAFD3870609919F2FE8C931AA9342CDDD72BC57761588A27ED5BAF7679D94E2A540003D68EA0780D2615AC</t>
  </si>
  <si>
    <t>start 65C</t>
  </si>
  <si>
    <t>start 35C</t>
  </si>
  <si>
    <t>also did block copolymers</t>
  </si>
  <si>
    <t>polymethacrylonitrile</t>
  </si>
  <si>
    <t>CC(C)C#N</t>
  </si>
  <si>
    <t>dimethyl ketone</t>
  </si>
  <si>
    <t>heating, but  no temp or time given</t>
  </si>
  <si>
    <t>10.1016/S0013-4686(99)00329-1</t>
  </si>
  <si>
    <t>poly((N -2-cyanoethyl)ethylenimine</t>
  </si>
  <si>
    <t>CN(CCC#N)C</t>
  </si>
  <si>
    <t>no temp given</t>
  </si>
  <si>
    <t>10.1016/S0013-4686(03)00185-3</t>
  </si>
  <si>
    <t>alcohol, acrylate</t>
  </si>
  <si>
    <t>polyvinyl alcohol</t>
  </si>
  <si>
    <t>CC(O)</t>
  </si>
  <si>
    <t>CC(OC(=O)C)</t>
  </si>
  <si>
    <t>&lt;0.1 Torr, hot pressed at 110</t>
  </si>
  <si>
    <t>10.1016/S0167-2738(98)00373-7</t>
  </si>
  <si>
    <t>DMSO</t>
  </si>
  <si>
    <t>hot pressed with solvent, 10 wt% DMSO remaining</t>
  </si>
  <si>
    <t>Poly(hydroxyethylmethacrylate)</t>
  </si>
  <si>
    <t>CC(C)(C(=O)OCCO)</t>
  </si>
  <si>
    <t>cross-linked</t>
  </si>
  <si>
    <t>&lt;0.1 Torr, polymerized with salt</t>
  </si>
  <si>
    <t>poly(hydroxyethylacrylate)</t>
  </si>
  <si>
    <t>CC(C(=O)OCCO)</t>
  </si>
  <si>
    <t>dried in furnace, don't specify temp, 10 wt% DMSO remaining</t>
  </si>
  <si>
    <t>10.1016/j.electacta.2017.05.127</t>
  </si>
  <si>
    <t>water</t>
  </si>
  <si>
    <t>dried in furnace, don't specify temp, 1 wt% DMSO remaining</t>
  </si>
  <si>
    <t>hot pressed</t>
  </si>
  <si>
    <t>amine</t>
  </si>
  <si>
    <t>poly(ethylenimine)</t>
  </si>
  <si>
    <t>CNC</t>
  </si>
  <si>
    <t>methanol</t>
  </si>
  <si>
    <t>0.01 Torr, DP 2850</t>
  </si>
  <si>
    <t>10.1016/0167-2738(93)90284-A</t>
  </si>
  <si>
    <t>0.01 Torr, DP 2851</t>
  </si>
  <si>
    <t>0.01 Torr, DP 2852</t>
  </si>
  <si>
    <t>0.01 Torr, DP 2853</t>
  </si>
  <si>
    <t>0.01 Torr, DP 2854</t>
  </si>
  <si>
    <t>0.01 Torr, DP 2855</t>
  </si>
  <si>
    <t>0.01 Torr, DP 2856</t>
  </si>
  <si>
    <t>0.01 Torr, DP 2857</t>
  </si>
  <si>
    <t>poly(N-methylethylenimine)</t>
  </si>
  <si>
    <t>CN(C)C</t>
  </si>
  <si>
    <t>0.01 Torr, DP 2858</t>
  </si>
  <si>
    <t>0.01 Torr, DP 2859</t>
  </si>
  <si>
    <t>0.01 Torr, DP 2860</t>
  </si>
  <si>
    <t>0.01 Torr, DP 2861</t>
  </si>
  <si>
    <t>0.01 Torr, DP 2862</t>
  </si>
  <si>
    <t>0.01 Torr, DP 2863</t>
  </si>
  <si>
    <t>0.01 Torr, DP 2864</t>
  </si>
  <si>
    <t>0.01 Torr, DP 2865</t>
  </si>
  <si>
    <t>BPEI started as water solution</t>
  </si>
  <si>
    <t>10.1016/0013-4686(92)80124-5</t>
  </si>
  <si>
    <t>0.1 mbar vacuum, AC impedance used 1V</t>
  </si>
  <si>
    <t>10.1016/j.solmat.2010.08.025</t>
  </si>
  <si>
    <t>high mw</t>
  </si>
  <si>
    <t>poly(1,4-bis(bromomethyl)-2,3,5,6-teramethylbenzene-co-benzyl bis(hydroxymethyl)phosphine sulfide)</t>
  </si>
  <si>
    <t>C1(=C(C)C(C)=CC(C)=C1(C))COCP(=S)(CC1=CC=CC=C1)COC</t>
  </si>
  <si>
    <t>mechanical stirring, then die press for pellets</t>
  </si>
  <si>
    <t>10.1016/j.polymer.2015.08.004</t>
  </si>
  <si>
    <t>low mw</t>
  </si>
  <si>
    <t>phenyl, amide, ester</t>
  </si>
  <si>
    <t>poly[2,6-dimethoxy-N-(4-vinylphenyl)benzamide]</t>
  </si>
  <si>
    <t>C(C1=CC=C(NC(=O)CC2=C(OC)C=CC=C2(OC))C=C1)C</t>
  </si>
  <si>
    <t>10.1016/j.jpowsour.2005.03.124</t>
  </si>
  <si>
    <t>MTFSI paper</t>
  </si>
  <si>
    <t>ether, amide, imidazole</t>
  </si>
  <si>
    <t>poly(ethylene oxide-co-allyl glycidyl ether amide imidazole</t>
  </si>
  <si>
    <t>C(COCCCSCCCC(=O)NCCN1C=NC=C1)OC</t>
  </si>
  <si>
    <t>PFG</t>
  </si>
  <si>
    <t>first 8h at low vac, then 10^-8 Torr 1h</t>
  </si>
  <si>
    <t>10.1021/acs.chemmater.8b02633</t>
  </si>
  <si>
    <t>Backbone paper</t>
  </si>
  <si>
    <t>poly(allyl glycidyl ether amide imidazole)</t>
  </si>
  <si>
    <t>overnight low vac, then 10^-8 Torr</t>
  </si>
  <si>
    <t>10.1021/jacs.0c00587</t>
  </si>
  <si>
    <t>PBD</t>
  </si>
  <si>
    <t>amide, imidazole</t>
  </si>
  <si>
    <t>poly(butadiene amide imidazole)</t>
  </si>
  <si>
    <t>CC(CCSCCCC(=O)NCCN1C=NC=C1)</t>
  </si>
  <si>
    <t>PVMS</t>
  </si>
  <si>
    <t>poly(vinyl methyl siloxane amide imidazole)</t>
  </si>
  <si>
    <t>poly(vinyl methyl siloxane amide imidazole -co- vinyl methyl siloxane ethane)</t>
  </si>
  <si>
    <t>PFG NMR</t>
  </si>
  <si>
    <t>24h low vac, then 10^-8 Torr</t>
  </si>
  <si>
    <t>poly(vinyl methyl siloxane amide imidazole -co- vinyl methyl siloxane phenyl)</t>
  </si>
  <si>
    <t>amide-free paper</t>
  </si>
  <si>
    <t>imidazole</t>
  </si>
  <si>
    <t>poly(vinyl methyl siloxane imidazole)</t>
  </si>
  <si>
    <t>does interesting molar conductivity comparison</t>
  </si>
  <si>
    <t>PEO</t>
  </si>
  <si>
    <t>split 3.0936</t>
  </si>
  <si>
    <t>10.1149/1.2108569</t>
  </si>
  <si>
    <t>split 3.03855</t>
  </si>
  <si>
    <t>split 3.028</t>
  </si>
  <si>
    <t>split 3.016</t>
  </si>
  <si>
    <t>split 3.04</t>
  </si>
  <si>
    <t>split 3.035</t>
  </si>
  <si>
    <t>split 3.0197</t>
  </si>
  <si>
    <t>split 3.012</t>
  </si>
  <si>
    <t>split 2.945</t>
  </si>
  <si>
    <t>all temps, arrhenius</t>
  </si>
  <si>
    <t>split 2.8934</t>
  </si>
  <si>
    <t>split 2.845</t>
  </si>
  <si>
    <t>split 2.8979</t>
  </si>
  <si>
    <t>split 2.875</t>
  </si>
  <si>
    <t>split 2.9592, high T end 2.6845</t>
  </si>
  <si>
    <t>split 3.0257, 3.0709</t>
  </si>
  <si>
    <t>split 3.0302, 3.0558</t>
  </si>
  <si>
    <t>split 3.0136, 3.0408</t>
  </si>
  <si>
    <t>split 3.0332</t>
  </si>
  <si>
    <t>AsF6</t>
  </si>
  <si>
    <t>split 3.06</t>
  </si>
  <si>
    <t>split 3.027</t>
  </si>
  <si>
    <t>split 3.02</t>
  </si>
  <si>
    <t>split 3.002</t>
  </si>
  <si>
    <t>high purity versus commercial peo</t>
  </si>
  <si>
    <t>only two temperatures, so can't fit easily</t>
  </si>
  <si>
    <t>10.1016/0167-2738(88)90305-0</t>
  </si>
  <si>
    <t>narrower PDI with no low MW tail</t>
  </si>
  <si>
    <t>conductivity depends on purity, but activation energy doesn't</t>
  </si>
  <si>
    <t>I</t>
  </si>
  <si>
    <t>0.01 mbar</t>
  </si>
  <si>
    <t>10.1063/1.3428389</t>
  </si>
  <si>
    <t>Karmakar, Ghosh, J Appl Phys 2010, 107, 104113</t>
  </si>
  <si>
    <t>does ionic radius - conductivity correlation</t>
  </si>
  <si>
    <t>AlCl4</t>
  </si>
  <si>
    <t>10.1295/polymj.20.577</t>
  </si>
  <si>
    <t>PEO varying MW, Balsara Timachova</t>
  </si>
  <si>
    <t>10.1021/acs.macromol.5b01724</t>
  </si>
  <si>
    <t>Timachova, Watanabe, Balsara, Macromolecules, 2015, 48, 7882-7888</t>
  </si>
  <si>
    <t>10.1016/S0167-2738(00)00594-4</t>
  </si>
  <si>
    <t xml:space="preserve">PEO LiPF6 (paper looked at filler MgAl2O4) 5 wt% </t>
  </si>
  <si>
    <t>symmetric cell Bruce and vincent</t>
  </si>
  <si>
    <t>above 30</t>
  </si>
  <si>
    <t>10.1016/j.electacta.2012.12.003</t>
  </si>
  <si>
    <t>10.1007/s11581-011-0524-8</t>
  </si>
  <si>
    <t>fits so poor that won't include</t>
  </si>
  <si>
    <t>new conductivity and transference number</t>
  </si>
  <si>
    <t>Bruce-vincent (slightly strange)</t>
  </si>
  <si>
    <t>10.1016/j.electacta.2016.12.172</t>
  </si>
  <si>
    <t>have transference at other temps as well…</t>
  </si>
  <si>
    <t>HAS OTHER REFERENCES FOR TRANSFERENCE!!</t>
  </si>
  <si>
    <t>FSI</t>
  </si>
  <si>
    <t>split 2.97</t>
  </si>
  <si>
    <t>10.1016/j.electacta.2014.04.099</t>
  </si>
  <si>
    <t>Zhang, Liu, Armand, Nie, Zhou Electrochimica Acta, 133, (2014) p. 529-538</t>
  </si>
  <si>
    <t>40, 63</t>
  </si>
  <si>
    <t>PEO LiBF4 and LiCF3SO3</t>
  </si>
  <si>
    <t>10.1021/ma00181a020</t>
  </si>
  <si>
    <t>split 2.8, low stop 3.1</t>
  </si>
  <si>
    <t>shows pesudo phase diagram which will be useful to reference in paper</t>
  </si>
  <si>
    <t>split 2.8</t>
  </si>
  <si>
    <t>split 2.96</t>
  </si>
  <si>
    <t>split 2.95</t>
  </si>
  <si>
    <t>Addition of calixpyrrole to increase t+</t>
  </si>
  <si>
    <t>Bruce-vincent</t>
  </si>
  <si>
    <t>10.1016/j.electacta.2005.02.067</t>
  </si>
  <si>
    <t>Use Fuoss-Kraus procedure to calculate aggregation</t>
  </si>
  <si>
    <t>PEO LiTFSI PFG</t>
  </si>
  <si>
    <t>10.1016/S0167-2738(02)00364-8</t>
  </si>
  <si>
    <t>Has more Tg data vs concentration, as well as phase behavior</t>
  </si>
  <si>
    <t xml:space="preserve"> 0.00011036</t>
  </si>
  <si>
    <t xml:space="preserve"> 0.00041629</t>
  </si>
  <si>
    <t>10.1016/0013-4686(92)80115-3</t>
  </si>
  <si>
    <t>Vallee, Besner, Prud'Homme, Electrochimica Acta, 37, 1992, 1579-1583</t>
  </si>
  <si>
    <t xml:space="preserve"> 0.00023032</t>
  </si>
  <si>
    <t xml:space="preserve"> 0.0010882</t>
  </si>
  <si>
    <t xml:space="preserve"> -48.045</t>
  </si>
  <si>
    <t xml:space="preserve"> 0.00025185</t>
  </si>
  <si>
    <t xml:space="preserve"> 0.0014994</t>
  </si>
  <si>
    <t xml:space="preserve"> -42.883</t>
  </si>
  <si>
    <t xml:space="preserve"> 0.00018966</t>
  </si>
  <si>
    <t xml:space="preserve"> 0.0015923</t>
  </si>
  <si>
    <t xml:space="preserve"> -18.914</t>
  </si>
  <si>
    <t xml:space="preserve"> 0.000030270</t>
  </si>
  <si>
    <t xml:space="preserve"> 0.00077904</t>
  </si>
  <si>
    <t xml:space="preserve"> -7.4070</t>
  </si>
  <si>
    <t xml:space="preserve"> 0.0000089392</t>
  </si>
  <si>
    <t xml:space="preserve"> 0.00042362</t>
  </si>
  <si>
    <t xml:space="preserve"> 7.4686</t>
  </si>
  <si>
    <t xml:space="preserve"> 0.000090908</t>
  </si>
  <si>
    <t xml:space="preserve"> 0.00012798</t>
  </si>
  <si>
    <t xml:space="preserve"> 0.00058012</t>
  </si>
  <si>
    <t xml:space="preserve"> 0.00030245</t>
  </si>
  <si>
    <t xml:space="preserve"> 0.0014547</t>
  </si>
  <si>
    <t xml:space="preserve"> -55.943</t>
  </si>
  <si>
    <t xml:space="preserve"> 0.00034470</t>
  </si>
  <si>
    <t xml:space="preserve"> 0.0017591</t>
  </si>
  <si>
    <t xml:space="preserve"> -50.194</t>
  </si>
  <si>
    <t xml:space="preserve"> 0.00032124</t>
  </si>
  <si>
    <t xml:space="preserve"> 0.0020780</t>
  </si>
  <si>
    <t xml:space="preserve"> -41.877</t>
  </si>
  <si>
    <t xml:space="preserve"> 0.000040154</t>
  </si>
  <si>
    <t xml:space="preserve"> 0.00026129</t>
  </si>
  <si>
    <t xml:space="preserve"> 0.0020921</t>
  </si>
  <si>
    <t xml:space="preserve"> -35.776</t>
  </si>
  <si>
    <t xml:space="preserve"> 0.000024709</t>
  </si>
  <si>
    <t xml:space="preserve"> 0.00019207</t>
  </si>
  <si>
    <t xml:space="preserve"> 0.0017836</t>
  </si>
  <si>
    <t xml:space="preserve"> -18.711</t>
  </si>
  <si>
    <t xml:space="preserve"> 0.000023182</t>
  </si>
  <si>
    <t xml:space="preserve"> 0.00051447</t>
  </si>
  <si>
    <t>170C for 1 h extra drying</t>
  </si>
  <si>
    <t>10.1021/ma00103a034</t>
  </si>
  <si>
    <t>MPSA</t>
  </si>
  <si>
    <t>PEO synthesized themselves</t>
  </si>
  <si>
    <t>split 3.03</t>
  </si>
  <si>
    <t>dried until constant weight</t>
  </si>
  <si>
    <t>10.1021/ma400266w</t>
  </si>
  <si>
    <t>split 3.03, hightest 2.4</t>
  </si>
  <si>
    <t>split 3.04, end high at 2.5</t>
  </si>
  <si>
    <t>split 3.05, end high at 2.5</t>
  </si>
  <si>
    <t>split 2.83, end high at 2.43</t>
  </si>
  <si>
    <t>end high 2.4</t>
  </si>
  <si>
    <t>youngs modulus (Mpa)</t>
  </si>
  <si>
    <t>ether</t>
  </si>
  <si>
    <t>poly(ethylene oxide)</t>
  </si>
  <si>
    <t>Wagner polarization</t>
  </si>
  <si>
    <t>10.1016/0167-2738(88)90319-0</t>
  </si>
  <si>
    <t>poly(ethyleneoxide-co-propyleneoxide)</t>
  </si>
  <si>
    <t>C(C)OC</t>
  </si>
  <si>
    <t>poly(propyleneoxide)</t>
  </si>
  <si>
    <t>DMS-1EO</t>
  </si>
  <si>
    <t>﻿poly(dimethyl siloxane-co-ethylene oxide)</t>
  </si>
  <si>
    <t>[Si](C)(C)O</t>
  </si>
  <si>
    <t>benzene</t>
  </si>
  <si>
    <t>10.1002/pol.1984.130221205</t>
  </si>
  <si>
    <t>DMS-2EO</t>
  </si>
  <si>
    <t>DMS-4EO</t>
  </si>
  <si>
    <t>DMS-9EO</t>
  </si>
  <si>
    <t>poly(ethyleneoxide-co-methyleneoxide)</t>
  </si>
  <si>
    <t>CO</t>
  </si>
  <si>
    <t>10.1016/0167-2738(88)90318-9</t>
  </si>
  <si>
    <t>vac dry 20h first</t>
  </si>
  <si>
    <t>10.1016/0167-2738(92)90292-W</t>
  </si>
  <si>
    <t>alcohol</t>
  </si>
  <si>
    <t>ether, sulfonyl</t>
  </si>
  <si>
    <t>poly(allylalcohol-co-sulfur dioxide)</t>
  </si>
  <si>
    <t>CC(CO)</t>
  </si>
  <si>
    <t>S(=O)O</t>
  </si>
  <si>
    <t>no time/temp given</t>
  </si>
  <si>
    <t>acetate</t>
  </si>
  <si>
    <t>poly(vinylacetate-co-sulfur dioxide)</t>
  </si>
  <si>
    <t>acrylamide</t>
  </si>
  <si>
    <t>poly(acrylamide-co-sulfur dioxide)</t>
  </si>
  <si>
    <t>P((EO)1.8(SO2))</t>
  </si>
  <si>
    <t>poly(ethyleneoxide-co-sulfur dioxide)</t>
  </si>
  <si>
    <t>P(EO/MEEGE)-5/LiTFSI</t>
  </si>
  <si>
    <t>poly[ethylene oxide-co-2-(2-methoxyethoxy)ethyl glycidyl ether]</t>
  </si>
  <si>
    <t>C(COCCOCCOC)OC</t>
  </si>
  <si>
    <t>split 3.2</t>
  </si>
  <si>
    <t>neat polymer 38%  crystalline</t>
  </si>
  <si>
    <t>10.1016/S0013-4686(97)10017-2</t>
  </si>
  <si>
    <t>split 3.3</t>
  </si>
  <si>
    <t>Bruce-Vincent</t>
  </si>
  <si>
    <t>split 3.4</t>
  </si>
  <si>
    <t>P(EO/MEEGE)-5/LiClO4</t>
  </si>
  <si>
    <t>P(EO/MEEGE)-9/LiTFSI</t>
  </si>
  <si>
    <t>split 3.1</t>
  </si>
  <si>
    <t>neat polymer 14% crystalline</t>
  </si>
  <si>
    <t>split 3.35</t>
  </si>
  <si>
    <t>P(EO/MEEGE)-9/LiClO4</t>
  </si>
  <si>
    <t>P(EO/MEEGE)-27/ClO4</t>
  </si>
  <si>
    <t>salt conc = [Li]/[EO O]</t>
  </si>
  <si>
    <t>10.1016/S0378-7753(99)00250-5</t>
  </si>
  <si>
    <t>P(EO/MEEGE)-27/TFSI</t>
  </si>
  <si>
    <t>P(EO/MEEGE)-16/TFSI</t>
  </si>
  <si>
    <t>P(EO/MEEGE)-17/TFSI</t>
  </si>
  <si>
    <t>P(EO/MEEGE)-20/TFSI</t>
  </si>
  <si>
    <t>P(EO/MEEGE)-47/TFSI</t>
  </si>
  <si>
    <t>P((EO)1(SO2))</t>
  </si>
  <si>
    <t>poly(ethylene oxide-co-sulfur dioxide)</t>
  </si>
  <si>
    <t>casted thin films</t>
  </si>
  <si>
    <t>10.1016/0013-4686(92)80110-8</t>
  </si>
  <si>
    <t>Z. Florjanczyk, E. Zygadlo-Monikowska, D. Raducha, K. Such, W. Wieczorek, Electrochim. Acta, 1992, 37(9), 1555-1558</t>
  </si>
  <si>
    <t>poly (allyl glycidyl ether)</t>
  </si>
  <si>
    <t>C(COCC=C)OC</t>
  </si>
  <si>
    <t>dry polymer stirred at 50C with LiTFSI &gt;3h</t>
  </si>
  <si>
    <t>10.1021/ma401267w</t>
  </si>
  <si>
    <t>PAGE-TFSI_01</t>
  </si>
  <si>
    <t>PAGE-TFSI_02</t>
  </si>
  <si>
    <t>PAGE-TFSI_03</t>
  </si>
  <si>
    <t>PAGE-TFSI_04</t>
  </si>
  <si>
    <t>PAGE-TFSI_06</t>
  </si>
  <si>
    <t>PAGE-TFSI_10</t>
  </si>
  <si>
    <t>PAGE-(EO)0</t>
  </si>
  <si>
    <t>PAGE-(EO)2</t>
  </si>
  <si>
    <t>poly (allyl glycidyl ether di(ethylene glycol))</t>
  </si>
  <si>
    <t>C(COCCCSCCOCCOC)OC</t>
  </si>
  <si>
    <t>PAGE-(EO)3</t>
  </si>
  <si>
    <t>poly (allyl glycidyl ether tri(ethylene glycol))</t>
  </si>
  <si>
    <t>C(COCCCSCCOCCOCCOC)OC</t>
  </si>
  <si>
    <t>P(EO-co-AGE)-77</t>
  </si>
  <si>
    <t>poly (ethylene glycol co allyl glycidyl ether)</t>
  </si>
  <si>
    <t>high vs low: don't include lowest temp, 1000/T 3.3</t>
  </si>
  <si>
    <t>P(EO-co-AGE)-61</t>
  </si>
  <si>
    <t>P(EO-co-AGE)-56</t>
  </si>
  <si>
    <t>P(EO-co-AGE)-32</t>
  </si>
  <si>
    <t>PEM9</t>
  </si>
  <si>
    <t>ether, acrylate</t>
  </si>
  <si>
    <t>﻿poly(methoxy polyethylene glycol monomethacrylate)</t>
  </si>
  <si>
    <t>CC(C(=O)OCCOCCOCCOCCOCCOCCOCCOCCOCCOC)(C)</t>
  </si>
  <si>
    <t>10.1016/0032-3861(84)90152-6</t>
  </si>
  <si>
    <t>PEM22</t>
  </si>
  <si>
    <t>CC(C(=O)OCCOCCOCCOCCOCCOCCOCCOCCOCCOCCOCCOCCOCCOCCOCCOCCOCCOCCOCCOCCOCCOCCOC)(C)</t>
  </si>
  <si>
    <t>polymer becomes crystalline after few days; cond measurements taken before</t>
  </si>
  <si>
    <t>PMG22</t>
  </si>
  <si>
    <t>dried under vacuum for several days</t>
  </si>
  <si>
    <t>10.1016/0167-2738(84)90102-4</t>
  </si>
  <si>
    <t>PMG22PS</t>
  </si>
  <si>
    <t>﻿poly(methoxy polyethylene glycol monomethacrylate-co-styrene)</t>
  </si>
  <si>
    <t>C(C1=CC=CC=C1)C</t>
  </si>
  <si>
    <t>PE2A</t>
  </si>
  <si>
    <t>polyacrylate ether</t>
  </si>
  <si>
    <t>dimethoxyethane</t>
  </si>
  <si>
    <t>solvent is either acetonitrile or dimethoxyethane</t>
  </si>
  <si>
    <t>10.1016/S0378-7753(00)00423-7</t>
  </si>
  <si>
    <t>Buriez, O.; Han, Y. B.; Hou, J.; Kerr, J. B.; Qiao, J.; Sloop, S. E.; Tian, M. M.; Wang, S. G. J. Power Sources 2000, 89, 149-155</t>
  </si>
  <si>
    <t>PE3A</t>
  </si>
  <si>
    <t>PE5A</t>
  </si>
  <si>
    <t>PE6A</t>
  </si>
  <si>
    <t>PVE3</t>
  </si>
  <si>
    <t>polyvinyl ether</t>
  </si>
  <si>
    <t>C(OCCOCCOCCOC)C</t>
  </si>
  <si>
    <t>PVE4</t>
  </si>
  <si>
    <t>C(OCCOCCOCCOCCOC)C</t>
  </si>
  <si>
    <t>PVE5</t>
  </si>
  <si>
    <t>C(OCCOCCOCCOCCOCCOC)C</t>
  </si>
  <si>
    <t>PVBE5</t>
  </si>
  <si>
    <t>ether, benzyl</t>
  </si>
  <si>
    <t>polyvinylbenzyl ether</t>
  </si>
  <si>
    <t>C(C1=CC=C(COCCOCCOCCOCCOCCOC)C=C1)C</t>
  </si>
  <si>
    <t>PEPE5</t>
  </si>
  <si>
    <t>polyepoxide ether</t>
  </si>
  <si>
    <t>C(COCCOCCOCCOCCOCCOC)OC</t>
  </si>
  <si>
    <t>PEMO-TFSI20</t>
  </si>
  <si>
    <t>oxymethylene-linked poly(ethylene oxide)</t>
  </si>
  <si>
    <t>COCCOCCOCCOCCOCCOCCOCCOCCOCOC</t>
  </si>
  <si>
    <t>restricted diffusion</t>
  </si>
  <si>
    <t xml:space="preserve">solvent is either acetonitrile or dimethoxyethane; transference data from ﻿M.M. Doeff, L. Edman, S.E. Sloop, J.B. Kerr, L.C. De Jonghe, Journal of Power Sources 2000 </t>
  </si>
  <si>
    <t>PEMO-TFSI15</t>
  </si>
  <si>
    <t>PEMO-TFSI8</t>
  </si>
  <si>
    <t>PEMO-Tf20</t>
  </si>
  <si>
    <t>p(Nme)20</t>
  </si>
  <si>
    <t>amide, ether</t>
  </si>
  <si>
    <t>poly ﻿N-(2-methoxylethyl)glycine</t>
  </si>
  <si>
    <t>C(=O)N(CCOC)C</t>
  </si>
  <si>
    <t>10.1021/ma300775b</t>
  </si>
  <si>
    <t>p(Nde)20</t>
  </si>
  <si>
    <t>poly ﻿N-(2-(2-methoxyethoxy)ethyl)glycine</t>
  </si>
  <si>
    <t>C(=O)N(CCOCCOC)C</t>
  </si>
  <si>
    <t>p(Nte)20</t>
  </si>
  <si>
    <t>﻿poly N-(2-(2-(2-methoxyethoxy)ethoxy)ethyl)glycine</t>
  </si>
  <si>
    <t>C(=O)N(CCOCCOCCOC)C</t>
  </si>
  <si>
    <t>Tf 01</t>
  </si>
  <si>
    <t>ether, phosphazene</t>
  </si>
  <si>
    <t>﻿poly[bis(2-(2-methoxyethoxy)ethoxy)phosphazene]</t>
  </si>
  <si>
    <t>P(OCCOCCOC)(OCCOCCOC)=N</t>
  </si>
  <si>
    <t>10.1016/j.ssi.2010.09.051</t>
  </si>
  <si>
    <t>Tf 02</t>
  </si>
  <si>
    <t>Tf 04</t>
  </si>
  <si>
    <t>Tf 08</t>
  </si>
  <si>
    <t>Tf 12</t>
  </si>
  <si>
    <t>Tf 25</t>
  </si>
  <si>
    <t>Tf 50</t>
  </si>
  <si>
    <t>TFSI 01</t>
  </si>
  <si>
    <t>TFSI 02</t>
  </si>
  <si>
    <t>TFSI 04</t>
  </si>
  <si>
    <t>TFSI 08</t>
  </si>
  <si>
    <t>TFSI 12</t>
  </si>
  <si>
    <t>TFSI 25</t>
  </si>
  <si>
    <t>TFSI 50</t>
  </si>
  <si>
    <t>m=2</t>
  </si>
  <si>
    <t>poly (﻿methoxy oligo(ethyleneoxy)ethyl-alt-vinylene carbonate)</t>
  </si>
  <si>
    <t>CC(OCCOCCOC)</t>
  </si>
  <si>
    <t>C1OC(=O)OC1</t>
  </si>
  <si>
    <t>10.1016/j.electacta.2013.08.124</t>
  </si>
  <si>
    <t>Itoh, Fujita, Inoue, Iwama, Kondoh, Uno, Kubo. Electrochim Acta, 112, 2013, 221-229</t>
  </si>
  <si>
    <t>m=3</t>
  </si>
  <si>
    <t>CC(OCCOCCOCCOC)</t>
  </si>
  <si>
    <t>m=5</t>
  </si>
  <si>
    <t>CC(OCCOCCOCCOCCOCCOC)</t>
  </si>
  <si>
    <t>m=7.5</t>
  </si>
  <si>
    <t>CC(OCCOCCOCCOCCOCCOCCOCCOC)</t>
  </si>
  <si>
    <t>m=10</t>
  </si>
  <si>
    <t>CC(OCCOCCOCCOCCOCCOCCOCCOCCOCCOCCOC)</t>
  </si>
  <si>
    <t>m=15</t>
  </si>
  <si>
    <t>CC(OCCOCCOCCOCCOCCOCCOCCOCCOCCOCCOCCOCCOCCOCCOCCOC)</t>
  </si>
  <si>
    <t>m=23.5</t>
  </si>
  <si>
    <t>CC(OCCOCCOCCOCCOCCOCCOCCOCCOCCOCCOCCOCCOCCOCCOCCOCCOCCOCCOCCOCCOCCOCCOCCOC)</t>
  </si>
  <si>
    <t>Phe</t>
  </si>
  <si>
    <t>poly (phenyl glycidyl ether-alt-carbon dioxide)</t>
  </si>
  <si>
    <t>C(COC1=CC=CC=C1)OC</t>
  </si>
  <si>
    <t>C(=O)O</t>
  </si>
  <si>
    <t>chloroform</t>
  </si>
  <si>
    <t>10.1016/j.polymer.2010.07.037</t>
  </si>
  <si>
    <t>Tominaga, Shimomura, Nakamura. Polymer. 51, 2010, 4295-4298</t>
  </si>
  <si>
    <t>tBu</t>
  </si>
  <si>
    <t>poly (tert-butyl glycidyl ether-alt-carbon dioxide)</t>
  </si>
  <si>
    <t>C(COC(C)(C)C)OC</t>
  </si>
  <si>
    <t>nBu</t>
  </si>
  <si>
    <t>poly (n-butyl glycidyl ether-alt-carbon dioxide)</t>
  </si>
  <si>
    <t>C(COCCCC)OC</t>
  </si>
  <si>
    <t>MeEt</t>
  </si>
  <si>
    <t>poly (methoxy ethyl glycidyl ether-alt-carbon dioxide)</t>
  </si>
  <si>
    <t>C(COCCOC)OC</t>
  </si>
  <si>
    <t>CC(C(=O)N)</t>
  </si>
  <si>
    <t>C(C(=O)OCCOCCOC)</t>
  </si>
  <si>
    <t>C(C(=O)OCCOCCOCCOC)</t>
  </si>
  <si>
    <t>C(C(=O)OCCOCCOCCOCCOCCOC)</t>
  </si>
  <si>
    <t>C(C(=O)OCCOCCOCCOCCOCCOCCOC)</t>
  </si>
  <si>
    <t>na</t>
  </si>
  <si>
    <t>unpublished 1</t>
  </si>
  <si>
    <t>unpublished 2</t>
  </si>
  <si>
    <t>phenyl</t>
  </si>
  <si>
    <t>carbonate, ether, phenyl</t>
  </si>
  <si>
    <t>ether, acrylate, phenyl</t>
  </si>
  <si>
    <t>poly (ethylene oxide-co-epoxy octane)</t>
  </si>
  <si>
    <t>C(CCCCCC)OC</t>
  </si>
  <si>
    <t>vacuum &gt;10^-3 mmHg</t>
  </si>
  <si>
    <t>10.1021/ma00207a006</t>
  </si>
  <si>
    <t>poly (ethylene oxide-co-butyl glycidyl ether)</t>
  </si>
  <si>
    <t>poly (ethylene oxide-co-methyl glycidyl ether)</t>
  </si>
  <si>
    <t>C(COC)OC</t>
  </si>
  <si>
    <t>poly (ethylene oxide-co-ethoxyethyl glycidyl ether)</t>
  </si>
  <si>
    <t>C(COCCOCC)OC</t>
  </si>
  <si>
    <t>poly (ethylene oxide-co-digol ethyl glycidyl ether)</t>
  </si>
  <si>
    <t>C(COCCOCCOCC)OC</t>
  </si>
  <si>
    <t>poly (ethylene oxide-co-digol methyl glycidyl ether)</t>
  </si>
  <si>
    <t>poly (ethylene oxide-co-trigol methyl glycidyl ether)</t>
  </si>
  <si>
    <t>C(COCCOCCOCCOC)OC</t>
  </si>
  <si>
    <t>[Si](C)(CCSCCCCCCCN1C=NC=C1)O</t>
  </si>
  <si>
    <t>[Si](C)(CCSCCCC(=O)NCCN1C=NC=C1)O</t>
  </si>
  <si>
    <t>[Si](C)(CCSCCCCCCCC1=CC=CC=C1)O</t>
  </si>
  <si>
    <t>O[Si](C)(CCSCC)</t>
  </si>
  <si>
    <t>Tominaga Y, Nanthana V, Tohyama D. Ionic conduction in poly(ethylene carbonate)-based rubbery electrolytes including lithium salts. Polym J 2012;44:1155-1158.</t>
  </si>
  <si>
    <t>Tominaga Y, Yamazaki K, Nanthana V. Effect of anions on lithium ion conduction in poly(ethylene carbonate)-based polymer electrolytes. J Electrochem Soc 2015;162:A3133-3136</t>
  </si>
  <si>
    <t>Motomatsu J, Kodama H, Furukawa T, Tominaga Y. Dielectric relaxation and ionic transport in poly(ethylene carbonate)-based electrolytes. Polym Adv Technol 2017;28:362-366</t>
  </si>
  <si>
    <t>Konieczynska MD, Lin X, Zhang H, Grinstaff MW. Synthesis of aliphatic poly(ether 1,2-glycerol carbonate)s via copolymerization of CO2 with glycidyl ethers using a cobalt salen catalyst and study of a thermally stable solid polymer electrolyte. ACS Macro Lett 2015;4:533-537.</t>
  </si>
  <si>
    <t>Sun B, Mindemark J, Morozov EV, Costa LT, Bergman M, Johansson P, et al. Ion transport in polycarbonate based solid polymer electrolytes: experimental and computational investigations. Phys Chem Chem Phys 2016;18:9504-9513</t>
  </si>
  <si>
    <t>Sun B, Mindemark J, Edstroem K, Brandell D. Polycarbonate-based solid polymer electrolytes for Li-ion batteries. Solid State Ionics 2014;262:738-742</t>
  </si>
  <si>
    <t>Okumura T, Nishimura S. Lithium ion conductive properties of aliphatic polycarbonate. Solid State Ionics 2014;267:68-73</t>
  </si>
  <si>
    <t>Florjanczyk Z, Zygadlo-Monikowska E, Wieczorek W, Ryszawy A, Tomaszewska A, Fredman K, et al. Polymer-in-salt electrolytes based on acrylonitrile/butyl acrylate copolymers and lithium salts. J Phys Chem B 2004;108:14907-14914.</t>
  </si>
  <si>
    <t>Kaplan ML, Rietman EA, Cava RJ, Holt LK, Chandross EA. Crown ether enhancement of ionic conductivity in a polymer-salt system. Solid State Ionics 1987;25:37-40.</t>
  </si>
  <si>
    <t>Matsumoto K, Kakehashi M, Ouchi H, Yuasa M, Endo T. Synthesis and properties of polycarbosilanes having 5-membered cyclic carbonate groups as solid polymer electrolytes. Macromolecules 2016;49:9441-9448.</t>
  </si>
  <si>
    <t>Lee YC, Ratner MA, Shriver DF. Ionic conductivity in the poly(ethylene malonate)/lithium triflate system. Solid State Ionics 2001;138:273-276</t>
  </si>
  <si>
    <t>Lin C-K, Wu ID. Investigating the effect of interaction behavior on the ionic conductivity of polyester/LiClO4 blend systems. Polymer 2011;52:4106-4113</t>
  </si>
  <si>
    <t>Pesko DM, Jung Y, Hasan AL, Webb MA, Coates GW, Miller III TF, et al. Effect of monomer structure on ionic conductivity in a systematic set of polyester electrolytes. Solid State Ionics 2016;289:118-124.</t>
  </si>
  <si>
    <t>Wei XY, Shriver DF. Highly conductive polymer electrolytes containing rigid polymers. Chem Mater 1998;10:2307-2308.</t>
  </si>
  <si>
    <t>Fonseca CP, Rosa DS, Gaboardi F, Neves S. Development of a biodegradable polymer electrolyte for rechargeable batteries. J Power Sources 2006;155:381-384</t>
  </si>
  <si>
    <t>Watanabe M, Rikukawa M, Sanui K, Ogata N. Effects of polymer structure and incorporated salt species on ionic conductivity of polymer complexes formed by aliphatic polyester and alkali metal thiocyanate. Macromolecules 1986;19:188-192</t>
  </si>
  <si>
    <t>Mitsuda H, Uno T, Kubo M, Itoh T. Solid polymer electrolytes based on poly(1,3-diacetyl-4-imidazolin-2-one). Polym Bull 2006;57:313-319.</t>
  </si>
  <si>
    <t>Yoon HK, Chung WS, Jo NJ. Study on ionic transport mechanism and interactions between salt and polymer chain in PAN based solid polymer electrolytes containing LiCF3SO3. Electrochim Acta 2004;50:289-293</t>
  </si>
  <si>
    <t>Saunier J, Alloin F, Sanchez JY. Electrochemical and spectroscopic studies of polymethacrylonitrile based electrolytes. Electrochim Acta 2000;45:1255-1263.</t>
  </si>
  <si>
    <t>Erickson M, Frech R, Glatzhofer DT. Solid polymer/salt electrolytes based on linear poly((N-2-cyanoethyl)ethylenimine). Electrochim Acta 2003;48:2059-2063</t>
  </si>
  <si>
    <t>MacFarlane DR, Zhou F, Forsyth M. Ion conductivity in amorphous polymer/salt mixtures. Solid State Ionics 1998;113:193-197.</t>
  </si>
  <si>
    <t>Ek G, Jeschull F, Bowden T, Brandell D. Li-ion batteries using electrolytes based on mixtures of poly(vinyl alcohol) and lithium bis(triflouromethane) sulfonamide salt. Electrochim Acta 2017;246:208-212</t>
  </si>
  <si>
    <t>Tanaka R, Fujita T, Nishibayashi H, Saito S. Ionic conduction in poly(ethylenimine)- and poly(N-methylethylenimine)-lithium salt systems. Solid State Ionics 1993;60:119-123</t>
  </si>
  <si>
    <t>Paul JL, Jegat C, Lassegues JC. Branched poly(ethyleneimine)-CF3SO3Li complexes. Electrochim Acta 1992;37:1623-1625.</t>
  </si>
  <si>
    <t>Pehlivan IB, Marsal R, Niklasson GA, Granqvist CG, Georen P. PEI-LiTFSI electrolytes for electrochromic devices: characterization by differential scanning calorimetry and viscosity measurements. Sol Energy Mater Sol Cells 2010;94:2399-2404</t>
  </si>
  <si>
    <t>Babu HV, Srinivas B, Muralidharan K. Design of polymers with an intrinsic disordered framework for Li-ion conducting solid polymer electrolytes. Polymer 2015;75:10-16</t>
  </si>
  <si>
    <t>Sato A, Okumura T, Nishimura S, Yamamoto H, Ueyama N. Lithium ion conductive polymer electrolyte by side group rotation. J Power Sources 2005;146:423-426</t>
  </si>
  <si>
    <t>Schauser, N. S.; Sanoja, G. E.; Bartels, J. M.; Jain, S. K.; Hu, J. G.; Han, S.; Walker, L. M.; Helgeson, M. E.; Seshadri, R.; Segalman, R. A. Decoupling Bulk Mechanics and Mono- and Multivalent Ion Transport in Polymers Based on Metal-Ligand Coordination, Chem. Mater. 2018, 30, 5759- 5769. </t>
  </si>
  <si>
    <t>Schauser, N. S.; Grzetic, D. J.; Tabassum, T.; Kliegle, G. A.; Le, M. L.; Susca, E. M.; Antoine, S.; Keller, T. J.; Delaney, K. T.; Han, S.; Seshadri, R.; Fredrickson, G. H.; Segalman, R. A., The Role of Backbone Polarity on Aggregation and Conduction of Ions in Polymer Electrolytes. J. Am. Chem. Soc. 2020, 142, 7055-7065.</t>
  </si>
  <si>
    <t>Schauser, N. S.; Richardson, P. M.; Nikolaev, A.; Cooke, P.; Kliegle, G. A.; Susca, E. M.; Johnson, K.; Wang, H.; Read de Alaniz, J.; Clement, R. J.; Segalman, R. A. Optimum in Ligand Density for Conductivity in Polymer Electrolytes. Submitted</t>
  </si>
  <si>
    <t>Schauser, N. S.; Nikolaev, A.; Richardson, P. M.; Xie, S.; Johnson, K.; Susca, E. M.; Wang, H.; Seshadri, R.; Clement, R. J.; Read de Alaniz, J.; Segalman, R. A. The Glass Transition Temperature and Ion Binding Determine Conductivity and Lithium-Ion Transport in Polymer Electrolytes. ACS Macro Lett. 2020, 10, 104–109.</t>
  </si>
  <si>
    <t>C. D. Robitaille and D. Fauteux, J. Electrochem. Soc., 1986, 133, 315-325.</t>
  </si>
  <si>
    <t>D. Fauteux, J. Prud'Homme and P. E. Harvey, Solid State Ionics, 1988, 28-30(2), 923-928.</t>
  </si>
  <si>
    <t>M. Z. A. Munshi and B. B. Owens, Polym. J., 1988, 20, 577-586</t>
  </si>
  <si>
    <t>A. Magistris, P. Mustarelli, E. Quartarone and C. Tomasi, Solid State Ionics, 2000, 136-137, 1241-1247.</t>
  </si>
  <si>
    <t>N. Angulakshmi, K. S. Nahm, J. R. Nair, C. Gerbaldi, R. Bongiovanni, N. Penazzi and A. M. Stephan, Electrochim. Acta, 2013, 90, 179-185</t>
  </si>
  <si>
    <t>S. Ibrahim, M. Yassin, R. Ahmad and M. Johan, Ionics, 2011, 17, 399-405.</t>
  </si>
  <si>
    <t>Pozyczka, K., Marzantowicz, M., Dygas, J. R., Krok, F., Electrochim Acta, 2017, 227, 127-135</t>
  </si>
  <si>
    <t>S. M. Zahurak, M. L. Kaplan, E. A. Rietman, D. W. Murphy and R. J. Cava, Macromolecules, 1988, 21, 654-660</t>
  </si>
  <si>
    <t>M. Kalita, M. Bukat, M. Ciosek, M. Siekierski, S. H. Chung, T. Rodriguez, S. G. Greenbaum, R. Kovarsky, D. Golodnitsky, E. Peled, D. Zane, B. Scrosati and W. Wieczorek, Electrochim. Acta, 2005, 50, 3942-3948</t>
  </si>
  <si>
    <t>G. Oraedd, L. Edman and A. Ferry, Solid State Ionics, 2002, 152-153, 131-136.</t>
  </si>
  <si>
    <t>S. Lascaud, M. Perrier, A. Vallee, S. Besner, J. Prud'homme and M. Armand, Macromolecules, 1994, 27, 7469-7477</t>
  </si>
  <si>
    <t>G. Zardalidis, E. Ioannou, S. Pispas and G. Floudas, Macromolecules, 2013, 46, 2705-2714.</t>
  </si>
  <si>
    <t>P. Passiniemi, S. Takkumaki, J. Kankare and M. Syrjama, Solid State Ionics, 1988, 28â€“30(2), 1001â€“1003</t>
  </si>
  <si>
    <t>K. Nagaoka, H. Naruse, I. Shinohara and M. Watanabe, J. Polym. Sci., Polym. Lett. Ed., 1984, 22, 659â€“663.</t>
  </si>
  <si>
    <t>E. Linden and J. R. Owen, Solid State Ionics, 1988, 28â€“30(2), 994â€“1000</t>
  </si>
  <si>
    <t>J. PrzyÅ‚uski and W. Wieczorek, Solid State Ionics, 1992, 53â€“ 56(2), 1071â€“1076</t>
  </si>
  <si>
    <t>A. Nishimoto, M. Watanabe, Y. Ikeda and S. Kohjiya, Electrochim. Acta, 1998, 43, 1177â€“1184</t>
  </si>
  <si>
    <t>M. Watanabe, T. Endo, A. Nishimoto, K. Miura and M. Yanagida, J. Power Sources, 1999, 81â€“82, 786â€“789.</t>
  </si>
  <si>
    <t>K. P. Barteau, M. Wolffs, N. A. Lynd, G. H. Fredrickson, E. J. Krarner and C. J. Hawker, Macromolecules, 2013, 46, 8988â€“8994</t>
  </si>
  <si>
    <t>D. J. Bannister, G. R. Davies, I. M. Ward and J. E. McIntyre, Polymer, 1984, 25, 1600â€“1602.</t>
  </si>
  <si>
    <t>D. W. Xia, D. Soltz and J. Smid, Solid State Ionics, 1984, 14, 221â€“224</t>
  </si>
  <si>
    <t>J. Sun, G. M. Stone, N. P. Balsara and R. N. Zuckermann, Macromolecules, 2012, 45, 5151â€“5156</t>
  </si>
  <si>
    <t>D.K. Lee, H.R. Allcock / Solid State Ionics 181 (2010) 1721â€“1726</t>
  </si>
  <si>
    <t>D. G. H. Ballard, P. Cheshire, T. S. Mann and J. E. Przeworski, Macromolecules, 1990, 23, 1256â€“1264.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</si>
</sst>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 x14ac:knownFonts="1">
    <font>
      <sz val="11"/>
      <color theme="1"/>
      <name val="Calibri"/>
      <family val="2"/>
      <scheme val="minor"/>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48">
    <xf numFmtId="0" fontId="0" fillId="0" borderId="0" xfId="0"/>
    <xf numFmtId="0" fontId="0" fillId="0" borderId="1" xfId="0" applyBorder="1"/>
    <xf numFmtId="2" fontId="0" fillId="0" borderId="1" xfId="0" applyNumberFormat="1" applyBorder="1"/>
    <xf numFmtId="11" fontId="0" fillId="0" borderId="1" xfId="0" applyNumberFormat="1" applyBorder="1"/>
    <xf numFmtId="2" fontId="0" fillId="0" borderId="0" xfId="0" applyNumberFormat="1"/>
    <xf numFmtId="11" fontId="0" fillId="0" borderId="0" xfId="0" applyNumberFormat="1"/>
    <xf numFmtId="0" fontId="0" fillId="2" borderId="0" xfId="0" applyFill="1"/>
    <xf numFmtId="2" fontId="0" fillId="2" borderId="0" xfId="0" applyNumberFormat="1" applyFill="1"/>
    <xf numFmtId="0" fontId="0" fillId="0" borderId="2" xfId="0" applyBorder="1"/>
    <xf numFmtId="2" fontId="0" fillId="0" borderId="2" xfId="0" applyNumberFormat="1" applyBorder="1"/>
    <xf numFmtId="11" fontId="0" fillId="0" borderId="2" xfId="0" applyNumberFormat="1" applyBorder="1"/>
    <xf numFmtId="0" fontId="0" fillId="0" borderId="3" xfId="0" applyBorder="1"/>
    <xf numFmtId="164" fontId="0" fillId="0" borderId="0" xfId="0" applyNumberFormat="1"/>
    <xf numFmtId="164" fontId="0" fillId="0" borderId="1" xfId="0" applyNumberFormat="1" applyBorder="1"/>
    <xf numFmtId="11" fontId="0" fillId="2" borderId="0" xfId="0" applyNumberFormat="1" applyFill="1"/>
    <xf numFmtId="0" fontId="1" fillId="0" borderId="0" xfId="0" applyFont="1"/>
    <xf numFmtId="11" fontId="0" fillId="0" borderId="3" xfId="0" applyNumberFormat="1" applyBorder="1"/>
    <xf numFmtId="0" fontId="2" fillId="0" borderId="0" xfId="0" applyFont="1"/>
    <xf numFmtId="0" fontId="2" fillId="0" borderId="3" xfId="0" applyFont="1" applyBorder="1"/>
    <xf numFmtId="0" fontId="2" fillId="0" borderId="1" xfId="0" applyFont="1" applyBorder="1"/>
    <xf numFmtId="0" fontId="0" fillId="3" borderId="0" xfId="0" applyFill="1"/>
    <xf numFmtId="0" fontId="0" fillId="3" borderId="1" xfId="0" applyFill="1" applyBorder="1"/>
    <xf numFmtId="0" fontId="1" fillId="0" borderId="1" xfId="0" applyFont="1" applyBorder="1"/>
    <xf numFmtId="165" fontId="0" fillId="0" borderId="0" xfId="0" applyNumberFormat="1"/>
    <xf numFmtId="165" fontId="0" fillId="0" borderId="1" xfId="0" applyNumberFormat="1" applyBorder="1"/>
    <xf numFmtId="2" fontId="0" fillId="0" borderId="3" xfId="0" applyNumberFormat="1" applyBorder="1"/>
    <xf numFmtId="0" fontId="0" fillId="2" borderId="1" xfId="0" applyFill="1" applyBorder="1"/>
    <xf numFmtId="11" fontId="2" fillId="0" borderId="0" xfId="0" applyNumberFormat="1" applyFont="1"/>
    <xf numFmtId="0" fontId="1" fillId="0" borderId="2" xfId="0" applyFont="1" applyBorder="1"/>
    <xf numFmtId="0" fontId="2" fillId="0" borderId="2" xfId="0" applyFont="1" applyBorder="1"/>
    <xf numFmtId="0" fontId="0" fillId="4" borderId="0" xfId="0" applyFill="1"/>
    <xf numFmtId="1" fontId="0" fillId="0" borderId="0" xfId="0" applyNumberFormat="1"/>
    <xf numFmtId="1" fontId="0" fillId="0" borderId="1" xfId="0" applyNumberFormat="1" applyBorder="1"/>
    <xf numFmtId="0" fontId="0" fillId="4" borderId="3" xfId="0" applyFill="1" applyBorder="1"/>
    <xf numFmtId="166" fontId="0" fillId="0" borderId="0" xfId="0" applyNumberFormat="1"/>
    <xf numFmtId="0" fontId="0" fillId="0" borderId="0" xfId="0" applyAlignment="1">
      <alignment horizontal="left"/>
    </xf>
    <xf numFmtId="11" fontId="0" fillId="0" borderId="0" xfId="0" applyNumberFormat="1" applyAlignment="1">
      <alignment horizontal="left"/>
    </xf>
    <xf numFmtId="0" fontId="0" fillId="4" borderId="1" xfId="0" applyFill="1" applyBorder="1"/>
    <xf numFmtId="166" fontId="0" fillId="0" borderId="1" xfId="0" applyNumberFormat="1" applyBorder="1"/>
    <xf numFmtId="0" fontId="0" fillId="0" borderId="1" xfId="0" applyBorder="1" applyAlignment="1">
      <alignment horizontal="left"/>
    </xf>
    <xf numFmtId="11" fontId="0" fillId="0" borderId="1" xfId="0" applyNumberFormat="1" applyBorder="1" applyAlignment="1">
      <alignment horizontal="left"/>
    </xf>
    <xf numFmtId="2" fontId="0" fillId="0" borderId="0" xfId="0" applyNumberFormat="1" applyAlignment="1">
      <alignment horizontal="left"/>
    </xf>
    <xf numFmtId="0" fontId="0" fillId="0" borderId="0" xfId="0" applyFill="1" applyBorder="1"/>
    <xf numFmtId="0" fontId="0" fillId="0" borderId="0" xfId="0" applyAlignment="1">
      <alignment horizontal="right"/>
    </xf>
    <xf numFmtId="1" fontId="0" fillId="0" borderId="0" xfId="0" applyNumberFormat="1" applyAlignment="1">
      <alignment horizontal="right"/>
    </xf>
    <xf numFmtId="0" fontId="0" fillId="0" borderId="1" xfId="0" applyBorder="1" applyAlignment="1">
      <alignment horizontal="right"/>
    </xf>
    <xf numFmtId="1" fontId="0" fillId="0" borderId="1" xfId="0" applyNumberFormat="1" applyBorder="1" applyAlignment="1">
      <alignment horizontal="right"/>
    </xf>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95C4F-1A7B-4D75-B617-0DA3161375FB}">
  <dimension ref="A1:BW656"/>
  <sheetViews>
    <sheetView tabSelected="1" topLeftCell="BI1" workbookViewId="0">
      <pane ySplit="1" topLeftCell="A57" activePane="bottomLeft" state="frozen"/>
      <selection pane="bottomLeft" activeCell="BV59" sqref="BV59"/>
    </sheetView>
  </sheetViews>
  <sheetFormatPr defaultRowHeight="14.75" x14ac:dyDescent="0.75"/>
  <cols>
    <col min="1" max="1" width="14.81640625" customWidth="1"/>
    <col min="2" max="2" width="20.40625" bestFit="1" customWidth="1"/>
    <col min="3" max="3" width="32.453125" customWidth="1"/>
    <col min="4" max="4" width="49.04296875" bestFit="1" customWidth="1"/>
    <col min="5" max="5" width="88.953125" bestFit="1" customWidth="1"/>
    <col min="18" max="18" width="10.04296875" bestFit="1" customWidth="1"/>
    <col min="19" max="19" width="15.76953125" bestFit="1" customWidth="1"/>
    <col min="20" max="21" width="16.76953125" bestFit="1" customWidth="1"/>
    <col min="27" max="27" width="16.76953125" bestFit="1" customWidth="1"/>
    <col min="40" max="40" width="17.86328125" bestFit="1" customWidth="1"/>
    <col min="41" max="41" width="18.953125" bestFit="1" customWidth="1"/>
    <col min="43" max="43" width="52.953125" bestFit="1" customWidth="1"/>
    <col min="47" max="47" width="14.04296875" bestFit="1" customWidth="1"/>
    <col min="48" max="48" width="24.5" bestFit="1" customWidth="1"/>
    <col min="49" max="49" width="21.04296875" bestFit="1" customWidth="1"/>
    <col min="50" max="50" width="12.26953125" bestFit="1" customWidth="1"/>
    <col min="55" max="55" width="20.31640625" bestFit="1" customWidth="1"/>
    <col min="56" max="56" width="20.86328125" bestFit="1" customWidth="1"/>
    <col min="57" max="57" width="23.5" bestFit="1" customWidth="1"/>
    <col min="58" max="58" width="31.5" bestFit="1" customWidth="1"/>
    <col min="59" max="59" width="24.04296875" bestFit="1" customWidth="1"/>
    <col min="60" max="60" width="32.04296875" bestFit="1" customWidth="1"/>
    <col min="66" max="66" width="15.86328125" bestFit="1" customWidth="1"/>
    <col min="67" max="67" width="16.2265625" bestFit="1" customWidth="1"/>
    <col min="69" max="69" width="16.1796875" bestFit="1" customWidth="1"/>
    <col min="70" max="70" width="10.54296875" bestFit="1" customWidth="1"/>
    <col min="72" max="72" width="12.6328125" bestFit="1" customWidth="1"/>
  </cols>
  <sheetData>
    <row r="1" spans="1:75" x14ac:dyDescent="0.75">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1" t="s">
        <v>33</v>
      </c>
      <c r="AI1" s="3" t="s">
        <v>34</v>
      </c>
      <c r="AJ1" s="3" t="s">
        <v>35</v>
      </c>
      <c r="AK1" s="3" t="s">
        <v>36</v>
      </c>
      <c r="AL1" s="3" t="s">
        <v>37</v>
      </c>
      <c r="AM1" s="3" t="s">
        <v>38</v>
      </c>
      <c r="AN1" s="3" t="s">
        <v>39</v>
      </c>
      <c r="AO1" s="1" t="s">
        <v>40</v>
      </c>
      <c r="AP1" s="1" t="s">
        <v>41</v>
      </c>
      <c r="AQ1" s="1" t="s">
        <v>42</v>
      </c>
      <c r="AR1" s="1" t="s">
        <v>43</v>
      </c>
      <c r="AS1" s="1" t="s">
        <v>44</v>
      </c>
      <c r="AT1" s="1" t="s">
        <v>425</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t="s">
        <v>73</v>
      </c>
    </row>
    <row r="2" spans="1:75" x14ac:dyDescent="0.75">
      <c r="B2" t="s">
        <v>74</v>
      </c>
      <c r="C2" t="s">
        <v>75</v>
      </c>
      <c r="D2" t="s">
        <v>76</v>
      </c>
      <c r="E2" t="s">
        <v>77</v>
      </c>
      <c r="F2">
        <v>95.2</v>
      </c>
      <c r="H2" t="s">
        <v>78</v>
      </c>
      <c r="I2" s="4">
        <v>7.4817421602787454E-2</v>
      </c>
      <c r="J2" s="4">
        <v>7.4817421602787454E-2</v>
      </c>
      <c r="K2">
        <v>20</v>
      </c>
      <c r="L2">
        <v>-3</v>
      </c>
      <c r="M2">
        <v>9</v>
      </c>
      <c r="Q2">
        <v>0</v>
      </c>
      <c r="R2" t="s">
        <v>79</v>
      </c>
      <c r="Y2">
        <v>3.981071705534957E-8</v>
      </c>
      <c r="AA2">
        <v>1.7378008287493735E-7</v>
      </c>
      <c r="AE2">
        <v>1.9054607179632462E-6</v>
      </c>
      <c r="AI2">
        <v>1.1748975549395286E-5</v>
      </c>
      <c r="AL2">
        <v>6.3095734448019279E-5</v>
      </c>
      <c r="AV2">
        <v>28121</v>
      </c>
      <c r="AW2">
        <v>3911</v>
      </c>
      <c r="AX2">
        <v>-130</v>
      </c>
      <c r="AY2" t="s">
        <v>80</v>
      </c>
      <c r="AZ2">
        <v>6</v>
      </c>
      <c r="BA2">
        <v>1340</v>
      </c>
      <c r="BB2">
        <v>-53</v>
      </c>
      <c r="BG2">
        <v>1.0189999999999999</v>
      </c>
      <c r="BH2" s="5">
        <v>4060000000</v>
      </c>
      <c r="BI2" t="s">
        <v>81</v>
      </c>
      <c r="BM2">
        <v>5.9</v>
      </c>
      <c r="BN2">
        <v>37</v>
      </c>
      <c r="BO2">
        <f>BM2*BN2</f>
        <v>218.3</v>
      </c>
      <c r="BP2" t="s">
        <v>82</v>
      </c>
      <c r="BQ2" t="s">
        <v>83</v>
      </c>
      <c r="BR2">
        <v>60</v>
      </c>
      <c r="BS2">
        <v>24</v>
      </c>
      <c r="BT2" t="s">
        <v>84</v>
      </c>
      <c r="BV2" t="s">
        <v>85</v>
      </c>
      <c r="BW2" t="s">
        <v>646</v>
      </c>
    </row>
    <row r="3" spans="1:75" x14ac:dyDescent="0.75">
      <c r="A3" s="6"/>
      <c r="B3" s="6" t="s">
        <v>74</v>
      </c>
      <c r="C3" s="6" t="s">
        <v>75</v>
      </c>
      <c r="D3" s="6" t="s">
        <v>76</v>
      </c>
      <c r="E3" t="s">
        <v>77</v>
      </c>
      <c r="F3" s="6">
        <v>95.2</v>
      </c>
      <c r="G3" s="6"/>
      <c r="H3" s="6" t="s">
        <v>78</v>
      </c>
      <c r="I3" s="7">
        <v>0.1995131242740999</v>
      </c>
      <c r="J3" s="7">
        <v>0.1995131242740999</v>
      </c>
      <c r="K3" s="6">
        <v>40</v>
      </c>
      <c r="L3" s="6">
        <v>-20</v>
      </c>
      <c r="M3" s="6">
        <v>9</v>
      </c>
      <c r="N3" s="6"/>
      <c r="O3" s="6"/>
      <c r="P3" s="6"/>
      <c r="Q3" s="6">
        <v>0</v>
      </c>
      <c r="R3" s="6" t="s">
        <v>79</v>
      </c>
      <c r="S3" s="6"/>
      <c r="T3" s="6"/>
      <c r="U3" s="6"/>
      <c r="V3" s="6"/>
      <c r="W3" s="6"/>
      <c r="X3" s="6"/>
      <c r="Y3" s="6">
        <v>2.1379620895022279E-7</v>
      </c>
      <c r="Z3" s="6"/>
      <c r="AA3" s="6">
        <v>7.4131024130091606E-7</v>
      </c>
      <c r="AB3" s="6"/>
      <c r="AC3" s="6"/>
      <c r="AD3" s="6"/>
      <c r="AE3" s="6">
        <v>6.456542290346543E-6</v>
      </c>
      <c r="AF3" s="6"/>
      <c r="AG3" s="6"/>
      <c r="AH3" s="6"/>
      <c r="AI3" s="6">
        <v>3.090295432513586E-5</v>
      </c>
      <c r="AJ3" s="6"/>
      <c r="AK3" s="6"/>
      <c r="AL3" s="6">
        <v>9.1201083935590923E-5</v>
      </c>
      <c r="AM3" s="6"/>
      <c r="AN3" s="6"/>
      <c r="AO3" s="6">
        <v>0.56999999999999995</v>
      </c>
      <c r="AP3" s="6">
        <v>80</v>
      </c>
      <c r="AQ3" s="6" t="s">
        <v>86</v>
      </c>
      <c r="AR3" s="6"/>
      <c r="AS3" s="6"/>
      <c r="AT3" s="6"/>
      <c r="AU3" s="6"/>
      <c r="AV3" s="6">
        <v>43.1</v>
      </c>
      <c r="AW3" s="6">
        <v>1842.5</v>
      </c>
      <c r="AX3" s="6">
        <v>-83.1</v>
      </c>
      <c r="AY3" s="6" t="s">
        <v>80</v>
      </c>
      <c r="AZ3" s="6">
        <v>12.9</v>
      </c>
      <c r="BA3" s="6">
        <v>1512</v>
      </c>
      <c r="BB3" s="6">
        <v>-70</v>
      </c>
      <c r="BG3">
        <v>0.85199999999999998</v>
      </c>
      <c r="BH3" s="5">
        <v>37700000</v>
      </c>
      <c r="BI3" t="s">
        <v>81</v>
      </c>
      <c r="BJ3" s="6"/>
      <c r="BK3" s="6"/>
      <c r="BL3" s="6"/>
      <c r="BM3" s="6">
        <v>5.9</v>
      </c>
      <c r="BN3" s="6">
        <v>37</v>
      </c>
      <c r="BO3" s="6">
        <f t="shared" ref="BO3:BO46" si="0">BM3*BN3</f>
        <v>218.3</v>
      </c>
      <c r="BP3" s="6" t="s">
        <v>82</v>
      </c>
      <c r="BQ3" s="6" t="s">
        <v>83</v>
      </c>
      <c r="BR3" s="6">
        <v>60</v>
      </c>
      <c r="BS3" s="6">
        <v>24</v>
      </c>
      <c r="BT3" s="6" t="s">
        <v>84</v>
      </c>
      <c r="BU3" s="6"/>
      <c r="BV3" s="6" t="s">
        <v>85</v>
      </c>
      <c r="BW3" t="s">
        <v>646</v>
      </c>
    </row>
    <row r="4" spans="1:75" x14ac:dyDescent="0.75">
      <c r="A4" s="6"/>
      <c r="B4" s="6" t="s">
        <v>74</v>
      </c>
      <c r="C4" s="6" t="s">
        <v>75</v>
      </c>
      <c r="D4" s="6" t="s">
        <v>76</v>
      </c>
      <c r="E4" t="s">
        <v>77</v>
      </c>
      <c r="F4" s="6">
        <v>95.2</v>
      </c>
      <c r="G4" s="6"/>
      <c r="H4" s="6" t="s">
        <v>78</v>
      </c>
      <c r="I4" s="7">
        <v>0.44890452961672478</v>
      </c>
      <c r="J4" s="7">
        <v>0.44890452961672478</v>
      </c>
      <c r="K4" s="6">
        <v>60</v>
      </c>
      <c r="L4" s="6">
        <v>-33</v>
      </c>
      <c r="M4" s="6">
        <v>9</v>
      </c>
      <c r="N4" s="6"/>
      <c r="O4" s="6"/>
      <c r="P4" s="6"/>
      <c r="Q4" s="6">
        <v>0</v>
      </c>
      <c r="R4" s="6" t="s">
        <v>79</v>
      </c>
      <c r="S4" s="6"/>
      <c r="T4" s="6"/>
      <c r="U4" s="6"/>
      <c r="V4" s="6"/>
      <c r="W4" s="6"/>
      <c r="X4" s="6"/>
      <c r="Y4" s="6">
        <v>9.7723722095580961E-7</v>
      </c>
      <c r="Z4" s="6"/>
      <c r="AA4" s="6">
        <v>2.6915348039269108E-6</v>
      </c>
      <c r="AB4" s="6"/>
      <c r="AC4" s="6"/>
      <c r="AD4" s="6"/>
      <c r="AE4" s="6">
        <v>1.5488166189124811E-5</v>
      </c>
      <c r="AF4" s="6"/>
      <c r="AG4" s="6"/>
      <c r="AH4" s="6"/>
      <c r="AI4" s="6">
        <v>6.4565422903465383E-5</v>
      </c>
      <c r="AJ4" s="6"/>
      <c r="AK4" s="6"/>
      <c r="AL4" s="6">
        <v>1.6982436524617421E-4</v>
      </c>
      <c r="AM4" s="6"/>
      <c r="AN4" s="6"/>
      <c r="AO4" s="6">
        <v>0.59</v>
      </c>
      <c r="AP4" s="6">
        <v>80</v>
      </c>
      <c r="AQ4" s="6" t="s">
        <v>86</v>
      </c>
      <c r="AR4" s="6"/>
      <c r="AS4" s="6"/>
      <c r="AT4" s="6"/>
      <c r="AU4" s="6"/>
      <c r="AV4" s="6">
        <v>60.3</v>
      </c>
      <c r="AW4" s="6">
        <v>1944.9</v>
      </c>
      <c r="AX4" s="6">
        <v>-99</v>
      </c>
      <c r="AY4" s="6" t="s">
        <v>80</v>
      </c>
      <c r="AZ4" s="6">
        <v>17.600000000000001</v>
      </c>
      <c r="BA4" s="6">
        <v>1571</v>
      </c>
      <c r="BB4" s="6">
        <v>-83</v>
      </c>
      <c r="BG4">
        <v>0.72599999999999998</v>
      </c>
      <c r="BH4" s="5">
        <v>1307000</v>
      </c>
      <c r="BI4" t="s">
        <v>81</v>
      </c>
      <c r="BJ4" s="6"/>
      <c r="BK4" s="6"/>
      <c r="BL4" s="6"/>
      <c r="BM4" s="6">
        <v>5.9</v>
      </c>
      <c r="BN4" s="6">
        <v>37</v>
      </c>
      <c r="BO4" s="6">
        <f t="shared" si="0"/>
        <v>218.3</v>
      </c>
      <c r="BP4" s="6" t="s">
        <v>82</v>
      </c>
      <c r="BQ4" s="6" t="s">
        <v>83</v>
      </c>
      <c r="BR4" s="6">
        <v>60</v>
      </c>
      <c r="BS4" s="6">
        <v>24</v>
      </c>
      <c r="BT4" s="6" t="s">
        <v>84</v>
      </c>
      <c r="BU4" s="6"/>
      <c r="BV4" s="6" t="s">
        <v>85</v>
      </c>
      <c r="BW4" t="s">
        <v>646</v>
      </c>
    </row>
    <row r="5" spans="1:75" x14ac:dyDescent="0.75">
      <c r="A5" s="6"/>
      <c r="B5" s="6" t="s">
        <v>74</v>
      </c>
      <c r="C5" s="6" t="s">
        <v>75</v>
      </c>
      <c r="D5" s="6" t="s">
        <v>76</v>
      </c>
      <c r="E5" t="s">
        <v>77</v>
      </c>
      <c r="F5" s="6">
        <v>95.2</v>
      </c>
      <c r="G5" s="6"/>
      <c r="H5" s="6" t="s">
        <v>78</v>
      </c>
      <c r="I5" s="7">
        <v>1.1970787456445993</v>
      </c>
      <c r="J5" s="7">
        <v>1.1970787456445993</v>
      </c>
      <c r="K5" s="6">
        <v>80</v>
      </c>
      <c r="L5" s="6">
        <v>-62</v>
      </c>
      <c r="M5" s="6">
        <v>9</v>
      </c>
      <c r="N5" s="6"/>
      <c r="O5" s="6"/>
      <c r="P5" s="6"/>
      <c r="Q5" s="6">
        <v>0</v>
      </c>
      <c r="R5" s="6" t="s">
        <v>79</v>
      </c>
      <c r="S5" s="6"/>
      <c r="T5" s="6"/>
      <c r="U5" s="6"/>
      <c r="V5" s="6"/>
      <c r="W5" s="6"/>
      <c r="X5" s="6"/>
      <c r="Y5" s="6">
        <v>4.8977881936844583E-6</v>
      </c>
      <c r="Z5" s="6"/>
      <c r="AA5" s="6">
        <v>1.1748975549395286E-5</v>
      </c>
      <c r="AB5" s="6"/>
      <c r="AC5" s="6"/>
      <c r="AD5" s="6"/>
      <c r="AE5" s="6">
        <v>5.6234132519034887E-5</v>
      </c>
      <c r="AF5" s="6"/>
      <c r="AG5" s="6"/>
      <c r="AH5" s="6"/>
      <c r="AI5" s="6">
        <v>2.398832919019488E-4</v>
      </c>
      <c r="AJ5" s="6"/>
      <c r="AK5" s="6"/>
      <c r="AL5" s="6">
        <v>2.5703957827688604E-4</v>
      </c>
      <c r="AM5" s="6"/>
      <c r="AN5" s="6"/>
      <c r="AO5" s="6">
        <v>0.63</v>
      </c>
      <c r="AP5" s="6">
        <v>80</v>
      </c>
      <c r="AQ5" s="6" t="s">
        <v>86</v>
      </c>
      <c r="AR5" s="6"/>
      <c r="AS5" s="6"/>
      <c r="AT5" s="6"/>
      <c r="AU5" s="6"/>
      <c r="AV5" s="6">
        <v>0.37730000000000002</v>
      </c>
      <c r="AW5" s="6">
        <v>557.29999999999995</v>
      </c>
      <c r="AX5" s="6">
        <v>-35.700000000000003</v>
      </c>
      <c r="AY5" s="6" t="s">
        <v>87</v>
      </c>
      <c r="AZ5" s="6">
        <v>50.6</v>
      </c>
      <c r="BA5" s="6">
        <v>1876</v>
      </c>
      <c r="BB5" s="6">
        <v>-112</v>
      </c>
      <c r="BG5">
        <v>0.58960000000000001</v>
      </c>
      <c r="BH5" s="5">
        <v>37693</v>
      </c>
      <c r="BI5" t="s">
        <v>81</v>
      </c>
      <c r="BJ5" s="6"/>
      <c r="BK5" s="6"/>
      <c r="BL5" s="6"/>
      <c r="BM5" s="6">
        <v>5.9</v>
      </c>
      <c r="BN5" s="6">
        <v>37</v>
      </c>
      <c r="BO5" s="6">
        <f t="shared" si="0"/>
        <v>218.3</v>
      </c>
      <c r="BP5" s="6" t="s">
        <v>82</v>
      </c>
      <c r="BQ5" s="6" t="s">
        <v>83</v>
      </c>
      <c r="BR5" s="6">
        <v>60</v>
      </c>
      <c r="BS5" s="6">
        <v>24</v>
      </c>
      <c r="BT5" s="6" t="s">
        <v>84</v>
      </c>
      <c r="BU5" s="6"/>
      <c r="BV5" s="6" t="s">
        <v>85</v>
      </c>
      <c r="BW5" t="s">
        <v>646</v>
      </c>
    </row>
    <row r="6" spans="1:75" x14ac:dyDescent="0.75">
      <c r="B6" t="s">
        <v>74</v>
      </c>
      <c r="C6" t="s">
        <v>75</v>
      </c>
      <c r="D6" t="s">
        <v>76</v>
      </c>
      <c r="E6" t="s">
        <v>77</v>
      </c>
      <c r="F6">
        <v>95.2</v>
      </c>
      <c r="H6" t="s">
        <v>88</v>
      </c>
      <c r="I6" s="4">
        <v>5.5470421079824327E-2</v>
      </c>
      <c r="J6" s="4">
        <v>5.5470421079824327E-2</v>
      </c>
      <c r="K6">
        <v>20</v>
      </c>
      <c r="L6">
        <v>-14</v>
      </c>
      <c r="M6">
        <v>9</v>
      </c>
      <c r="Q6">
        <v>0</v>
      </c>
      <c r="R6" t="s">
        <v>79</v>
      </c>
      <c r="AE6">
        <v>2.7542287033381663E-6</v>
      </c>
      <c r="BM6">
        <v>5.9</v>
      </c>
      <c r="BN6">
        <v>37</v>
      </c>
      <c r="BO6">
        <f t="shared" si="0"/>
        <v>218.3</v>
      </c>
      <c r="BP6" t="s">
        <v>82</v>
      </c>
      <c r="BQ6" t="s">
        <v>83</v>
      </c>
      <c r="BR6">
        <v>60</v>
      </c>
      <c r="BS6">
        <v>24</v>
      </c>
      <c r="BT6" t="s">
        <v>84</v>
      </c>
      <c r="BV6" t="s">
        <v>85</v>
      </c>
      <c r="BW6" t="s">
        <v>646</v>
      </c>
    </row>
    <row r="7" spans="1:75" x14ac:dyDescent="0.75">
      <c r="B7" t="s">
        <v>74</v>
      </c>
      <c r="C7" t="s">
        <v>75</v>
      </c>
      <c r="D7" t="s">
        <v>76</v>
      </c>
      <c r="E7" t="s">
        <v>77</v>
      </c>
      <c r="F7">
        <v>95.2</v>
      </c>
      <c r="H7" t="s">
        <v>88</v>
      </c>
      <c r="I7" s="4">
        <v>0.14792112287953155</v>
      </c>
      <c r="J7" s="4">
        <v>0.14792112287953155</v>
      </c>
      <c r="K7">
        <v>40</v>
      </c>
      <c r="L7">
        <v>-20</v>
      </c>
      <c r="M7">
        <v>9</v>
      </c>
      <c r="Q7">
        <v>0</v>
      </c>
      <c r="R7" t="s">
        <v>79</v>
      </c>
      <c r="AE7">
        <v>4.6773514128719787E-6</v>
      </c>
      <c r="BM7">
        <v>5.9</v>
      </c>
      <c r="BN7">
        <v>37</v>
      </c>
      <c r="BO7">
        <f t="shared" si="0"/>
        <v>218.3</v>
      </c>
      <c r="BP7" t="s">
        <v>82</v>
      </c>
      <c r="BQ7" t="s">
        <v>83</v>
      </c>
      <c r="BR7">
        <v>60</v>
      </c>
      <c r="BS7">
        <v>24</v>
      </c>
      <c r="BT7" t="s">
        <v>84</v>
      </c>
      <c r="BV7" t="s">
        <v>85</v>
      </c>
      <c r="BW7" t="s">
        <v>646</v>
      </c>
    </row>
    <row r="8" spans="1:75" x14ac:dyDescent="0.75">
      <c r="B8" t="s">
        <v>74</v>
      </c>
      <c r="C8" t="s">
        <v>75</v>
      </c>
      <c r="D8" t="s">
        <v>76</v>
      </c>
      <c r="E8" t="s">
        <v>77</v>
      </c>
      <c r="F8">
        <v>95.2</v>
      </c>
      <c r="H8" t="s">
        <v>88</v>
      </c>
      <c r="I8" s="4">
        <v>0.332822526478946</v>
      </c>
      <c r="J8" s="4">
        <v>0.332822526478946</v>
      </c>
      <c r="K8">
        <v>60</v>
      </c>
      <c r="L8">
        <v>-33</v>
      </c>
      <c r="M8">
        <v>9</v>
      </c>
      <c r="Q8">
        <v>0</v>
      </c>
      <c r="R8" t="s">
        <v>79</v>
      </c>
      <c r="AE8">
        <v>5.8884365535558799E-6</v>
      </c>
      <c r="BM8">
        <v>5.9</v>
      </c>
      <c r="BN8">
        <v>37</v>
      </c>
      <c r="BO8">
        <f t="shared" si="0"/>
        <v>218.3</v>
      </c>
      <c r="BP8" t="s">
        <v>82</v>
      </c>
      <c r="BQ8" t="s">
        <v>83</v>
      </c>
      <c r="BR8">
        <v>60</v>
      </c>
      <c r="BS8">
        <v>24</v>
      </c>
      <c r="BT8" t="s">
        <v>84</v>
      </c>
      <c r="BV8" t="s">
        <v>85</v>
      </c>
      <c r="BW8" t="s">
        <v>646</v>
      </c>
    </row>
    <row r="9" spans="1:75" x14ac:dyDescent="0.75">
      <c r="B9" t="s">
        <v>74</v>
      </c>
      <c r="C9" t="s">
        <v>75</v>
      </c>
      <c r="D9" t="s">
        <v>76</v>
      </c>
      <c r="E9" t="s">
        <v>77</v>
      </c>
      <c r="F9">
        <v>95.2</v>
      </c>
      <c r="H9" t="s">
        <v>88</v>
      </c>
      <c r="I9" s="4">
        <v>0.88752673727718923</v>
      </c>
      <c r="J9" s="4">
        <v>0.88752673727718923</v>
      </c>
      <c r="K9">
        <v>80</v>
      </c>
      <c r="L9">
        <v>-39</v>
      </c>
      <c r="M9">
        <v>9</v>
      </c>
      <c r="Q9">
        <v>0</v>
      </c>
      <c r="R9" t="s">
        <v>79</v>
      </c>
      <c r="AE9">
        <v>1.3182567385564052E-5</v>
      </c>
      <c r="BM9">
        <v>5.9</v>
      </c>
      <c r="BN9">
        <v>37</v>
      </c>
      <c r="BO9">
        <f t="shared" si="0"/>
        <v>218.3</v>
      </c>
      <c r="BP9" t="s">
        <v>82</v>
      </c>
      <c r="BQ9" t="s">
        <v>83</v>
      </c>
      <c r="BR9">
        <v>60</v>
      </c>
      <c r="BS9">
        <v>24</v>
      </c>
      <c r="BT9" t="s">
        <v>84</v>
      </c>
      <c r="BV9" t="s">
        <v>85</v>
      </c>
      <c r="BW9" t="s">
        <v>646</v>
      </c>
    </row>
    <row r="10" spans="1:75" x14ac:dyDescent="0.75">
      <c r="B10" t="s">
        <v>74</v>
      </c>
      <c r="C10" t="s">
        <v>75</v>
      </c>
      <c r="D10" t="s">
        <v>76</v>
      </c>
      <c r="E10" t="s">
        <v>77</v>
      </c>
      <c r="F10">
        <v>95.2</v>
      </c>
      <c r="H10" t="s">
        <v>89</v>
      </c>
      <c r="I10" s="4">
        <v>0.17452609548193079</v>
      </c>
      <c r="J10" s="4">
        <v>0.17452609548193079</v>
      </c>
      <c r="K10">
        <v>16</v>
      </c>
      <c r="L10">
        <v>-23</v>
      </c>
      <c r="M10">
        <v>9</v>
      </c>
      <c r="Q10">
        <v>0</v>
      </c>
      <c r="R10" t="s">
        <v>79</v>
      </c>
      <c r="AE10">
        <v>3.090295432513585E-7</v>
      </c>
      <c r="BM10">
        <v>5.9</v>
      </c>
      <c r="BN10">
        <v>37</v>
      </c>
      <c r="BO10">
        <f t="shared" si="0"/>
        <v>218.3</v>
      </c>
      <c r="BP10" t="s">
        <v>82</v>
      </c>
      <c r="BQ10" t="s">
        <v>83</v>
      </c>
      <c r="BR10">
        <v>60</v>
      </c>
      <c r="BS10">
        <v>24</v>
      </c>
      <c r="BT10" t="s">
        <v>84</v>
      </c>
      <c r="BV10" t="s">
        <v>85</v>
      </c>
      <c r="BW10" t="s">
        <v>646</v>
      </c>
    </row>
    <row r="11" spans="1:75" x14ac:dyDescent="0.75">
      <c r="B11" t="s">
        <v>74</v>
      </c>
      <c r="C11" t="s">
        <v>75</v>
      </c>
      <c r="D11" t="s">
        <v>76</v>
      </c>
      <c r="E11" t="s">
        <v>77</v>
      </c>
      <c r="F11">
        <v>95.2</v>
      </c>
      <c r="H11" t="s">
        <v>89</v>
      </c>
      <c r="I11" s="4">
        <v>0.35632411160894195</v>
      </c>
      <c r="J11" s="4">
        <v>0.35632411160894195</v>
      </c>
      <c r="K11">
        <v>28</v>
      </c>
      <c r="L11">
        <v>-29</v>
      </c>
      <c r="M11">
        <v>9</v>
      </c>
      <c r="Q11">
        <v>0</v>
      </c>
      <c r="R11" t="s">
        <v>79</v>
      </c>
      <c r="AE11">
        <v>5.7543993733715608E-6</v>
      </c>
      <c r="BM11">
        <v>5.9</v>
      </c>
      <c r="BN11">
        <v>37</v>
      </c>
      <c r="BO11">
        <f t="shared" si="0"/>
        <v>218.3</v>
      </c>
      <c r="BP11" t="s">
        <v>82</v>
      </c>
      <c r="BQ11" t="s">
        <v>83</v>
      </c>
      <c r="BR11">
        <v>60</v>
      </c>
      <c r="BS11">
        <v>24</v>
      </c>
      <c r="BT11" t="s">
        <v>84</v>
      </c>
      <c r="BV11" t="s">
        <v>85</v>
      </c>
      <c r="BW11" t="s">
        <v>646</v>
      </c>
    </row>
    <row r="12" spans="1:75" x14ac:dyDescent="0.75">
      <c r="B12" t="s">
        <v>74</v>
      </c>
      <c r="C12" t="s">
        <v>75</v>
      </c>
      <c r="D12" t="s">
        <v>76</v>
      </c>
      <c r="E12" t="s">
        <v>77</v>
      </c>
      <c r="F12">
        <v>95.2</v>
      </c>
      <c r="H12" t="s">
        <v>89</v>
      </c>
      <c r="I12" s="4">
        <v>0.53812212773595325</v>
      </c>
      <c r="J12" s="4">
        <v>0.53812212773595325</v>
      </c>
      <c r="K12">
        <v>37</v>
      </c>
      <c r="L12">
        <v>-47</v>
      </c>
      <c r="M12">
        <v>9</v>
      </c>
      <c r="Q12">
        <v>0</v>
      </c>
      <c r="R12" t="s">
        <v>79</v>
      </c>
      <c r="AE12">
        <v>8.3176377110266992E-6</v>
      </c>
      <c r="BM12">
        <v>5.9</v>
      </c>
      <c r="BN12">
        <v>37</v>
      </c>
      <c r="BO12">
        <f t="shared" si="0"/>
        <v>218.3</v>
      </c>
      <c r="BP12" t="s">
        <v>82</v>
      </c>
      <c r="BQ12" t="s">
        <v>83</v>
      </c>
      <c r="BR12">
        <v>60</v>
      </c>
      <c r="BS12">
        <v>24</v>
      </c>
      <c r="BT12" t="s">
        <v>84</v>
      </c>
      <c r="BV12" t="s">
        <v>85</v>
      </c>
      <c r="BW12" t="s">
        <v>646</v>
      </c>
    </row>
    <row r="13" spans="1:75" x14ac:dyDescent="0.75">
      <c r="B13" t="s">
        <v>74</v>
      </c>
      <c r="C13" t="s">
        <v>75</v>
      </c>
      <c r="D13" t="s">
        <v>76</v>
      </c>
      <c r="E13" t="s">
        <v>77</v>
      </c>
      <c r="F13">
        <v>95.2</v>
      </c>
      <c r="H13" t="s">
        <v>89</v>
      </c>
      <c r="I13" s="4">
        <v>0.7316912384323393</v>
      </c>
      <c r="J13" s="4">
        <v>0.7316912384323393</v>
      </c>
      <c r="K13">
        <v>44.4</v>
      </c>
      <c r="L13">
        <v>-69</v>
      </c>
      <c r="M13">
        <v>9</v>
      </c>
      <c r="Q13">
        <v>0</v>
      </c>
      <c r="R13" t="s">
        <v>79</v>
      </c>
      <c r="AE13">
        <v>4.5708818961487455E-5</v>
      </c>
      <c r="AO13" s="6">
        <v>0.27</v>
      </c>
      <c r="AP13" s="6">
        <v>80</v>
      </c>
      <c r="AQ13" s="6" t="s">
        <v>86</v>
      </c>
      <c r="BM13">
        <v>5.9</v>
      </c>
      <c r="BN13">
        <v>37</v>
      </c>
      <c r="BO13">
        <f t="shared" si="0"/>
        <v>218.3</v>
      </c>
      <c r="BP13" t="s">
        <v>82</v>
      </c>
      <c r="BQ13" t="s">
        <v>83</v>
      </c>
      <c r="BR13">
        <v>60</v>
      </c>
      <c r="BS13">
        <v>24</v>
      </c>
      <c r="BT13" t="s">
        <v>84</v>
      </c>
      <c r="BV13" t="s">
        <v>85</v>
      </c>
      <c r="BW13" t="s">
        <v>646</v>
      </c>
    </row>
    <row r="14" spans="1:75" x14ac:dyDescent="0.75">
      <c r="B14" t="s">
        <v>74</v>
      </c>
      <c r="C14" t="s">
        <v>75</v>
      </c>
      <c r="D14" t="s">
        <v>76</v>
      </c>
      <c r="E14" t="s">
        <v>77</v>
      </c>
      <c r="F14">
        <v>95.2</v>
      </c>
      <c r="H14" t="s">
        <v>90</v>
      </c>
      <c r="I14" s="7">
        <v>0.20181015037593983</v>
      </c>
      <c r="J14" s="4">
        <v>0.20181015037593983</v>
      </c>
      <c r="K14">
        <v>20</v>
      </c>
      <c r="L14">
        <v>-8</v>
      </c>
      <c r="M14">
        <v>9</v>
      </c>
      <c r="Q14">
        <v>0</v>
      </c>
      <c r="R14" t="s">
        <v>79</v>
      </c>
      <c r="AE14">
        <v>5.011872336272719E-6</v>
      </c>
      <c r="AO14" s="6">
        <v>0.24</v>
      </c>
      <c r="AP14" s="6">
        <v>80</v>
      </c>
      <c r="AQ14" s="6" t="s">
        <v>86</v>
      </c>
      <c r="BM14">
        <v>5.9</v>
      </c>
      <c r="BN14">
        <v>37</v>
      </c>
      <c r="BO14">
        <f t="shared" si="0"/>
        <v>218.3</v>
      </c>
      <c r="BP14" t="s">
        <v>82</v>
      </c>
      <c r="BQ14" t="s">
        <v>83</v>
      </c>
      <c r="BR14">
        <v>60</v>
      </c>
      <c r="BS14">
        <v>24</v>
      </c>
      <c r="BT14" t="s">
        <v>84</v>
      </c>
      <c r="BV14" t="s">
        <v>85</v>
      </c>
      <c r="BW14" t="s">
        <v>646</v>
      </c>
    </row>
    <row r="15" spans="1:75" x14ac:dyDescent="0.75">
      <c r="B15" t="s">
        <v>74</v>
      </c>
      <c r="C15" t="s">
        <v>75</v>
      </c>
      <c r="D15" t="s">
        <v>76</v>
      </c>
      <c r="E15" t="s">
        <v>77</v>
      </c>
      <c r="F15">
        <v>95.2</v>
      </c>
      <c r="H15" t="s">
        <v>90</v>
      </c>
      <c r="I15" s="7">
        <v>0.53816040100250628</v>
      </c>
      <c r="J15" s="4">
        <v>0.53816040100250628</v>
      </c>
      <c r="K15">
        <v>40</v>
      </c>
      <c r="L15">
        <v>-28</v>
      </c>
      <c r="M15">
        <v>9</v>
      </c>
      <c r="Q15">
        <v>0</v>
      </c>
      <c r="R15" t="s">
        <v>79</v>
      </c>
      <c r="AE15">
        <v>7.9432823472428065E-6</v>
      </c>
      <c r="AO15" s="6">
        <v>0.23</v>
      </c>
      <c r="AP15" s="6">
        <v>80</v>
      </c>
      <c r="AQ15" s="6" t="s">
        <v>86</v>
      </c>
      <c r="BM15">
        <v>5.9</v>
      </c>
      <c r="BN15">
        <v>37</v>
      </c>
      <c r="BO15">
        <f t="shared" si="0"/>
        <v>218.3</v>
      </c>
      <c r="BP15" t="s">
        <v>82</v>
      </c>
      <c r="BQ15" t="s">
        <v>83</v>
      </c>
      <c r="BR15">
        <v>60</v>
      </c>
      <c r="BS15">
        <v>24</v>
      </c>
      <c r="BT15" t="s">
        <v>84</v>
      </c>
      <c r="BV15" t="s">
        <v>85</v>
      </c>
      <c r="BW15" t="s">
        <v>646</v>
      </c>
    </row>
    <row r="16" spans="1:75" x14ac:dyDescent="0.75">
      <c r="B16" t="s">
        <v>74</v>
      </c>
      <c r="C16" t="s">
        <v>75</v>
      </c>
      <c r="D16" t="s">
        <v>76</v>
      </c>
      <c r="E16" t="s">
        <v>77</v>
      </c>
      <c r="F16">
        <v>95.2</v>
      </c>
      <c r="H16" t="s">
        <v>90</v>
      </c>
      <c r="I16" s="7">
        <v>1.2108609022556391</v>
      </c>
      <c r="J16" s="4">
        <v>1.2108609022556391</v>
      </c>
      <c r="K16">
        <v>60</v>
      </c>
      <c r="L16">
        <v>-1</v>
      </c>
      <c r="M16">
        <v>9</v>
      </c>
      <c r="Q16">
        <v>0</v>
      </c>
      <c r="R16" t="s">
        <v>79</v>
      </c>
      <c r="AE16">
        <v>2.2908676527677705E-6</v>
      </c>
      <c r="BM16">
        <v>5.9</v>
      </c>
      <c r="BN16">
        <v>37</v>
      </c>
      <c r="BO16">
        <f t="shared" si="0"/>
        <v>218.3</v>
      </c>
      <c r="BP16" t="s">
        <v>82</v>
      </c>
      <c r="BQ16" t="s">
        <v>83</v>
      </c>
      <c r="BR16">
        <v>60</v>
      </c>
      <c r="BS16">
        <v>24</v>
      </c>
      <c r="BT16" t="s">
        <v>84</v>
      </c>
      <c r="BV16" t="s">
        <v>85</v>
      </c>
      <c r="BW16" t="s">
        <v>646</v>
      </c>
    </row>
    <row r="17" spans="1:75" x14ac:dyDescent="0.75">
      <c r="B17" t="s">
        <v>74</v>
      </c>
      <c r="C17" t="s">
        <v>75</v>
      </c>
      <c r="D17" t="s">
        <v>76</v>
      </c>
      <c r="E17" t="s">
        <v>77</v>
      </c>
      <c r="F17">
        <v>95.2</v>
      </c>
      <c r="H17" t="s">
        <v>90</v>
      </c>
      <c r="I17" s="4">
        <v>3.2289624060150373</v>
      </c>
      <c r="J17" s="4">
        <v>3.2289624060150373</v>
      </c>
      <c r="K17">
        <v>80</v>
      </c>
      <c r="L17">
        <v>2</v>
      </c>
      <c r="M17">
        <v>9</v>
      </c>
      <c r="Q17">
        <v>0</v>
      </c>
      <c r="R17" t="s">
        <v>79</v>
      </c>
      <c r="AE17">
        <v>2.691534803926908E-7</v>
      </c>
      <c r="BM17">
        <v>5.9</v>
      </c>
      <c r="BN17">
        <v>37</v>
      </c>
      <c r="BO17">
        <f t="shared" si="0"/>
        <v>218.3</v>
      </c>
      <c r="BP17" t="s">
        <v>82</v>
      </c>
      <c r="BQ17" t="s">
        <v>83</v>
      </c>
      <c r="BR17">
        <v>60</v>
      </c>
      <c r="BS17">
        <v>24</v>
      </c>
      <c r="BT17" t="s">
        <v>84</v>
      </c>
      <c r="BV17" t="s">
        <v>85</v>
      </c>
      <c r="BW17" t="s">
        <v>646</v>
      </c>
    </row>
    <row r="18" spans="1:75" x14ac:dyDescent="0.75">
      <c r="B18" t="s">
        <v>74</v>
      </c>
      <c r="C18" t="s">
        <v>75</v>
      </c>
      <c r="D18" t="s">
        <v>76</v>
      </c>
      <c r="E18" t="s">
        <v>77</v>
      </c>
      <c r="F18">
        <v>95.2</v>
      </c>
      <c r="H18" t="s">
        <v>91</v>
      </c>
      <c r="I18" s="4">
        <v>0.13764487179487178</v>
      </c>
      <c r="J18" s="4">
        <v>0.13764487179487178</v>
      </c>
      <c r="K18">
        <v>20</v>
      </c>
      <c r="L18">
        <v>-7</v>
      </c>
      <c r="M18">
        <v>9</v>
      </c>
      <c r="Q18">
        <v>0</v>
      </c>
      <c r="R18" t="s">
        <v>79</v>
      </c>
      <c r="AE18">
        <v>1.5848931924611111E-6</v>
      </c>
      <c r="BM18">
        <v>5.9</v>
      </c>
      <c r="BN18">
        <v>37</v>
      </c>
      <c r="BO18">
        <f t="shared" si="0"/>
        <v>218.3</v>
      </c>
      <c r="BP18" t="s">
        <v>82</v>
      </c>
      <c r="BQ18" t="s">
        <v>83</v>
      </c>
      <c r="BR18">
        <v>60</v>
      </c>
      <c r="BS18">
        <v>24</v>
      </c>
      <c r="BT18" t="s">
        <v>84</v>
      </c>
      <c r="BV18" t="s">
        <v>85</v>
      </c>
      <c r="BW18" t="s">
        <v>646</v>
      </c>
    </row>
    <row r="19" spans="1:75" x14ac:dyDescent="0.75">
      <c r="B19" t="s">
        <v>74</v>
      </c>
      <c r="C19" t="s">
        <v>75</v>
      </c>
      <c r="D19" t="s">
        <v>76</v>
      </c>
      <c r="E19" t="s">
        <v>77</v>
      </c>
      <c r="F19">
        <v>95.2</v>
      </c>
      <c r="H19" t="s">
        <v>91</v>
      </c>
      <c r="I19" s="4">
        <v>0.36705299145299142</v>
      </c>
      <c r="J19" s="4">
        <v>0.36705299145299142</v>
      </c>
      <c r="K19">
        <v>40</v>
      </c>
      <c r="L19">
        <v>-16</v>
      </c>
      <c r="M19">
        <v>9</v>
      </c>
      <c r="Q19">
        <v>0</v>
      </c>
      <c r="R19" t="s">
        <v>79</v>
      </c>
      <c r="AE19">
        <v>6.3095734448019212E-6</v>
      </c>
      <c r="BM19">
        <v>5.9</v>
      </c>
      <c r="BN19">
        <v>37</v>
      </c>
      <c r="BO19">
        <f t="shared" si="0"/>
        <v>218.3</v>
      </c>
      <c r="BP19" t="s">
        <v>82</v>
      </c>
      <c r="BQ19" t="s">
        <v>83</v>
      </c>
      <c r="BR19">
        <v>60</v>
      </c>
      <c r="BS19">
        <v>24</v>
      </c>
      <c r="BT19" t="s">
        <v>84</v>
      </c>
      <c r="BV19" t="s">
        <v>85</v>
      </c>
      <c r="BW19" t="s">
        <v>646</v>
      </c>
    </row>
    <row r="20" spans="1:75" x14ac:dyDescent="0.75">
      <c r="B20" t="s">
        <v>74</v>
      </c>
      <c r="C20" t="s">
        <v>75</v>
      </c>
      <c r="D20" t="s">
        <v>76</v>
      </c>
      <c r="E20" t="s">
        <v>77</v>
      </c>
      <c r="F20">
        <v>95.2</v>
      </c>
      <c r="H20" t="s">
        <v>91</v>
      </c>
      <c r="I20" s="4">
        <v>0.8258692307692308</v>
      </c>
      <c r="J20" s="4">
        <v>0.8258692307692308</v>
      </c>
      <c r="K20">
        <v>60</v>
      </c>
      <c r="L20">
        <v>-7</v>
      </c>
      <c r="M20">
        <v>9</v>
      </c>
      <c r="Q20">
        <v>0</v>
      </c>
      <c r="R20" t="s">
        <v>79</v>
      </c>
      <c r="AE20">
        <v>1.9952623149688761E-7</v>
      </c>
      <c r="BM20">
        <v>5.9</v>
      </c>
      <c r="BN20">
        <v>37</v>
      </c>
      <c r="BO20">
        <f t="shared" si="0"/>
        <v>218.3</v>
      </c>
      <c r="BP20" t="s">
        <v>82</v>
      </c>
      <c r="BQ20" t="s">
        <v>83</v>
      </c>
      <c r="BR20">
        <v>60</v>
      </c>
      <c r="BS20">
        <v>24</v>
      </c>
      <c r="BT20" t="s">
        <v>84</v>
      </c>
      <c r="BV20" t="s">
        <v>85</v>
      </c>
      <c r="BW20" t="s">
        <v>646</v>
      </c>
    </row>
    <row r="21" spans="1:75" x14ac:dyDescent="0.75">
      <c r="A21" s="1"/>
      <c r="B21" t="s">
        <v>74</v>
      </c>
      <c r="C21" s="1" t="s">
        <v>75</v>
      </c>
      <c r="D21" t="s">
        <v>76</v>
      </c>
      <c r="E21" t="s">
        <v>77</v>
      </c>
      <c r="F21" s="1">
        <v>95.2</v>
      </c>
      <c r="G21" s="1"/>
      <c r="H21" s="1" t="s">
        <v>91</v>
      </c>
      <c r="I21" s="2">
        <v>2.2023179487179485</v>
      </c>
      <c r="J21" s="2">
        <v>2.2023179487179485</v>
      </c>
      <c r="K21" s="1">
        <v>80</v>
      </c>
      <c r="L21" s="1">
        <v>27</v>
      </c>
      <c r="M21" s="1">
        <v>9</v>
      </c>
      <c r="N21" s="1"/>
      <c r="O21" s="1"/>
      <c r="P21" s="1"/>
      <c r="Q21" s="1">
        <v>0</v>
      </c>
      <c r="R21" s="1" t="s">
        <v>79</v>
      </c>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v>5.9</v>
      </c>
      <c r="BN21" s="1">
        <v>37</v>
      </c>
      <c r="BO21" s="1">
        <f t="shared" si="0"/>
        <v>218.3</v>
      </c>
      <c r="BP21" s="1" t="s">
        <v>82</v>
      </c>
      <c r="BQ21" s="1" t="s">
        <v>83</v>
      </c>
      <c r="BR21" s="1">
        <v>60</v>
      </c>
      <c r="BS21" s="1">
        <v>24</v>
      </c>
      <c r="BT21" s="1" t="s">
        <v>84</v>
      </c>
      <c r="BU21" s="1"/>
      <c r="BV21" t="s">
        <v>85</v>
      </c>
      <c r="BW21" t="s">
        <v>646</v>
      </c>
    </row>
    <row r="22" spans="1:75" x14ac:dyDescent="0.75">
      <c r="A22" s="6"/>
      <c r="B22" s="6" t="s">
        <v>74</v>
      </c>
      <c r="C22" s="6" t="s">
        <v>75</v>
      </c>
      <c r="D22" s="6" t="s">
        <v>76</v>
      </c>
      <c r="E22" t="s">
        <v>77</v>
      </c>
      <c r="F22" s="6">
        <v>95.2</v>
      </c>
      <c r="G22" s="6"/>
      <c r="H22" s="6" t="s">
        <v>78</v>
      </c>
      <c r="I22" s="7">
        <v>0.1995131242740999</v>
      </c>
      <c r="J22" s="7">
        <v>0.1995131242740999</v>
      </c>
      <c r="K22" s="6">
        <v>40</v>
      </c>
      <c r="L22" s="6"/>
      <c r="M22" s="6">
        <v>9</v>
      </c>
      <c r="N22" s="6"/>
      <c r="O22" s="6"/>
      <c r="P22" s="6"/>
      <c r="Q22" s="6">
        <v>0</v>
      </c>
      <c r="R22" s="6" t="s">
        <v>79</v>
      </c>
      <c r="S22" s="6"/>
      <c r="T22" s="6"/>
      <c r="U22" s="6"/>
      <c r="V22" s="6"/>
      <c r="W22" s="6"/>
      <c r="X22" s="6"/>
      <c r="Y22" s="6"/>
      <c r="Z22" s="6"/>
      <c r="AA22" s="6"/>
      <c r="AB22" s="6"/>
      <c r="AC22" s="6"/>
      <c r="AD22" s="6"/>
      <c r="AE22" s="6"/>
      <c r="AF22" s="6"/>
      <c r="AG22" s="6"/>
      <c r="AH22" s="6"/>
      <c r="AI22" s="6">
        <v>3.5004602016997843E-5</v>
      </c>
      <c r="AJ22" s="6"/>
      <c r="AK22" s="6"/>
      <c r="AL22" s="6"/>
      <c r="AM22" s="6"/>
      <c r="AN22" s="6"/>
      <c r="AO22" s="6">
        <v>0.56999999999999995</v>
      </c>
      <c r="AP22" s="6">
        <v>80</v>
      </c>
      <c r="AQ22" s="6" t="s">
        <v>92</v>
      </c>
      <c r="AR22" s="6"/>
      <c r="AS22" s="6"/>
      <c r="AT22" s="6"/>
      <c r="AU22" s="6"/>
      <c r="AV22" s="6"/>
      <c r="AW22" s="6"/>
      <c r="AX22" s="6"/>
      <c r="AY22" s="6"/>
      <c r="AZ22" s="6"/>
      <c r="BA22" s="6"/>
      <c r="BB22" s="6"/>
      <c r="BJ22" s="6"/>
      <c r="BK22" s="6"/>
      <c r="BL22" s="6"/>
      <c r="BM22" s="6">
        <v>5.9</v>
      </c>
      <c r="BN22" s="6">
        <v>37</v>
      </c>
      <c r="BO22" s="6">
        <f t="shared" si="0"/>
        <v>218.3</v>
      </c>
      <c r="BP22" s="6" t="s">
        <v>82</v>
      </c>
      <c r="BQ22" s="6" t="s">
        <v>83</v>
      </c>
      <c r="BR22" s="6">
        <v>60</v>
      </c>
      <c r="BS22" s="6">
        <v>24</v>
      </c>
      <c r="BT22" s="6" t="s">
        <v>84</v>
      </c>
      <c r="BU22" s="6"/>
      <c r="BV22" s="6" t="s">
        <v>93</v>
      </c>
      <c r="BW22" t="s">
        <v>647</v>
      </c>
    </row>
    <row r="23" spans="1:75" x14ac:dyDescent="0.75">
      <c r="A23" s="6"/>
      <c r="B23" s="6" t="s">
        <v>74</v>
      </c>
      <c r="C23" s="6" t="s">
        <v>75</v>
      </c>
      <c r="D23" s="6" t="s">
        <v>76</v>
      </c>
      <c r="E23" t="s">
        <v>77</v>
      </c>
      <c r="F23" s="6">
        <v>95.2</v>
      </c>
      <c r="G23" s="6"/>
      <c r="H23" s="6" t="s">
        <v>78</v>
      </c>
      <c r="I23" s="7">
        <v>0.44890452961672478</v>
      </c>
      <c r="J23" s="7">
        <v>0.44890452961672478</v>
      </c>
      <c r="K23" s="6">
        <v>60</v>
      </c>
      <c r="L23" s="6"/>
      <c r="M23" s="6">
        <v>9</v>
      </c>
      <c r="N23" s="6"/>
      <c r="O23" s="6"/>
      <c r="P23" s="6"/>
      <c r="Q23" s="6">
        <v>0</v>
      </c>
      <c r="R23" s="6" t="s">
        <v>79</v>
      </c>
      <c r="S23" s="6"/>
      <c r="T23" s="6"/>
      <c r="U23" s="6"/>
      <c r="V23" s="6"/>
      <c r="W23" s="6"/>
      <c r="X23" s="6"/>
      <c r="Y23" s="6"/>
      <c r="Z23" s="6"/>
      <c r="AA23" s="6"/>
      <c r="AB23" s="6"/>
      <c r="AC23" s="6"/>
      <c r="AD23" s="6"/>
      <c r="AE23" s="6"/>
      <c r="AF23" s="6"/>
      <c r="AG23" s="6"/>
      <c r="AH23" s="6"/>
      <c r="AI23" s="6">
        <v>1.2857247034392928E-4</v>
      </c>
      <c r="AJ23" s="6"/>
      <c r="AK23" s="6"/>
      <c r="AL23" s="6"/>
      <c r="AM23" s="6"/>
      <c r="AN23" s="6"/>
      <c r="AO23" s="6">
        <v>0.59</v>
      </c>
      <c r="AP23" s="6">
        <v>80</v>
      </c>
      <c r="AQ23" s="6" t="s">
        <v>92</v>
      </c>
      <c r="AR23" s="6"/>
      <c r="AS23" s="6"/>
      <c r="AT23" s="6"/>
      <c r="AU23" s="6"/>
      <c r="AV23" s="6"/>
      <c r="AW23" s="6"/>
      <c r="AX23" s="6"/>
      <c r="AY23" s="6"/>
      <c r="AZ23" s="6"/>
      <c r="BA23" s="6"/>
      <c r="BB23" s="6"/>
      <c r="BJ23" s="6"/>
      <c r="BK23" s="6"/>
      <c r="BL23" s="6"/>
      <c r="BM23" s="6">
        <v>5.9</v>
      </c>
      <c r="BN23" s="6">
        <v>37</v>
      </c>
      <c r="BO23" s="6">
        <f t="shared" si="0"/>
        <v>218.3</v>
      </c>
      <c r="BP23" s="6" t="s">
        <v>82</v>
      </c>
      <c r="BQ23" s="6" t="s">
        <v>83</v>
      </c>
      <c r="BR23" s="6">
        <v>60</v>
      </c>
      <c r="BS23" s="6">
        <v>24</v>
      </c>
      <c r="BT23" s="6" t="s">
        <v>84</v>
      </c>
      <c r="BU23" s="6"/>
      <c r="BV23" s="6" t="s">
        <v>93</v>
      </c>
      <c r="BW23" t="s">
        <v>647</v>
      </c>
    </row>
    <row r="24" spans="1:75" x14ac:dyDescent="0.75">
      <c r="A24" s="6"/>
      <c r="B24" s="6" t="s">
        <v>74</v>
      </c>
      <c r="C24" s="6" t="s">
        <v>75</v>
      </c>
      <c r="D24" s="6" t="s">
        <v>76</v>
      </c>
      <c r="E24" t="s">
        <v>77</v>
      </c>
      <c r="F24" s="6">
        <v>95.2</v>
      </c>
      <c r="G24" s="6"/>
      <c r="H24" s="6" t="s">
        <v>78</v>
      </c>
      <c r="I24" s="7">
        <v>1.1970787456445993</v>
      </c>
      <c r="J24" s="7">
        <v>1.1970787456445993</v>
      </c>
      <c r="K24" s="6">
        <v>80</v>
      </c>
      <c r="L24" s="6"/>
      <c r="M24" s="6">
        <v>9</v>
      </c>
      <c r="N24" s="6"/>
      <c r="O24" s="6"/>
      <c r="P24" s="6"/>
      <c r="Q24" s="6">
        <v>0</v>
      </c>
      <c r="R24" s="6" t="s">
        <v>79</v>
      </c>
      <c r="S24" s="6"/>
      <c r="T24" s="6"/>
      <c r="U24" s="6"/>
      <c r="V24" s="6"/>
      <c r="W24" s="6"/>
      <c r="X24" s="6"/>
      <c r="Y24" s="6"/>
      <c r="Z24" s="6"/>
      <c r="AA24" s="6"/>
      <c r="AB24" s="6"/>
      <c r="AC24" s="6"/>
      <c r="AD24" s="6"/>
      <c r="AE24" s="6"/>
      <c r="AF24" s="6"/>
      <c r="AG24" s="6"/>
      <c r="AH24" s="6"/>
      <c r="AI24" s="6">
        <v>3.1670830396331363E-4</v>
      </c>
      <c r="AJ24" s="6"/>
      <c r="AK24" s="6"/>
      <c r="AL24" s="6"/>
      <c r="AM24" s="6"/>
      <c r="AN24" s="6"/>
      <c r="AO24" s="6">
        <v>0.63</v>
      </c>
      <c r="AP24" s="6">
        <v>80</v>
      </c>
      <c r="AQ24" s="6" t="s">
        <v>92</v>
      </c>
      <c r="AR24" s="6"/>
      <c r="AS24" s="6"/>
      <c r="AT24" s="6"/>
      <c r="AU24" s="6"/>
      <c r="AV24" s="6"/>
      <c r="AW24" s="6"/>
      <c r="AX24" s="6"/>
      <c r="AY24" s="6"/>
      <c r="AZ24" s="6"/>
      <c r="BA24" s="6"/>
      <c r="BB24" s="6"/>
      <c r="BJ24" s="6"/>
      <c r="BK24" s="6"/>
      <c r="BL24" s="6"/>
      <c r="BM24" s="6">
        <v>5.9</v>
      </c>
      <c r="BN24" s="6">
        <v>37</v>
      </c>
      <c r="BO24" s="6">
        <f t="shared" si="0"/>
        <v>218.3</v>
      </c>
      <c r="BP24" s="6" t="s">
        <v>82</v>
      </c>
      <c r="BQ24" s="6" t="s">
        <v>83</v>
      </c>
      <c r="BR24" s="6">
        <v>60</v>
      </c>
      <c r="BS24" s="6">
        <v>24</v>
      </c>
      <c r="BT24" s="6" t="s">
        <v>84</v>
      </c>
      <c r="BU24" s="6"/>
      <c r="BV24" s="6" t="s">
        <v>93</v>
      </c>
      <c r="BW24" t="s">
        <v>647</v>
      </c>
    </row>
    <row r="25" spans="1:75" x14ac:dyDescent="0.75">
      <c r="A25" s="6"/>
      <c r="B25" s="6" t="s">
        <v>74</v>
      </c>
      <c r="C25" s="6" t="s">
        <v>75</v>
      </c>
      <c r="D25" s="6" t="s">
        <v>76</v>
      </c>
      <c r="E25" t="s">
        <v>77</v>
      </c>
      <c r="F25" s="6">
        <v>95.2</v>
      </c>
      <c r="G25" s="6"/>
      <c r="H25" s="6" t="s">
        <v>90</v>
      </c>
      <c r="I25" s="7">
        <v>0.20181015037593983</v>
      </c>
      <c r="J25" s="7">
        <v>0.20181015037593983</v>
      </c>
      <c r="K25" s="6">
        <v>20</v>
      </c>
      <c r="L25" s="6"/>
      <c r="M25" s="6">
        <v>9</v>
      </c>
      <c r="N25" s="6"/>
      <c r="O25" s="6"/>
      <c r="P25" s="6"/>
      <c r="Q25" s="6">
        <v>0</v>
      </c>
      <c r="R25" s="6" t="s">
        <v>79</v>
      </c>
      <c r="S25" s="6"/>
      <c r="T25" s="6"/>
      <c r="U25" s="6"/>
      <c r="V25" s="6"/>
      <c r="W25" s="6"/>
      <c r="X25" s="6"/>
      <c r="Y25" s="6"/>
      <c r="Z25" s="6"/>
      <c r="AA25" s="6"/>
      <c r="AB25" s="6"/>
      <c r="AC25" s="6"/>
      <c r="AD25" s="6"/>
      <c r="AE25" s="6"/>
      <c r="AF25" s="6"/>
      <c r="AG25" s="6"/>
      <c r="AH25" s="6"/>
      <c r="AI25" s="6">
        <v>3.0104833932003637E-5</v>
      </c>
      <c r="AJ25" s="6"/>
      <c r="AK25" s="6"/>
      <c r="AL25" s="6"/>
      <c r="AM25" s="6"/>
      <c r="AN25" s="6"/>
      <c r="AO25" s="6">
        <v>0.27</v>
      </c>
      <c r="AP25" s="6">
        <v>80</v>
      </c>
      <c r="AQ25" s="6" t="s">
        <v>92</v>
      </c>
      <c r="AR25" s="6"/>
      <c r="AS25" s="6"/>
      <c r="AT25" s="6"/>
      <c r="AU25" s="6"/>
      <c r="AV25" s="6"/>
      <c r="AW25" s="6"/>
      <c r="AX25" s="6"/>
      <c r="AY25" s="6"/>
      <c r="AZ25" s="6"/>
      <c r="BA25" s="6"/>
      <c r="BB25" s="6"/>
      <c r="BJ25" s="6"/>
      <c r="BK25" s="6"/>
      <c r="BL25" s="6"/>
      <c r="BM25" s="6">
        <v>5.9</v>
      </c>
      <c r="BN25" s="6">
        <v>37</v>
      </c>
      <c r="BO25" s="6">
        <f t="shared" si="0"/>
        <v>218.3</v>
      </c>
      <c r="BP25" s="6" t="s">
        <v>82</v>
      </c>
      <c r="BQ25" s="6" t="s">
        <v>83</v>
      </c>
      <c r="BR25" s="6">
        <v>60</v>
      </c>
      <c r="BS25" s="6">
        <v>24</v>
      </c>
      <c r="BT25" s="6" t="s">
        <v>84</v>
      </c>
      <c r="BU25" s="6"/>
      <c r="BV25" s="6" t="s">
        <v>93</v>
      </c>
      <c r="BW25" t="s">
        <v>647</v>
      </c>
    </row>
    <row r="26" spans="1:75" x14ac:dyDescent="0.75">
      <c r="A26" s="6"/>
      <c r="B26" s="6" t="s">
        <v>74</v>
      </c>
      <c r="C26" s="6" t="s">
        <v>75</v>
      </c>
      <c r="D26" s="6" t="s">
        <v>76</v>
      </c>
      <c r="E26" t="s">
        <v>77</v>
      </c>
      <c r="F26" s="6">
        <v>95.2</v>
      </c>
      <c r="G26" s="6"/>
      <c r="H26" s="6" t="s">
        <v>90</v>
      </c>
      <c r="I26" s="7">
        <v>0.53816040100250628</v>
      </c>
      <c r="J26" s="7">
        <v>0.53816040100250628</v>
      </c>
      <c r="K26" s="6">
        <v>40</v>
      </c>
      <c r="L26" s="6"/>
      <c r="M26" s="6">
        <v>9</v>
      </c>
      <c r="N26" s="6"/>
      <c r="O26" s="6"/>
      <c r="P26" s="6"/>
      <c r="Q26" s="6">
        <v>0</v>
      </c>
      <c r="R26" s="6" t="s">
        <v>79</v>
      </c>
      <c r="S26" s="6"/>
      <c r="T26" s="6"/>
      <c r="U26" s="6"/>
      <c r="V26" s="6"/>
      <c r="W26" s="6"/>
      <c r="X26" s="6"/>
      <c r="Y26" s="6"/>
      <c r="Z26" s="6"/>
      <c r="AA26" s="6"/>
      <c r="AB26" s="6"/>
      <c r="AC26" s="6"/>
      <c r="AD26" s="6"/>
      <c r="AE26" s="6"/>
      <c r="AF26" s="6"/>
      <c r="AG26" s="6"/>
      <c r="AH26" s="6"/>
      <c r="AI26" s="6">
        <v>1.4783891218065617E-4</v>
      </c>
      <c r="AJ26" s="6"/>
      <c r="AK26" s="6"/>
      <c r="AL26" s="6"/>
      <c r="AM26" s="6"/>
      <c r="AN26" s="6"/>
      <c r="AO26" s="6">
        <v>0.24</v>
      </c>
      <c r="AP26" s="6">
        <v>80</v>
      </c>
      <c r="AQ26" s="6" t="s">
        <v>92</v>
      </c>
      <c r="AR26" s="6"/>
      <c r="AS26" s="6"/>
      <c r="AT26" s="6"/>
      <c r="AU26" s="6"/>
      <c r="AV26" s="6"/>
      <c r="AW26" s="6"/>
      <c r="AX26" s="6"/>
      <c r="AY26" s="6"/>
      <c r="AZ26" s="6"/>
      <c r="BA26" s="6"/>
      <c r="BB26" s="6"/>
      <c r="BJ26" s="6"/>
      <c r="BK26" s="6"/>
      <c r="BL26" s="6"/>
      <c r="BM26" s="6">
        <v>5.9</v>
      </c>
      <c r="BN26" s="6">
        <v>37</v>
      </c>
      <c r="BO26" s="6">
        <f t="shared" si="0"/>
        <v>218.3</v>
      </c>
      <c r="BP26" s="6" t="s">
        <v>82</v>
      </c>
      <c r="BQ26" s="6" t="s">
        <v>83</v>
      </c>
      <c r="BR26" s="6">
        <v>60</v>
      </c>
      <c r="BS26" s="6">
        <v>24</v>
      </c>
      <c r="BT26" s="6" t="s">
        <v>84</v>
      </c>
      <c r="BU26" s="6"/>
      <c r="BV26" s="6" t="s">
        <v>93</v>
      </c>
      <c r="BW26" t="s">
        <v>647</v>
      </c>
    </row>
    <row r="27" spans="1:75" x14ac:dyDescent="0.75">
      <c r="A27" s="6"/>
      <c r="B27" s="6" t="s">
        <v>74</v>
      </c>
      <c r="C27" s="6" t="s">
        <v>75</v>
      </c>
      <c r="D27" s="6" t="s">
        <v>76</v>
      </c>
      <c r="E27" t="s">
        <v>77</v>
      </c>
      <c r="F27" s="6">
        <v>95.2</v>
      </c>
      <c r="G27" s="6"/>
      <c r="H27" s="6" t="s">
        <v>90</v>
      </c>
      <c r="I27" s="7">
        <v>1.2108609022556391</v>
      </c>
      <c r="J27" s="7">
        <v>1.2108609022556391</v>
      </c>
      <c r="K27" s="6">
        <v>60</v>
      </c>
      <c r="L27" s="6"/>
      <c r="M27" s="6">
        <v>9</v>
      </c>
      <c r="N27" s="6"/>
      <c r="O27" s="6"/>
      <c r="P27" s="6"/>
      <c r="Q27" s="6">
        <v>0</v>
      </c>
      <c r="R27" s="6" t="s">
        <v>79</v>
      </c>
      <c r="S27" s="6"/>
      <c r="T27" s="6"/>
      <c r="U27" s="6"/>
      <c r="V27" s="6"/>
      <c r="W27" s="6"/>
      <c r="X27" s="6"/>
      <c r="Y27" s="6"/>
      <c r="Z27" s="6"/>
      <c r="AA27" s="6"/>
      <c r="AB27" s="6"/>
      <c r="AC27" s="6"/>
      <c r="AD27" s="6"/>
      <c r="AE27" s="6"/>
      <c r="AF27" s="6"/>
      <c r="AG27" s="6"/>
      <c r="AH27" s="6"/>
      <c r="AI27" s="6">
        <v>2.8071923001506707E-5</v>
      </c>
      <c r="AJ27" s="6"/>
      <c r="AK27" s="6"/>
      <c r="AL27" s="6"/>
      <c r="AM27" s="6"/>
      <c r="AN27" s="6"/>
      <c r="AO27" s="6">
        <v>0.23</v>
      </c>
      <c r="AP27" s="6">
        <v>80</v>
      </c>
      <c r="AQ27" s="6" t="s">
        <v>92</v>
      </c>
      <c r="AR27" s="6"/>
      <c r="AS27" s="6"/>
      <c r="AT27" s="6"/>
      <c r="AU27" s="6"/>
      <c r="AV27" s="6"/>
      <c r="AW27" s="6"/>
      <c r="AX27" s="6"/>
      <c r="AY27" s="6"/>
      <c r="AZ27" s="6"/>
      <c r="BA27" s="6"/>
      <c r="BB27" s="6"/>
      <c r="BJ27" s="6"/>
      <c r="BK27" s="6"/>
      <c r="BL27" s="6"/>
      <c r="BM27" s="6">
        <v>5.9</v>
      </c>
      <c r="BN27" s="6">
        <v>37</v>
      </c>
      <c r="BO27" s="6">
        <f t="shared" si="0"/>
        <v>218.3</v>
      </c>
      <c r="BP27" s="6" t="s">
        <v>82</v>
      </c>
      <c r="BQ27" s="6" t="s">
        <v>83</v>
      </c>
      <c r="BR27" s="6">
        <v>60</v>
      </c>
      <c r="BS27" s="6">
        <v>24</v>
      </c>
      <c r="BT27" s="6" t="s">
        <v>84</v>
      </c>
      <c r="BU27" s="6"/>
      <c r="BV27" s="6" t="s">
        <v>93</v>
      </c>
      <c r="BW27" t="s">
        <v>647</v>
      </c>
    </row>
    <row r="28" spans="1:75" x14ac:dyDescent="0.75">
      <c r="B28" t="s">
        <v>74</v>
      </c>
      <c r="C28" t="s">
        <v>75</v>
      </c>
      <c r="D28" t="s">
        <v>76</v>
      </c>
      <c r="E28" t="s">
        <v>77</v>
      </c>
      <c r="F28">
        <v>95.2</v>
      </c>
      <c r="H28" t="s">
        <v>89</v>
      </c>
      <c r="I28" s="4">
        <v>0.22906550032003417</v>
      </c>
      <c r="J28" s="4">
        <v>0.22906550032003417</v>
      </c>
      <c r="K28">
        <v>20</v>
      </c>
      <c r="M28">
        <v>9</v>
      </c>
      <c r="Q28">
        <v>0</v>
      </c>
      <c r="R28" t="s">
        <v>79</v>
      </c>
      <c r="AI28">
        <v>1.8948608339560701E-5</v>
      </c>
      <c r="AO28">
        <v>0.22</v>
      </c>
      <c r="AP28">
        <v>80</v>
      </c>
      <c r="AQ28" t="s">
        <v>92</v>
      </c>
      <c r="BM28">
        <v>5.9</v>
      </c>
      <c r="BN28">
        <v>37</v>
      </c>
      <c r="BO28">
        <f t="shared" si="0"/>
        <v>218.3</v>
      </c>
      <c r="BP28" t="s">
        <v>82</v>
      </c>
      <c r="BQ28" t="s">
        <v>83</v>
      </c>
      <c r="BR28">
        <v>60</v>
      </c>
      <c r="BS28">
        <v>24</v>
      </c>
      <c r="BT28" t="s">
        <v>84</v>
      </c>
      <c r="BV28" t="s">
        <v>93</v>
      </c>
      <c r="BW28" t="s">
        <v>647</v>
      </c>
    </row>
    <row r="29" spans="1:75" x14ac:dyDescent="0.75">
      <c r="B29" t="s">
        <v>74</v>
      </c>
      <c r="C29" t="s">
        <v>75</v>
      </c>
      <c r="D29" t="s">
        <v>76</v>
      </c>
      <c r="E29" t="s">
        <v>77</v>
      </c>
      <c r="F29">
        <v>95.2</v>
      </c>
      <c r="H29" t="s">
        <v>89</v>
      </c>
      <c r="I29" s="4">
        <v>0.61084133418675779</v>
      </c>
      <c r="J29" s="4">
        <v>0.61084133418675779</v>
      </c>
      <c r="K29">
        <v>40</v>
      </c>
      <c r="M29">
        <v>9</v>
      </c>
      <c r="Q29">
        <v>0</v>
      </c>
      <c r="R29" t="s">
        <v>79</v>
      </c>
      <c r="AI29">
        <v>1.5832557670158285E-4</v>
      </c>
      <c r="AO29">
        <v>0.17</v>
      </c>
      <c r="AP29">
        <v>80</v>
      </c>
      <c r="AQ29" t="s">
        <v>92</v>
      </c>
      <c r="BM29">
        <v>5.9</v>
      </c>
      <c r="BN29">
        <v>37</v>
      </c>
      <c r="BO29">
        <f t="shared" si="0"/>
        <v>218.3</v>
      </c>
      <c r="BP29" t="s">
        <v>82</v>
      </c>
      <c r="BQ29" t="s">
        <v>83</v>
      </c>
      <c r="BR29">
        <v>60</v>
      </c>
      <c r="BS29">
        <v>24</v>
      </c>
      <c r="BT29" t="s">
        <v>84</v>
      </c>
      <c r="BV29" t="s">
        <v>93</v>
      </c>
      <c r="BW29" t="s">
        <v>647</v>
      </c>
    </row>
    <row r="30" spans="1:75" x14ac:dyDescent="0.75">
      <c r="B30" t="s">
        <v>74</v>
      </c>
      <c r="C30" t="s">
        <v>75</v>
      </c>
      <c r="D30" t="s">
        <v>76</v>
      </c>
      <c r="E30" t="s">
        <v>77</v>
      </c>
      <c r="F30">
        <v>95.2</v>
      </c>
      <c r="H30" t="s">
        <v>89</v>
      </c>
      <c r="I30" s="4">
        <v>0.91626200128013668</v>
      </c>
      <c r="J30" s="4">
        <v>0.91626200128013668</v>
      </c>
      <c r="K30">
        <v>50</v>
      </c>
      <c r="M30">
        <v>9</v>
      </c>
      <c r="Q30">
        <v>0</v>
      </c>
      <c r="R30" t="s">
        <v>79</v>
      </c>
      <c r="AI30">
        <v>1.4992705743871785E-4</v>
      </c>
      <c r="AO30">
        <v>0.16</v>
      </c>
      <c r="AP30">
        <v>80</v>
      </c>
      <c r="AQ30" t="s">
        <v>92</v>
      </c>
      <c r="BM30">
        <v>5.9</v>
      </c>
      <c r="BN30">
        <v>37</v>
      </c>
      <c r="BO30">
        <f t="shared" si="0"/>
        <v>218.3</v>
      </c>
      <c r="BP30" t="s">
        <v>82</v>
      </c>
      <c r="BQ30" t="s">
        <v>83</v>
      </c>
      <c r="BR30">
        <v>60</v>
      </c>
      <c r="BS30">
        <v>24</v>
      </c>
      <c r="BT30" t="s">
        <v>84</v>
      </c>
      <c r="BV30" t="s">
        <v>93</v>
      </c>
      <c r="BW30" t="s">
        <v>647</v>
      </c>
    </row>
    <row r="31" spans="1:75" x14ac:dyDescent="0.75">
      <c r="B31" t="s">
        <v>74</v>
      </c>
      <c r="C31" t="s">
        <v>75</v>
      </c>
      <c r="D31" t="s">
        <v>76</v>
      </c>
      <c r="E31" t="s">
        <v>77</v>
      </c>
      <c r="F31">
        <v>95.2</v>
      </c>
      <c r="H31" t="s">
        <v>89</v>
      </c>
      <c r="I31" s="4">
        <v>1.3743930019202049</v>
      </c>
      <c r="J31" s="4">
        <v>1.3743930019202049</v>
      </c>
      <c r="K31">
        <v>60</v>
      </c>
      <c r="M31">
        <v>9</v>
      </c>
      <c r="Q31">
        <v>0</v>
      </c>
      <c r="R31" t="s">
        <v>79</v>
      </c>
      <c r="AI31">
        <v>1.3515084144657743E-4</v>
      </c>
      <c r="AO31">
        <v>0.12</v>
      </c>
      <c r="AP31">
        <v>80</v>
      </c>
      <c r="AQ31" t="s">
        <v>92</v>
      </c>
      <c r="BM31">
        <v>5.9</v>
      </c>
      <c r="BN31">
        <v>37</v>
      </c>
      <c r="BO31">
        <f t="shared" si="0"/>
        <v>218.3</v>
      </c>
      <c r="BP31" t="s">
        <v>82</v>
      </c>
      <c r="BQ31" t="s">
        <v>83</v>
      </c>
      <c r="BR31">
        <v>60</v>
      </c>
      <c r="BS31">
        <v>24</v>
      </c>
      <c r="BT31" t="s">
        <v>84</v>
      </c>
      <c r="BV31" t="s">
        <v>93</v>
      </c>
      <c r="BW31" t="s">
        <v>647</v>
      </c>
    </row>
    <row r="32" spans="1:75" x14ac:dyDescent="0.75">
      <c r="B32" t="s">
        <v>74</v>
      </c>
      <c r="C32" t="s">
        <v>75</v>
      </c>
      <c r="D32" t="s">
        <v>76</v>
      </c>
      <c r="E32" t="s">
        <v>77</v>
      </c>
      <c r="F32">
        <v>95.2</v>
      </c>
      <c r="H32" t="s">
        <v>94</v>
      </c>
      <c r="I32" s="4">
        <v>2.9760022175253798E-2</v>
      </c>
      <c r="J32" s="4">
        <v>2.9760022175253798E-2</v>
      </c>
      <c r="K32">
        <v>5</v>
      </c>
      <c r="M32">
        <v>9</v>
      </c>
      <c r="Q32">
        <v>0</v>
      </c>
      <c r="R32" t="s">
        <v>79</v>
      </c>
      <c r="AI32">
        <v>2.3874814650535895E-5</v>
      </c>
      <c r="AO32">
        <v>0.4</v>
      </c>
      <c r="AP32">
        <v>80</v>
      </c>
      <c r="AQ32" t="s">
        <v>92</v>
      </c>
      <c r="BM32">
        <v>5.9</v>
      </c>
      <c r="BN32">
        <v>37</v>
      </c>
      <c r="BO32">
        <f t="shared" si="0"/>
        <v>218.3</v>
      </c>
      <c r="BP32" t="s">
        <v>82</v>
      </c>
      <c r="BQ32" t="s">
        <v>83</v>
      </c>
      <c r="BR32">
        <v>60</v>
      </c>
      <c r="BS32">
        <v>24</v>
      </c>
      <c r="BT32" t="s">
        <v>84</v>
      </c>
      <c r="BV32" t="s">
        <v>93</v>
      </c>
      <c r="BW32" t="s">
        <v>647</v>
      </c>
    </row>
    <row r="33" spans="1:75" x14ac:dyDescent="0.75">
      <c r="B33" t="s">
        <v>74</v>
      </c>
      <c r="C33" t="s">
        <v>75</v>
      </c>
      <c r="D33" t="s">
        <v>76</v>
      </c>
      <c r="E33" t="s">
        <v>77</v>
      </c>
      <c r="F33">
        <v>95.2</v>
      </c>
      <c r="H33" t="s">
        <v>94</v>
      </c>
      <c r="I33" s="4">
        <v>0.14136010533245555</v>
      </c>
      <c r="J33" s="4">
        <v>0.14136010533245555</v>
      </c>
      <c r="K33">
        <v>20</v>
      </c>
      <c r="M33">
        <v>9</v>
      </c>
      <c r="Q33">
        <v>0</v>
      </c>
      <c r="R33" t="s">
        <v>79</v>
      </c>
      <c r="AI33">
        <v>3.7037213596673568E-6</v>
      </c>
      <c r="AO33">
        <v>0.31</v>
      </c>
      <c r="AP33">
        <v>80</v>
      </c>
      <c r="AQ33" t="s">
        <v>92</v>
      </c>
      <c r="BM33">
        <v>5.9</v>
      </c>
      <c r="BN33">
        <v>37</v>
      </c>
      <c r="BO33">
        <f t="shared" si="0"/>
        <v>218.3</v>
      </c>
      <c r="BP33" t="s">
        <v>82</v>
      </c>
      <c r="BQ33" t="s">
        <v>83</v>
      </c>
      <c r="BR33">
        <v>60</v>
      </c>
      <c r="BS33">
        <v>24</v>
      </c>
      <c r="BT33" t="s">
        <v>84</v>
      </c>
      <c r="BV33" t="s">
        <v>93</v>
      </c>
      <c r="BW33" t="s">
        <v>647</v>
      </c>
    </row>
    <row r="34" spans="1:75" x14ac:dyDescent="0.75">
      <c r="A34" s="1"/>
      <c r="B34" t="s">
        <v>74</v>
      </c>
      <c r="C34" s="1" t="s">
        <v>75</v>
      </c>
      <c r="D34" t="s">
        <v>76</v>
      </c>
      <c r="E34" t="s">
        <v>77</v>
      </c>
      <c r="F34" s="1">
        <v>95.2</v>
      </c>
      <c r="G34" s="1"/>
      <c r="H34" s="1" t="s">
        <v>94</v>
      </c>
      <c r="I34" s="2">
        <v>0.37696028088654815</v>
      </c>
      <c r="J34" s="2">
        <v>0.37696028088654815</v>
      </c>
      <c r="K34" s="1">
        <v>40</v>
      </c>
      <c r="L34" s="1"/>
      <c r="M34" s="1">
        <v>9</v>
      </c>
      <c r="N34" s="1"/>
      <c r="O34" s="1"/>
      <c r="P34" s="1"/>
      <c r="Q34" s="1">
        <v>0</v>
      </c>
      <c r="R34" s="1" t="s">
        <v>79</v>
      </c>
      <c r="S34" s="1"/>
      <c r="T34" s="1"/>
      <c r="U34" s="1"/>
      <c r="V34" s="1"/>
      <c r="W34" s="1"/>
      <c r="X34" s="1"/>
      <c r="Y34" s="1"/>
      <c r="Z34" s="1"/>
      <c r="AA34" s="1"/>
      <c r="AB34" s="1"/>
      <c r="AC34" s="1"/>
      <c r="AD34" s="1"/>
      <c r="AE34" s="1"/>
      <c r="AF34" s="1"/>
      <c r="AG34" s="1"/>
      <c r="AH34" s="1"/>
      <c r="AI34" s="1">
        <v>2.3418068856088008E-6</v>
      </c>
      <c r="AJ34" s="1"/>
      <c r="AK34" s="1"/>
      <c r="AL34" s="1"/>
      <c r="AM34" s="1"/>
      <c r="AN34" s="1"/>
      <c r="AO34" s="1">
        <v>0.17</v>
      </c>
      <c r="AP34" s="1">
        <v>80</v>
      </c>
      <c r="AQ34" s="1" t="s">
        <v>92</v>
      </c>
      <c r="AR34" s="1"/>
      <c r="AS34" s="1"/>
      <c r="AT34" s="1"/>
      <c r="AU34" s="1"/>
      <c r="AV34" s="1"/>
      <c r="AW34" s="1"/>
      <c r="AX34" s="1"/>
      <c r="AY34" s="1"/>
      <c r="AZ34" s="1"/>
      <c r="BA34" s="1"/>
      <c r="BB34" s="1"/>
      <c r="BC34" s="1"/>
      <c r="BD34" s="1"/>
      <c r="BE34" s="1"/>
      <c r="BF34" s="1"/>
      <c r="BG34" s="1"/>
      <c r="BH34" s="1"/>
      <c r="BI34" s="1"/>
      <c r="BJ34" s="1"/>
      <c r="BK34" s="1"/>
      <c r="BL34" s="1"/>
      <c r="BM34" s="1">
        <v>5.9</v>
      </c>
      <c r="BN34" s="1">
        <v>37</v>
      </c>
      <c r="BO34" s="1">
        <f t="shared" si="0"/>
        <v>218.3</v>
      </c>
      <c r="BP34" s="1" t="s">
        <v>82</v>
      </c>
      <c r="BQ34" s="1" t="s">
        <v>83</v>
      </c>
      <c r="BR34" s="1">
        <v>60</v>
      </c>
      <c r="BS34" s="1">
        <v>24</v>
      </c>
      <c r="BT34" s="1" t="s">
        <v>84</v>
      </c>
      <c r="BU34" s="1"/>
      <c r="BV34" t="s">
        <v>93</v>
      </c>
      <c r="BW34" t="s">
        <v>647</v>
      </c>
    </row>
    <row r="35" spans="1:75" x14ac:dyDescent="0.75">
      <c r="B35" t="s">
        <v>95</v>
      </c>
      <c r="C35" t="s">
        <v>75</v>
      </c>
      <c r="D35" t="s">
        <v>76</v>
      </c>
      <c r="E35" t="s">
        <v>76</v>
      </c>
      <c r="F35">
        <v>100</v>
      </c>
      <c r="H35" t="s">
        <v>78</v>
      </c>
      <c r="I35" s="4">
        <v>0.01</v>
      </c>
      <c r="J35" s="4">
        <v>0.01</v>
      </c>
      <c r="Q35">
        <v>0</v>
      </c>
      <c r="R35" t="s">
        <v>79</v>
      </c>
      <c r="Y35">
        <v>1.0715193052376007E-11</v>
      </c>
      <c r="AA35">
        <v>1.1220184543019624E-10</v>
      </c>
      <c r="AC35">
        <v>7.7624711662869035E-10</v>
      </c>
      <c r="AE35">
        <v>3.6307805477010094E-9</v>
      </c>
      <c r="AG35">
        <v>1.4125375446227547E-8</v>
      </c>
      <c r="AI35">
        <v>4.6773514128719769E-8</v>
      </c>
      <c r="AK35">
        <v>1.3803842646028823E-7</v>
      </c>
      <c r="AL35">
        <v>3.3884415613920242E-7</v>
      </c>
      <c r="AV35">
        <v>13.34</v>
      </c>
      <c r="AW35">
        <v>2436</v>
      </c>
      <c r="AX35">
        <v>-67.599999999999994</v>
      </c>
      <c r="AY35" t="s">
        <v>80</v>
      </c>
      <c r="BG35">
        <v>1.42</v>
      </c>
      <c r="BH35" s="5">
        <v>9120000000000</v>
      </c>
      <c r="BI35" t="s">
        <v>81</v>
      </c>
      <c r="BM35">
        <v>2.7</v>
      </c>
      <c r="BN35">
        <v>100</v>
      </c>
      <c r="BO35">
        <f t="shared" si="0"/>
        <v>270</v>
      </c>
      <c r="BP35" t="s">
        <v>82</v>
      </c>
      <c r="BQ35" t="s">
        <v>83</v>
      </c>
      <c r="BR35">
        <v>60</v>
      </c>
      <c r="BS35">
        <v>24</v>
      </c>
      <c r="BT35" t="s">
        <v>84</v>
      </c>
      <c r="BV35" t="s">
        <v>96</v>
      </c>
      <c r="BW35" t="s">
        <v>648</v>
      </c>
    </row>
    <row r="36" spans="1:75" x14ac:dyDescent="0.75">
      <c r="B36" t="s">
        <v>95</v>
      </c>
      <c r="C36" t="s">
        <v>75</v>
      </c>
      <c r="D36" t="s">
        <v>76</v>
      </c>
      <c r="E36" t="s">
        <v>76</v>
      </c>
      <c r="F36">
        <v>100</v>
      </c>
      <c r="H36" t="s">
        <v>78</v>
      </c>
      <c r="I36" s="4">
        <v>0.1</v>
      </c>
      <c r="J36" s="4">
        <v>0.1</v>
      </c>
      <c r="Q36">
        <v>0</v>
      </c>
      <c r="R36" t="s">
        <v>79</v>
      </c>
      <c r="Y36">
        <v>9.1201083935590972E-11</v>
      </c>
      <c r="AA36">
        <v>1.2882495516931289E-9</v>
      </c>
      <c r="AC36">
        <v>1.1220184543019609E-8</v>
      </c>
      <c r="AE36">
        <v>6.0255958607435649E-8</v>
      </c>
      <c r="AG36">
        <v>2.2908676527677716E-7</v>
      </c>
      <c r="AI36">
        <v>7.7624711662869019E-7</v>
      </c>
      <c r="AK36">
        <v>2.2387211385683329E-6</v>
      </c>
      <c r="AL36">
        <v>5.4954087385762383E-6</v>
      </c>
      <c r="AV36">
        <v>22.1</v>
      </c>
      <c r="AW36">
        <v>1811</v>
      </c>
      <c r="AX36">
        <v>-47.6</v>
      </c>
      <c r="AY36" t="s">
        <v>80</v>
      </c>
      <c r="BG36">
        <v>1.5049999999999999</v>
      </c>
      <c r="BH36" s="5">
        <v>2060000000000000</v>
      </c>
      <c r="BI36" t="s">
        <v>81</v>
      </c>
      <c r="BM36">
        <v>2.7</v>
      </c>
      <c r="BN36">
        <v>100</v>
      </c>
      <c r="BO36">
        <f t="shared" si="0"/>
        <v>270</v>
      </c>
      <c r="BP36" t="s">
        <v>82</v>
      </c>
      <c r="BQ36" t="s">
        <v>83</v>
      </c>
      <c r="BR36">
        <v>60</v>
      </c>
      <c r="BS36">
        <v>24</v>
      </c>
      <c r="BT36" t="s">
        <v>84</v>
      </c>
      <c r="BV36" t="s">
        <v>96</v>
      </c>
      <c r="BW36" t="s">
        <v>648</v>
      </c>
    </row>
    <row r="37" spans="1:75" x14ac:dyDescent="0.75">
      <c r="B37" t="s">
        <v>95</v>
      </c>
      <c r="C37" t="s">
        <v>75</v>
      </c>
      <c r="D37" t="s">
        <v>76</v>
      </c>
      <c r="E37" t="s">
        <v>76</v>
      </c>
      <c r="F37">
        <v>100</v>
      </c>
      <c r="H37" t="s">
        <v>78</v>
      </c>
      <c r="I37" s="4">
        <v>1</v>
      </c>
      <c r="J37" s="4">
        <v>1</v>
      </c>
      <c r="Q37">
        <v>0</v>
      </c>
      <c r="R37" t="s">
        <v>79</v>
      </c>
      <c r="Y37">
        <v>2.1379620895022292E-8</v>
      </c>
      <c r="AA37">
        <v>9.9999999999999995E-8</v>
      </c>
      <c r="AC37">
        <v>3.8018939632056089E-7</v>
      </c>
      <c r="AE37">
        <v>1.1748975549395291E-6</v>
      </c>
      <c r="AG37">
        <v>3.1622776601683767E-6</v>
      </c>
      <c r="AI37">
        <v>7.7624711662868956E-6</v>
      </c>
      <c r="AK37">
        <v>1.5848931924611131E-5</v>
      </c>
      <c r="AL37">
        <v>2.6302679918953804E-5</v>
      </c>
      <c r="AV37">
        <v>20.399999999999999</v>
      </c>
      <c r="AW37">
        <v>1794</v>
      </c>
      <c r="AX37">
        <v>-70.5</v>
      </c>
      <c r="AY37" t="s">
        <v>80</v>
      </c>
      <c r="BG37">
        <v>0.99670000000000003</v>
      </c>
      <c r="BH37" s="5">
        <v>1117000000</v>
      </c>
      <c r="BI37" t="s">
        <v>81</v>
      </c>
      <c r="BM37">
        <v>2.7</v>
      </c>
      <c r="BN37">
        <v>100</v>
      </c>
      <c r="BO37">
        <f t="shared" si="0"/>
        <v>270</v>
      </c>
      <c r="BP37" t="s">
        <v>82</v>
      </c>
      <c r="BQ37" t="s">
        <v>83</v>
      </c>
      <c r="BR37">
        <v>60</v>
      </c>
      <c r="BS37">
        <v>24</v>
      </c>
      <c r="BT37" t="s">
        <v>84</v>
      </c>
      <c r="BV37" t="s">
        <v>96</v>
      </c>
      <c r="BW37" t="s">
        <v>648</v>
      </c>
    </row>
    <row r="38" spans="1:75" x14ac:dyDescent="0.75">
      <c r="A38" s="1"/>
      <c r="B38" s="1" t="s">
        <v>95</v>
      </c>
      <c r="C38" s="1" t="s">
        <v>75</v>
      </c>
      <c r="D38" t="s">
        <v>76</v>
      </c>
      <c r="E38" t="s">
        <v>76</v>
      </c>
      <c r="F38" s="1">
        <v>100</v>
      </c>
      <c r="G38" s="1"/>
      <c r="H38" s="1" t="s">
        <v>78</v>
      </c>
      <c r="I38" s="2">
        <v>2</v>
      </c>
      <c r="J38" s="2">
        <v>2</v>
      </c>
      <c r="K38" s="1"/>
      <c r="L38" s="1"/>
      <c r="M38" s="1"/>
      <c r="N38" s="1"/>
      <c r="O38" s="1"/>
      <c r="P38" s="1"/>
      <c r="Q38" s="1">
        <v>0</v>
      </c>
      <c r="R38" s="1" t="s">
        <v>79</v>
      </c>
      <c r="S38" s="1"/>
      <c r="T38" s="1"/>
      <c r="U38" s="1"/>
      <c r="V38" s="1"/>
      <c r="W38" s="1"/>
      <c r="X38" s="1"/>
      <c r="Y38" s="1">
        <v>9.7723722095580961E-7</v>
      </c>
      <c r="Z38" s="1"/>
      <c r="AA38" s="1">
        <v>2.3988329190194872E-6</v>
      </c>
      <c r="AB38" s="1"/>
      <c r="AC38" s="1">
        <v>5.3703179637025301E-6</v>
      </c>
      <c r="AD38" s="1"/>
      <c r="AE38" s="1">
        <v>1.0964781961431843E-5</v>
      </c>
      <c r="AF38" s="1"/>
      <c r="AG38" s="1">
        <v>1.9952623149688769E-5</v>
      </c>
      <c r="AH38" s="1"/>
      <c r="AI38" s="1">
        <v>3.5481338923357479E-5</v>
      </c>
      <c r="AJ38" s="1"/>
      <c r="AK38" s="1">
        <v>5.4954087385762447E-5</v>
      </c>
      <c r="AL38" s="1">
        <v>8.5113803820237487E-5</v>
      </c>
      <c r="AM38" s="1"/>
      <c r="AN38" s="1"/>
      <c r="AO38" s="1"/>
      <c r="AP38" s="1"/>
      <c r="AQ38" s="1"/>
      <c r="AR38" s="1"/>
      <c r="AS38" s="1"/>
      <c r="AT38" s="1"/>
      <c r="AU38" s="1"/>
      <c r="AV38" s="1">
        <v>6.84</v>
      </c>
      <c r="AW38" s="1">
        <v>1640</v>
      </c>
      <c r="AX38" s="1">
        <v>-97</v>
      </c>
      <c r="AY38" s="1" t="s">
        <v>80</v>
      </c>
      <c r="AZ38" s="1"/>
      <c r="BA38" s="1"/>
      <c r="BB38" s="1"/>
      <c r="BC38" s="1"/>
      <c r="BD38" s="1"/>
      <c r="BE38" s="1"/>
      <c r="BF38" s="1"/>
      <c r="BG38" s="1">
        <v>0.621</v>
      </c>
      <c r="BH38" s="3">
        <v>24397</v>
      </c>
      <c r="BI38" t="s">
        <v>81</v>
      </c>
      <c r="BJ38" s="1"/>
      <c r="BK38" s="1"/>
      <c r="BL38" s="1"/>
      <c r="BM38" s="1">
        <v>2.7</v>
      </c>
      <c r="BN38" s="1">
        <v>100</v>
      </c>
      <c r="BO38" s="1">
        <f t="shared" si="0"/>
        <v>270</v>
      </c>
      <c r="BP38" s="1" t="s">
        <v>82</v>
      </c>
      <c r="BQ38" s="1" t="s">
        <v>83</v>
      </c>
      <c r="BR38" s="1">
        <v>60</v>
      </c>
      <c r="BS38" s="1">
        <v>24</v>
      </c>
      <c r="BT38" s="1" t="s">
        <v>84</v>
      </c>
      <c r="BU38" s="1"/>
      <c r="BV38" t="s">
        <v>96</v>
      </c>
      <c r="BW38" t="s">
        <v>648</v>
      </c>
    </row>
    <row r="39" spans="1:75" x14ac:dyDescent="0.75">
      <c r="A39" s="8"/>
      <c r="B39" s="8" t="s">
        <v>95</v>
      </c>
      <c r="C39" s="8" t="s">
        <v>97</v>
      </c>
      <c r="D39" s="8" t="s">
        <v>98</v>
      </c>
      <c r="E39" s="8" t="s">
        <v>98</v>
      </c>
      <c r="F39" s="8">
        <v>100</v>
      </c>
      <c r="G39" s="8"/>
      <c r="H39" s="8" t="s">
        <v>78</v>
      </c>
      <c r="I39" s="9">
        <f>J39*4</f>
        <v>0.4</v>
      </c>
      <c r="J39" s="9">
        <v>0.1</v>
      </c>
      <c r="K39" s="8"/>
      <c r="L39" s="8"/>
      <c r="M39" s="8">
        <v>-24</v>
      </c>
      <c r="N39" s="8"/>
      <c r="O39" s="8"/>
      <c r="P39" s="8"/>
      <c r="Q39" s="8">
        <v>0</v>
      </c>
      <c r="R39" s="8" t="s">
        <v>79</v>
      </c>
      <c r="S39" s="8"/>
      <c r="T39" s="8"/>
      <c r="U39" s="8"/>
      <c r="V39" s="8"/>
      <c r="W39" s="10">
        <v>1.5E-5</v>
      </c>
      <c r="X39" s="8"/>
      <c r="Y39" s="8"/>
      <c r="Z39" s="8"/>
      <c r="AA39" s="10">
        <v>4.1310000000000003E-5</v>
      </c>
      <c r="AB39" s="8"/>
      <c r="AC39" s="8"/>
      <c r="AD39" s="8"/>
      <c r="AE39" s="10">
        <v>9.1520000000000005E-5</v>
      </c>
      <c r="AF39" s="10"/>
      <c r="AG39" s="8"/>
      <c r="AH39" s="8"/>
      <c r="AI39" s="10">
        <v>2.8469999999999998E-4</v>
      </c>
      <c r="AJ39" s="8"/>
      <c r="AK39" s="8"/>
      <c r="AL39" s="10">
        <v>5.9040000000000004E-4</v>
      </c>
      <c r="AM39" s="8"/>
      <c r="AN39" s="8"/>
      <c r="AO39" s="8"/>
      <c r="AP39" s="8"/>
      <c r="AQ39" s="8"/>
      <c r="AR39" s="8"/>
      <c r="AS39" s="8"/>
      <c r="AT39" s="8"/>
      <c r="AU39" s="8"/>
      <c r="AV39" s="8">
        <v>294.3</v>
      </c>
      <c r="AW39" s="8">
        <v>2878.8</v>
      </c>
      <c r="AX39" s="8">
        <v>-181.7</v>
      </c>
      <c r="AY39" s="8" t="s">
        <v>99</v>
      </c>
      <c r="AZ39" s="8">
        <v>1.7</v>
      </c>
      <c r="BA39" s="8">
        <v>884</v>
      </c>
      <c r="BB39" s="8">
        <v>-74</v>
      </c>
      <c r="BC39" s="8"/>
      <c r="BD39" s="8"/>
      <c r="BE39" s="8"/>
      <c r="BF39" s="8"/>
      <c r="BG39" s="8">
        <v>0.4516</v>
      </c>
      <c r="BH39" s="8">
        <v>695</v>
      </c>
      <c r="BI39" t="s">
        <v>81</v>
      </c>
      <c r="BJ39" s="8"/>
      <c r="BK39" s="8"/>
      <c r="BL39" s="8"/>
      <c r="BM39" s="8">
        <v>1.3</v>
      </c>
      <c r="BN39" s="8">
        <v>20.9</v>
      </c>
      <c r="BO39" s="8">
        <f t="shared" si="0"/>
        <v>27.169999999999998</v>
      </c>
      <c r="BP39" s="8" t="s">
        <v>82</v>
      </c>
      <c r="BQ39" s="8" t="s">
        <v>83</v>
      </c>
      <c r="BR39" s="8">
        <v>40</v>
      </c>
      <c r="BS39" s="8">
        <v>12</v>
      </c>
      <c r="BT39" s="8" t="s">
        <v>84</v>
      </c>
      <c r="BU39" s="8"/>
      <c r="BV39" s="8" t="s">
        <v>100</v>
      </c>
      <c r="BW39" t="s">
        <v>649</v>
      </c>
    </row>
    <row r="40" spans="1:75" x14ac:dyDescent="0.75">
      <c r="A40" s="8"/>
      <c r="B40" s="8" t="s">
        <v>95</v>
      </c>
      <c r="C40" s="8" t="s">
        <v>101</v>
      </c>
      <c r="D40" t="s">
        <v>102</v>
      </c>
      <c r="E40" t="s">
        <v>102</v>
      </c>
      <c r="F40" s="8">
        <v>100</v>
      </c>
      <c r="G40" s="8"/>
      <c r="H40" s="8" t="s">
        <v>78</v>
      </c>
      <c r="I40" s="8">
        <f>1/8</f>
        <v>0.125</v>
      </c>
      <c r="J40" s="8">
        <f>1/8</f>
        <v>0.125</v>
      </c>
      <c r="K40" s="8"/>
      <c r="L40" s="8"/>
      <c r="M40" s="8"/>
      <c r="N40" s="8"/>
      <c r="O40" s="8"/>
      <c r="P40" s="8"/>
      <c r="Q40" s="8"/>
      <c r="R40" s="1" t="s">
        <v>622</v>
      </c>
      <c r="S40" s="8"/>
      <c r="T40" s="8"/>
      <c r="U40" s="8"/>
      <c r="V40" s="8"/>
      <c r="W40" s="8"/>
      <c r="X40" s="8"/>
      <c r="Y40" s="8"/>
      <c r="Z40" s="8"/>
      <c r="AA40" s="8"/>
      <c r="AB40" s="8"/>
      <c r="AC40" s="8"/>
      <c r="AD40" s="8"/>
      <c r="AE40" s="8"/>
      <c r="AF40" s="8"/>
      <c r="AG40" s="8"/>
      <c r="AH40" s="8"/>
      <c r="AI40" s="8"/>
      <c r="AJ40" s="8"/>
      <c r="AK40" s="8"/>
      <c r="AL40" s="8"/>
      <c r="AM40" s="8"/>
      <c r="AN40" s="8"/>
      <c r="AO40" s="8">
        <v>0.8</v>
      </c>
      <c r="AP40" s="8">
        <f>333-273</f>
        <v>60</v>
      </c>
      <c r="AQ40" s="8" t="s">
        <v>92</v>
      </c>
      <c r="AR40" s="8"/>
      <c r="AS40" s="8"/>
      <c r="AT40" s="8"/>
      <c r="AU40" s="8"/>
      <c r="AV40" s="8"/>
      <c r="AW40" s="8"/>
      <c r="AX40" s="8"/>
      <c r="AY40" s="8"/>
      <c r="AZ40" s="8"/>
      <c r="BA40" s="8"/>
      <c r="BB40" s="8"/>
      <c r="BC40" s="8"/>
      <c r="BD40" s="8"/>
      <c r="BE40" s="8"/>
      <c r="BF40" s="8"/>
      <c r="BG40" s="8"/>
      <c r="BH40" s="8"/>
      <c r="BI40" s="8"/>
      <c r="BJ40" s="8"/>
      <c r="BK40" s="8"/>
      <c r="BL40" s="8"/>
      <c r="BM40" s="8">
        <v>1.36</v>
      </c>
      <c r="BN40" s="8">
        <v>368</v>
      </c>
      <c r="BO40" s="8">
        <f t="shared" si="0"/>
        <v>500.48</v>
      </c>
      <c r="BP40" s="8" t="s">
        <v>82</v>
      </c>
      <c r="BQ40" s="8" t="s">
        <v>83</v>
      </c>
      <c r="BR40" s="8">
        <v>60</v>
      </c>
      <c r="BS40" s="8">
        <v>48</v>
      </c>
      <c r="BT40" s="8" t="s">
        <v>84</v>
      </c>
      <c r="BU40" s="8"/>
      <c r="BV40" s="8" t="s">
        <v>103</v>
      </c>
      <c r="BW40" t="s">
        <v>650</v>
      </c>
    </row>
    <row r="41" spans="1:75" x14ac:dyDescent="0.75">
      <c r="B41" t="s">
        <v>95</v>
      </c>
      <c r="C41" t="s">
        <v>101</v>
      </c>
      <c r="D41" t="s">
        <v>102</v>
      </c>
      <c r="E41" t="s">
        <v>102</v>
      </c>
      <c r="F41">
        <v>100</v>
      </c>
      <c r="H41" t="s">
        <v>78</v>
      </c>
      <c r="I41">
        <v>4.7619047619047616E-2</v>
      </c>
      <c r="J41">
        <v>4.7619047619047616E-2</v>
      </c>
      <c r="L41">
        <v>-17.5</v>
      </c>
      <c r="M41">
        <v>-16</v>
      </c>
      <c r="Q41">
        <v>0</v>
      </c>
      <c r="R41" t="s">
        <v>79</v>
      </c>
      <c r="W41" s="5">
        <v>2.968E-10</v>
      </c>
      <c r="Z41" s="5">
        <v>4.3290000000000003E-9</v>
      </c>
      <c r="AB41" s="5">
        <v>2.3619999999999999E-8</v>
      </c>
      <c r="AD41" s="5">
        <v>1.004E-7</v>
      </c>
      <c r="AF41" s="5">
        <v>6.7430000000000005E-7</v>
      </c>
      <c r="AH41" s="5">
        <v>1.778E-6</v>
      </c>
      <c r="AV41">
        <v>926</v>
      </c>
      <c r="AW41">
        <v>2532</v>
      </c>
      <c r="AX41">
        <v>-73</v>
      </c>
      <c r="AY41" t="s">
        <v>80</v>
      </c>
      <c r="AZ41">
        <v>346</v>
      </c>
      <c r="BA41">
        <v>2301</v>
      </c>
      <c r="BB41">
        <v>-67.5</v>
      </c>
      <c r="BG41">
        <v>1.54</v>
      </c>
      <c r="BH41" s="5">
        <v>5.2E+16</v>
      </c>
      <c r="BI41" t="s">
        <v>81</v>
      </c>
      <c r="BM41">
        <v>1.36</v>
      </c>
      <c r="BN41">
        <v>368</v>
      </c>
      <c r="BO41">
        <f t="shared" si="0"/>
        <v>500.48</v>
      </c>
      <c r="BP41" t="s">
        <v>82</v>
      </c>
      <c r="BQ41" t="s">
        <v>83</v>
      </c>
      <c r="BR41">
        <v>60</v>
      </c>
      <c r="BS41">
        <v>48</v>
      </c>
      <c r="BT41" t="s">
        <v>84</v>
      </c>
      <c r="BV41" t="s">
        <v>104</v>
      </c>
      <c r="BW41" t="s">
        <v>651</v>
      </c>
    </row>
    <row r="42" spans="1:75" x14ac:dyDescent="0.75">
      <c r="B42" t="s">
        <v>95</v>
      </c>
      <c r="C42" t="s">
        <v>101</v>
      </c>
      <c r="D42" t="s">
        <v>102</v>
      </c>
      <c r="E42" t="s">
        <v>102</v>
      </c>
      <c r="F42">
        <v>100</v>
      </c>
      <c r="H42" t="s">
        <v>78</v>
      </c>
      <c r="I42">
        <v>7.6923076923076927E-2</v>
      </c>
      <c r="J42">
        <v>7.6923076923076927E-2</v>
      </c>
      <c r="L42">
        <v>-15</v>
      </c>
      <c r="M42">
        <v>-16</v>
      </c>
      <c r="Q42">
        <v>0</v>
      </c>
      <c r="R42" t="s">
        <v>79</v>
      </c>
      <c r="W42" s="5">
        <v>4.3349999999999996E-9</v>
      </c>
      <c r="Z42" s="5">
        <v>2.8909999999999999E-8</v>
      </c>
      <c r="AB42" s="5">
        <v>1.163E-7</v>
      </c>
      <c r="AD42" s="5">
        <v>4.876E-7</v>
      </c>
      <c r="AF42" s="5">
        <v>1.561E-6</v>
      </c>
      <c r="AH42" s="5">
        <v>4.4410000000000003E-6</v>
      </c>
      <c r="AV42">
        <v>3107</v>
      </c>
      <c r="AW42">
        <v>3052</v>
      </c>
      <c r="AX42">
        <v>-100</v>
      </c>
      <c r="AY42" t="s">
        <v>80</v>
      </c>
      <c r="AZ42">
        <v>21.4</v>
      </c>
      <c r="BA42">
        <v>1759</v>
      </c>
      <c r="BB42">
        <v>-65</v>
      </c>
      <c r="BG42">
        <v>1.23</v>
      </c>
      <c r="BH42" s="5">
        <v>3610000000000</v>
      </c>
      <c r="BI42" t="s">
        <v>81</v>
      </c>
      <c r="BM42">
        <v>1.36</v>
      </c>
      <c r="BN42">
        <v>368</v>
      </c>
      <c r="BO42">
        <f t="shared" si="0"/>
        <v>500.48</v>
      </c>
      <c r="BP42" t="s">
        <v>82</v>
      </c>
      <c r="BQ42" t="s">
        <v>83</v>
      </c>
      <c r="BR42">
        <v>60</v>
      </c>
      <c r="BS42">
        <v>48</v>
      </c>
      <c r="BT42" t="s">
        <v>84</v>
      </c>
      <c r="BV42" t="s">
        <v>104</v>
      </c>
      <c r="BW42" t="s">
        <v>651</v>
      </c>
    </row>
    <row r="43" spans="1:75" x14ac:dyDescent="0.75">
      <c r="B43" t="s">
        <v>95</v>
      </c>
      <c r="C43" t="s">
        <v>101</v>
      </c>
      <c r="D43" t="s">
        <v>102</v>
      </c>
      <c r="E43" t="s">
        <v>102</v>
      </c>
      <c r="F43">
        <v>100</v>
      </c>
      <c r="H43" t="s">
        <v>78</v>
      </c>
      <c r="I43">
        <v>0.125</v>
      </c>
      <c r="J43">
        <v>0.125</v>
      </c>
      <c r="L43">
        <v>-15</v>
      </c>
      <c r="M43">
        <v>-16</v>
      </c>
      <c r="Q43">
        <v>0</v>
      </c>
      <c r="R43" t="s">
        <v>79</v>
      </c>
      <c r="W43" s="5">
        <v>3.321E-9</v>
      </c>
      <c r="Z43" s="5">
        <v>2.1839999999999999E-8</v>
      </c>
      <c r="AB43" s="5">
        <v>1.2770000000000001E-7</v>
      </c>
      <c r="AD43" s="5">
        <v>4.115E-7</v>
      </c>
      <c r="AF43" s="5">
        <v>1.7740000000000001E-6</v>
      </c>
      <c r="AH43" s="5">
        <v>5.2630000000000003E-6</v>
      </c>
      <c r="AV43">
        <v>31462</v>
      </c>
      <c r="AW43">
        <v>3564</v>
      </c>
      <c r="AX43">
        <v>-107</v>
      </c>
      <c r="AY43" t="s">
        <v>80</v>
      </c>
      <c r="AZ43">
        <v>55</v>
      </c>
      <c r="BA43">
        <v>1871</v>
      </c>
      <c r="BB43">
        <v>-65</v>
      </c>
      <c r="BG43">
        <v>1.31</v>
      </c>
      <c r="BH43" s="5">
        <v>61800000000000</v>
      </c>
      <c r="BI43" t="s">
        <v>81</v>
      </c>
      <c r="BM43">
        <v>1.36</v>
      </c>
      <c r="BN43">
        <v>368</v>
      </c>
      <c r="BO43">
        <f t="shared" si="0"/>
        <v>500.48</v>
      </c>
      <c r="BP43" t="s">
        <v>82</v>
      </c>
      <c r="BQ43" t="s">
        <v>83</v>
      </c>
      <c r="BR43">
        <v>60</v>
      </c>
      <c r="BS43">
        <v>48</v>
      </c>
      <c r="BT43" t="s">
        <v>84</v>
      </c>
      <c r="BV43" t="s">
        <v>104</v>
      </c>
      <c r="BW43" t="s">
        <v>651</v>
      </c>
    </row>
    <row r="44" spans="1:75" x14ac:dyDescent="0.75">
      <c r="B44" t="s">
        <v>95</v>
      </c>
      <c r="C44" t="s">
        <v>101</v>
      </c>
      <c r="D44" t="s">
        <v>102</v>
      </c>
      <c r="E44" t="s">
        <v>102</v>
      </c>
      <c r="F44">
        <v>100</v>
      </c>
      <c r="H44" t="s">
        <v>78</v>
      </c>
      <c r="I44">
        <v>0.2</v>
      </c>
      <c r="J44">
        <v>0.2</v>
      </c>
      <c r="L44">
        <v>-17</v>
      </c>
      <c r="M44">
        <v>-16</v>
      </c>
      <c r="Q44">
        <v>0</v>
      </c>
      <c r="R44" t="s">
        <v>79</v>
      </c>
      <c r="W44" s="5">
        <v>1.7639999999999999E-9</v>
      </c>
      <c r="Z44" s="5">
        <v>1.152E-8</v>
      </c>
      <c r="AB44" s="5">
        <v>5.746E-8</v>
      </c>
      <c r="AD44" s="5">
        <v>2.3760000000000001E-7</v>
      </c>
      <c r="AF44" s="5">
        <v>9.0449999999999998E-7</v>
      </c>
      <c r="AH44" s="5">
        <v>2.7970000000000001E-6</v>
      </c>
      <c r="AV44">
        <v>169096</v>
      </c>
      <c r="AW44">
        <v>4313</v>
      </c>
      <c r="AX44">
        <v>-122</v>
      </c>
      <c r="AY44" t="s">
        <v>80</v>
      </c>
      <c r="AZ44">
        <v>40.6</v>
      </c>
      <c r="BA44">
        <v>1945</v>
      </c>
      <c r="BB44">
        <v>-67</v>
      </c>
      <c r="BG44">
        <v>1.32</v>
      </c>
      <c r="BH44" s="5">
        <v>37300000000000</v>
      </c>
      <c r="BI44" t="s">
        <v>81</v>
      </c>
      <c r="BM44">
        <v>1.36</v>
      </c>
      <c r="BN44">
        <v>368</v>
      </c>
      <c r="BO44">
        <f t="shared" si="0"/>
        <v>500.48</v>
      </c>
      <c r="BP44" t="s">
        <v>82</v>
      </c>
      <c r="BQ44" t="s">
        <v>83</v>
      </c>
      <c r="BR44">
        <v>60</v>
      </c>
      <c r="BS44">
        <v>48</v>
      </c>
      <c r="BT44" t="s">
        <v>84</v>
      </c>
      <c r="BV44" t="s">
        <v>104</v>
      </c>
      <c r="BW44" t="s">
        <v>651</v>
      </c>
    </row>
    <row r="45" spans="1:75" x14ac:dyDescent="0.75">
      <c r="B45" t="s">
        <v>95</v>
      </c>
      <c r="C45" t="s">
        <v>101</v>
      </c>
      <c r="D45" t="s">
        <v>102</v>
      </c>
      <c r="E45" t="s">
        <v>102</v>
      </c>
      <c r="F45">
        <v>100</v>
      </c>
      <c r="H45" t="s">
        <v>78</v>
      </c>
      <c r="I45">
        <v>0.33333333333333331</v>
      </c>
      <c r="J45">
        <v>0.33333333333333331</v>
      </c>
      <c r="L45">
        <v>-11</v>
      </c>
      <c r="M45">
        <v>-16</v>
      </c>
      <c r="Q45">
        <v>0</v>
      </c>
      <c r="R45" t="s">
        <v>79</v>
      </c>
      <c r="W45" s="5">
        <v>6.8230000000000001E-10</v>
      </c>
      <c r="Z45" s="5">
        <v>5.0140000000000003E-9</v>
      </c>
      <c r="AB45" s="5">
        <v>2.9110000000000001E-8</v>
      </c>
      <c r="AD45" s="5">
        <v>1.3080000000000001E-7</v>
      </c>
      <c r="AF45" s="5">
        <v>4.5820000000000001E-7</v>
      </c>
      <c r="AH45" s="5">
        <v>1.818E-6</v>
      </c>
      <c r="AV45" s="5">
        <v>249000</v>
      </c>
      <c r="AW45">
        <v>4423</v>
      </c>
      <c r="AX45">
        <v>-120</v>
      </c>
      <c r="AY45" t="s">
        <v>80</v>
      </c>
      <c r="AZ45">
        <v>21.3</v>
      </c>
      <c r="BA45">
        <v>1846</v>
      </c>
      <c r="BB45">
        <v>-61</v>
      </c>
      <c r="BG45">
        <v>1.397</v>
      </c>
      <c r="BH45" s="5">
        <v>332000000000000</v>
      </c>
      <c r="BI45" t="s">
        <v>81</v>
      </c>
      <c r="BM45">
        <v>1.36</v>
      </c>
      <c r="BN45">
        <v>368</v>
      </c>
      <c r="BO45">
        <f t="shared" si="0"/>
        <v>500.48</v>
      </c>
      <c r="BP45" t="s">
        <v>82</v>
      </c>
      <c r="BQ45" t="s">
        <v>83</v>
      </c>
      <c r="BR45">
        <v>60</v>
      </c>
      <c r="BS45">
        <v>48</v>
      </c>
      <c r="BT45" t="s">
        <v>84</v>
      </c>
      <c r="BV45" t="s">
        <v>104</v>
      </c>
      <c r="BW45" t="s">
        <v>651</v>
      </c>
    </row>
    <row r="46" spans="1:75" x14ac:dyDescent="0.75">
      <c r="A46" s="1"/>
      <c r="B46" s="1" t="s">
        <v>95</v>
      </c>
      <c r="C46" s="1" t="s">
        <v>101</v>
      </c>
      <c r="D46" t="s">
        <v>102</v>
      </c>
      <c r="E46" t="s">
        <v>102</v>
      </c>
      <c r="F46" s="1">
        <v>100</v>
      </c>
      <c r="G46" s="1"/>
      <c r="H46" s="1" t="s">
        <v>78</v>
      </c>
      <c r="I46" s="1">
        <v>0.5</v>
      </c>
      <c r="J46" s="1">
        <v>0.5</v>
      </c>
      <c r="K46" s="1"/>
      <c r="L46" s="1">
        <v>11</v>
      </c>
      <c r="M46" s="1">
        <v>-16</v>
      </c>
      <c r="N46" s="1"/>
      <c r="O46" s="1"/>
      <c r="P46" s="1"/>
      <c r="Q46" s="1">
        <v>0</v>
      </c>
      <c r="R46" s="1" t="s">
        <v>79</v>
      </c>
      <c r="S46" s="1"/>
      <c r="T46" s="1"/>
      <c r="U46" s="1"/>
      <c r="V46" s="1"/>
      <c r="W46" s="3">
        <v>1.3680000000000001E-10</v>
      </c>
      <c r="X46" s="1"/>
      <c r="Y46" s="1"/>
      <c r="Z46" s="3">
        <v>1.3439999999999999E-9</v>
      </c>
      <c r="AA46" s="1"/>
      <c r="AB46" s="3">
        <v>1.037E-8</v>
      </c>
      <c r="AC46" s="1"/>
      <c r="AD46" s="3">
        <v>4.8900000000000001E-8</v>
      </c>
      <c r="AE46" s="1"/>
      <c r="AF46" s="3">
        <v>1.9670000000000001E-7</v>
      </c>
      <c r="AG46" s="1"/>
      <c r="AH46" s="3">
        <v>7.5909999999999996E-7</v>
      </c>
      <c r="AI46" s="1"/>
      <c r="AJ46" s="1"/>
      <c r="AK46" s="1"/>
      <c r="AL46" s="1"/>
      <c r="AM46" s="1"/>
      <c r="AN46" s="1"/>
      <c r="AO46" s="1"/>
      <c r="AP46" s="1"/>
      <c r="AQ46" s="1"/>
      <c r="AR46" s="1"/>
      <c r="AS46" s="1"/>
      <c r="AT46" s="1"/>
      <c r="AU46" s="1"/>
      <c r="AV46" s="1">
        <v>1369</v>
      </c>
      <c r="AW46" s="1">
        <v>2884</v>
      </c>
      <c r="AX46" s="1">
        <v>-81.5</v>
      </c>
      <c r="AY46" s="1" t="s">
        <v>80</v>
      </c>
      <c r="AZ46" s="1">
        <v>0.7</v>
      </c>
      <c r="BA46" s="1">
        <v>1262</v>
      </c>
      <c r="BB46" s="1">
        <v>-39</v>
      </c>
      <c r="BC46" s="1"/>
      <c r="BD46" s="1"/>
      <c r="BE46" s="1"/>
      <c r="BF46" s="1"/>
      <c r="BG46" s="1">
        <v>1.53</v>
      </c>
      <c r="BH46" s="3">
        <v>1.32E+16</v>
      </c>
      <c r="BI46" t="s">
        <v>81</v>
      </c>
      <c r="BJ46" s="1"/>
      <c r="BK46" s="1"/>
      <c r="BL46" s="1"/>
      <c r="BM46" s="1">
        <v>1.36</v>
      </c>
      <c r="BN46" s="1">
        <v>368</v>
      </c>
      <c r="BO46" s="1">
        <f t="shared" si="0"/>
        <v>500.48</v>
      </c>
      <c r="BP46" s="1" t="s">
        <v>82</v>
      </c>
      <c r="BQ46" s="1" t="s">
        <v>83</v>
      </c>
      <c r="BR46" s="1">
        <v>60</v>
      </c>
      <c r="BS46" s="1">
        <v>48</v>
      </c>
      <c r="BT46" s="1" t="s">
        <v>84</v>
      </c>
      <c r="BU46" s="1"/>
      <c r="BV46" t="s">
        <v>104</v>
      </c>
      <c r="BW46" t="s">
        <v>651</v>
      </c>
    </row>
    <row r="47" spans="1:75" x14ac:dyDescent="0.75">
      <c r="B47" t="s">
        <v>95</v>
      </c>
      <c r="C47" t="s">
        <v>75</v>
      </c>
      <c r="D47" t="s">
        <v>76</v>
      </c>
      <c r="E47" t="s">
        <v>76</v>
      </c>
      <c r="F47">
        <v>100</v>
      </c>
      <c r="H47" t="s">
        <v>78</v>
      </c>
      <c r="I47">
        <v>0.2</v>
      </c>
      <c r="J47">
        <v>0.2</v>
      </c>
      <c r="L47">
        <v>34</v>
      </c>
      <c r="M47">
        <v>22</v>
      </c>
      <c r="Q47">
        <v>0</v>
      </c>
      <c r="R47" t="s">
        <v>79</v>
      </c>
      <c r="S47" s="5">
        <v>1.1856E-5</v>
      </c>
      <c r="U47" s="5">
        <v>4.8205999999999999E-5</v>
      </c>
      <c r="AA47" s="5">
        <v>8.1672E-5</v>
      </c>
      <c r="AE47" s="5">
        <v>1.8537E-4</v>
      </c>
      <c r="AR47">
        <v>0.79879999999999995</v>
      </c>
      <c r="AS47">
        <v>20</v>
      </c>
      <c r="AV47">
        <v>0.1</v>
      </c>
      <c r="AW47">
        <v>476</v>
      </c>
      <c r="AX47">
        <v>-76</v>
      </c>
      <c r="AY47" t="s">
        <v>105</v>
      </c>
      <c r="AZ47">
        <v>4.4999999999999997E-3</v>
      </c>
      <c r="BA47">
        <v>52</v>
      </c>
      <c r="BB47">
        <v>-16</v>
      </c>
      <c r="BG47">
        <v>0.35</v>
      </c>
      <c r="BH47" s="5">
        <v>32.6</v>
      </c>
      <c r="BI47" t="s">
        <v>81</v>
      </c>
      <c r="BO47">
        <v>50</v>
      </c>
      <c r="BP47" t="s">
        <v>82</v>
      </c>
      <c r="BQ47" t="s">
        <v>106</v>
      </c>
      <c r="BR47">
        <v>80</v>
      </c>
      <c r="BS47">
        <v>24</v>
      </c>
      <c r="BT47" t="s">
        <v>84</v>
      </c>
      <c r="BV47" t="s">
        <v>107</v>
      </c>
      <c r="BW47" t="s">
        <v>652</v>
      </c>
    </row>
    <row r="48" spans="1:75" x14ac:dyDescent="0.75">
      <c r="B48" t="s">
        <v>95</v>
      </c>
      <c r="C48" t="s">
        <v>75</v>
      </c>
      <c r="D48" t="s">
        <v>76</v>
      </c>
      <c r="E48" t="s">
        <v>76</v>
      </c>
      <c r="F48">
        <v>100</v>
      </c>
      <c r="H48" t="s">
        <v>78</v>
      </c>
      <c r="I48">
        <v>0.4</v>
      </c>
      <c r="J48">
        <v>0.4</v>
      </c>
      <c r="L48">
        <v>31</v>
      </c>
      <c r="M48">
        <v>22</v>
      </c>
      <c r="Q48">
        <v>0</v>
      </c>
      <c r="R48" t="s">
        <v>79</v>
      </c>
      <c r="S48" s="5">
        <v>1.1856E-5</v>
      </c>
      <c r="U48" s="5">
        <v>6.8069000000000002E-5</v>
      </c>
      <c r="AA48" s="5">
        <v>1.1533E-4</v>
      </c>
      <c r="AE48" s="5">
        <v>1.8537E-4</v>
      </c>
      <c r="AR48">
        <v>0.3488</v>
      </c>
      <c r="AS48">
        <v>20</v>
      </c>
      <c r="AV48">
        <v>8.8999999999999996E-2</v>
      </c>
      <c r="AW48">
        <v>415.6</v>
      </c>
      <c r="AX48">
        <v>-70</v>
      </c>
      <c r="AY48" t="s">
        <v>105</v>
      </c>
      <c r="AZ48">
        <v>7.0000000000000001E-3</v>
      </c>
      <c r="BA48">
        <v>68.8</v>
      </c>
      <c r="BB48">
        <v>-19</v>
      </c>
      <c r="BG48">
        <v>0.44</v>
      </c>
      <c r="BH48" s="5">
        <v>1354</v>
      </c>
      <c r="BI48" t="s">
        <v>81</v>
      </c>
      <c r="BO48">
        <v>50</v>
      </c>
      <c r="BP48" t="s">
        <v>82</v>
      </c>
      <c r="BQ48" t="s">
        <v>106</v>
      </c>
      <c r="BR48">
        <v>80</v>
      </c>
      <c r="BS48">
        <v>24</v>
      </c>
      <c r="BT48" t="s">
        <v>84</v>
      </c>
      <c r="BV48" t="s">
        <v>107</v>
      </c>
      <c r="BW48" t="s">
        <v>652</v>
      </c>
    </row>
    <row r="49" spans="1:75" x14ac:dyDescent="0.75">
      <c r="B49" t="s">
        <v>95</v>
      </c>
      <c r="C49" t="s">
        <v>75</v>
      </c>
      <c r="D49" t="s">
        <v>76</v>
      </c>
      <c r="E49" t="s">
        <v>76</v>
      </c>
      <c r="F49">
        <v>100</v>
      </c>
      <c r="H49" t="s">
        <v>78</v>
      </c>
      <c r="I49">
        <v>0.6</v>
      </c>
      <c r="J49">
        <v>0.6</v>
      </c>
      <c r="L49">
        <v>29</v>
      </c>
      <c r="M49">
        <v>22</v>
      </c>
      <c r="Q49">
        <v>0</v>
      </c>
      <c r="R49" t="s">
        <v>79</v>
      </c>
      <c r="S49" s="5">
        <v>1.9374000000000001E-5</v>
      </c>
      <c r="U49" s="5">
        <v>1.2871000000000001E-4</v>
      </c>
      <c r="AA49" s="5">
        <v>2.7690000000000001E-4</v>
      </c>
      <c r="AE49" s="5">
        <v>7.6692999999999998E-4</v>
      </c>
      <c r="AR49">
        <v>7.9200000000000007E-2</v>
      </c>
      <c r="AS49">
        <v>20</v>
      </c>
      <c r="AV49">
        <v>1.3</v>
      </c>
      <c r="AW49">
        <v>624</v>
      </c>
      <c r="AX49">
        <v>-75.5</v>
      </c>
      <c r="AY49" t="s">
        <v>105</v>
      </c>
      <c r="AZ49">
        <v>3.2000000000000001E-2</v>
      </c>
      <c r="BA49">
        <v>99</v>
      </c>
      <c r="BB49">
        <v>-21</v>
      </c>
      <c r="BG49">
        <v>0.57999999999999996</v>
      </c>
      <c r="BH49" s="5">
        <v>748396</v>
      </c>
      <c r="BI49" t="s">
        <v>81</v>
      </c>
      <c r="BO49">
        <v>50</v>
      </c>
      <c r="BP49" t="s">
        <v>82</v>
      </c>
      <c r="BQ49" t="s">
        <v>106</v>
      </c>
      <c r="BR49">
        <v>80</v>
      </c>
      <c r="BS49">
        <v>24</v>
      </c>
      <c r="BT49" t="s">
        <v>84</v>
      </c>
      <c r="BV49" t="s">
        <v>107</v>
      </c>
      <c r="BW49" t="s">
        <v>652</v>
      </c>
    </row>
    <row r="50" spans="1:75" x14ac:dyDescent="0.75">
      <c r="A50" s="1"/>
      <c r="B50" s="1" t="s">
        <v>95</v>
      </c>
      <c r="C50" s="1" t="s">
        <v>75</v>
      </c>
      <c r="D50" t="s">
        <v>76</v>
      </c>
      <c r="E50" t="s">
        <v>76</v>
      </c>
      <c r="F50" s="1">
        <v>100</v>
      </c>
      <c r="G50" s="1"/>
      <c r="H50" s="1" t="s">
        <v>78</v>
      </c>
      <c r="I50" s="1">
        <v>0.8</v>
      </c>
      <c r="J50" s="1">
        <v>0.8</v>
      </c>
      <c r="K50" s="1"/>
      <c r="L50" s="1">
        <v>25</v>
      </c>
      <c r="M50" s="1">
        <v>22</v>
      </c>
      <c r="N50" s="1"/>
      <c r="O50" s="1"/>
      <c r="P50" s="1"/>
      <c r="Q50" s="1">
        <v>0</v>
      </c>
      <c r="R50" s="1" t="s">
        <v>79</v>
      </c>
      <c r="S50" s="3">
        <v>1.3097E-4</v>
      </c>
      <c r="T50" s="1"/>
      <c r="U50" s="3">
        <v>4.7256000000000002E-4</v>
      </c>
      <c r="V50" s="1"/>
      <c r="W50" s="1"/>
      <c r="X50" s="1"/>
      <c r="Y50" s="1"/>
      <c r="Z50" s="1"/>
      <c r="AA50" s="3">
        <v>1.2572E-3</v>
      </c>
      <c r="AB50" s="1"/>
      <c r="AC50" s="1"/>
      <c r="AD50" s="1"/>
      <c r="AE50" s="3">
        <v>1.7462000000000001E-3</v>
      </c>
      <c r="AF50" s="1"/>
      <c r="AG50" s="1"/>
      <c r="AH50" s="1"/>
      <c r="AI50" s="1"/>
      <c r="AJ50" s="1"/>
      <c r="AK50" s="1"/>
      <c r="AL50" s="1"/>
      <c r="AM50" s="1"/>
      <c r="AN50" s="1"/>
      <c r="AO50" s="1"/>
      <c r="AP50" s="1"/>
      <c r="AQ50" s="1"/>
      <c r="AR50" s="1">
        <v>1.89E-2</v>
      </c>
      <c r="AS50" s="1">
        <v>20</v>
      </c>
      <c r="AT50" s="1"/>
      <c r="AU50" s="1"/>
      <c r="AV50" s="1">
        <v>1.2</v>
      </c>
      <c r="AW50" s="1">
        <v>487</v>
      </c>
      <c r="AX50" s="1">
        <v>-77.5</v>
      </c>
      <c r="AY50" t="s">
        <v>105</v>
      </c>
      <c r="AZ50" s="1">
        <v>8.7999999999999995E-2</v>
      </c>
      <c r="BA50" s="1">
        <v>95</v>
      </c>
      <c r="BB50" s="1">
        <v>-25</v>
      </c>
      <c r="BC50" s="1"/>
      <c r="BD50" s="1"/>
      <c r="BE50" s="1"/>
      <c r="BF50" s="1"/>
      <c r="BG50" s="1">
        <v>0.43</v>
      </c>
      <c r="BH50" s="1">
        <v>8404</v>
      </c>
      <c r="BI50" t="s">
        <v>81</v>
      </c>
      <c r="BJ50" s="1"/>
      <c r="BK50" s="1"/>
      <c r="BL50" s="1"/>
      <c r="BM50" s="1"/>
      <c r="BN50" s="1"/>
      <c r="BO50" s="1">
        <v>50</v>
      </c>
      <c r="BP50" s="1" t="s">
        <v>82</v>
      </c>
      <c r="BQ50" s="1" t="s">
        <v>106</v>
      </c>
      <c r="BR50" s="1">
        <v>80</v>
      </c>
      <c r="BS50" s="1">
        <v>24</v>
      </c>
      <c r="BT50" s="1" t="s">
        <v>84</v>
      </c>
      <c r="BU50" s="1"/>
      <c r="BV50" t="s">
        <v>107</v>
      </c>
      <c r="BW50" t="s">
        <v>652</v>
      </c>
    </row>
    <row r="51" spans="1:75" x14ac:dyDescent="0.75">
      <c r="B51" t="s">
        <v>108</v>
      </c>
      <c r="C51" t="s">
        <v>109</v>
      </c>
      <c r="D51" t="s">
        <v>110</v>
      </c>
      <c r="E51" s="1" t="s">
        <v>111</v>
      </c>
      <c r="F51">
        <v>67</v>
      </c>
      <c r="G51">
        <v>1</v>
      </c>
      <c r="H51" t="s">
        <v>78</v>
      </c>
      <c r="I51">
        <v>1.2</v>
      </c>
      <c r="J51">
        <v>1.2</v>
      </c>
      <c r="L51">
        <v>-22</v>
      </c>
      <c r="M51">
        <v>43</v>
      </c>
      <c r="Q51">
        <v>0</v>
      </c>
      <c r="R51" t="s">
        <v>79</v>
      </c>
      <c r="U51">
        <v>2.228948324505056E-7</v>
      </c>
      <c r="Y51">
        <v>1.4099379493587235E-6</v>
      </c>
      <c r="AA51">
        <v>3.4785640153042378E-6</v>
      </c>
      <c r="AC51">
        <v>1.0127447488145293E-5</v>
      </c>
      <c r="AE51">
        <v>2.286125142543461E-5</v>
      </c>
      <c r="AG51">
        <v>4.4299619910036292E-5</v>
      </c>
      <c r="AO51">
        <v>0.67</v>
      </c>
      <c r="AP51">
        <v>65</v>
      </c>
      <c r="AQ51" t="s">
        <v>112</v>
      </c>
      <c r="AV51">
        <v>0.745</v>
      </c>
      <c r="AW51">
        <v>785</v>
      </c>
      <c r="AX51">
        <v>-45</v>
      </c>
      <c r="AY51" t="s">
        <v>80</v>
      </c>
      <c r="AZ51">
        <v>14.3</v>
      </c>
      <c r="BA51">
        <v>1378</v>
      </c>
      <c r="BB51">
        <v>-72</v>
      </c>
      <c r="BG51">
        <v>0.89</v>
      </c>
      <c r="BH51" s="5">
        <v>770000000</v>
      </c>
      <c r="BI51" t="s">
        <v>81</v>
      </c>
      <c r="BM51">
        <v>1.7</v>
      </c>
      <c r="BN51">
        <v>65</v>
      </c>
      <c r="BO51">
        <f>BM51*BN51</f>
        <v>110.5</v>
      </c>
      <c r="BP51" t="s">
        <v>82</v>
      </c>
      <c r="BQ51" t="s">
        <v>83</v>
      </c>
      <c r="BR51">
        <v>27</v>
      </c>
      <c r="BS51">
        <v>140</v>
      </c>
      <c r="BT51" t="s">
        <v>84</v>
      </c>
      <c r="BU51" t="s">
        <v>113</v>
      </c>
      <c r="BV51" t="s">
        <v>114</v>
      </c>
      <c r="BW51" t="s">
        <v>653</v>
      </c>
    </row>
    <row r="52" spans="1:75" x14ac:dyDescent="0.75">
      <c r="B52" t="s">
        <v>115</v>
      </c>
      <c r="C52" t="s">
        <v>116</v>
      </c>
      <c r="D52" t="s">
        <v>117</v>
      </c>
      <c r="E52" t="s">
        <v>117</v>
      </c>
      <c r="F52">
        <v>100</v>
      </c>
      <c r="G52">
        <v>1</v>
      </c>
      <c r="H52" t="s">
        <v>78</v>
      </c>
      <c r="I52">
        <v>1.2</v>
      </c>
      <c r="J52">
        <v>1.2</v>
      </c>
      <c r="L52">
        <v>-40</v>
      </c>
      <c r="M52">
        <v>105</v>
      </c>
      <c r="Q52">
        <v>0</v>
      </c>
      <c r="R52" t="s">
        <v>79</v>
      </c>
      <c r="U52">
        <v>1.0256519262514069E-6</v>
      </c>
      <c r="Y52">
        <v>2.7321214438784791E-6</v>
      </c>
      <c r="AA52">
        <v>8.2622817374359795E-6</v>
      </c>
      <c r="AC52">
        <v>1.7282238729497621E-5</v>
      </c>
      <c r="AE52">
        <v>3.2232945954551451E-5</v>
      </c>
      <c r="AV52">
        <v>6.1</v>
      </c>
      <c r="AW52">
        <v>1320</v>
      </c>
      <c r="AX52">
        <v>-83</v>
      </c>
      <c r="AY52" t="s">
        <v>80</v>
      </c>
      <c r="AZ52">
        <v>11.4</v>
      </c>
      <c r="BA52">
        <v>1475</v>
      </c>
      <c r="BB52">
        <v>-90</v>
      </c>
      <c r="BG52">
        <v>0.74</v>
      </c>
      <c r="BH52" s="5">
        <v>5300000</v>
      </c>
      <c r="BI52" t="s">
        <v>81</v>
      </c>
      <c r="BP52" t="s">
        <v>82</v>
      </c>
      <c r="BQ52" t="s">
        <v>83</v>
      </c>
      <c r="BR52">
        <v>27</v>
      </c>
      <c r="BS52">
        <v>140</v>
      </c>
      <c r="BT52" t="s">
        <v>84</v>
      </c>
      <c r="BU52" t="s">
        <v>118</v>
      </c>
      <c r="BV52" t="s">
        <v>114</v>
      </c>
      <c r="BW52" t="s">
        <v>653</v>
      </c>
    </row>
    <row r="53" spans="1:75" x14ac:dyDescent="0.75">
      <c r="A53" s="1"/>
      <c r="B53" s="1" t="s">
        <v>115</v>
      </c>
      <c r="C53" s="1" t="s">
        <v>119</v>
      </c>
      <c r="D53" s="1" t="s">
        <v>111</v>
      </c>
      <c r="E53" s="1" t="s">
        <v>111</v>
      </c>
      <c r="F53" s="1">
        <v>100</v>
      </c>
      <c r="G53" s="1">
        <v>1</v>
      </c>
      <c r="H53" s="1" t="s">
        <v>78</v>
      </c>
      <c r="I53" s="1">
        <v>1.2</v>
      </c>
      <c r="J53" s="1">
        <v>1.2</v>
      </c>
      <c r="K53" s="1"/>
      <c r="L53" s="1">
        <v>-73</v>
      </c>
      <c r="M53" s="1">
        <v>-55</v>
      </c>
      <c r="N53" s="1"/>
      <c r="O53" s="1"/>
      <c r="P53" s="1"/>
      <c r="Q53" s="1">
        <v>0</v>
      </c>
      <c r="R53" s="1" t="s">
        <v>79</v>
      </c>
      <c r="S53" s="1"/>
      <c r="T53" s="1"/>
      <c r="U53" s="1">
        <v>5.8613816451402739E-7</v>
      </c>
      <c r="V53" s="1"/>
      <c r="W53" s="1"/>
      <c r="X53" s="1"/>
      <c r="Y53" s="1">
        <v>1.7282238729497632E-6</v>
      </c>
      <c r="Z53" s="1"/>
      <c r="AA53" s="1">
        <v>4.7206304126359074E-6</v>
      </c>
      <c r="AB53" s="1"/>
      <c r="AC53" s="1">
        <v>1.164930456990451E-5</v>
      </c>
      <c r="AD53" s="1"/>
      <c r="AE53" s="1">
        <v>2.5310457771974339E-5</v>
      </c>
      <c r="AF53" s="1"/>
      <c r="AG53" s="1">
        <v>5.4300021306573678E-5</v>
      </c>
      <c r="AH53" s="1"/>
      <c r="AI53" s="1"/>
      <c r="AJ53" s="1"/>
      <c r="AK53" s="1"/>
      <c r="AL53" s="1"/>
      <c r="AM53" s="1"/>
      <c r="AN53" s="1"/>
      <c r="AO53" s="1"/>
      <c r="AP53" s="1"/>
      <c r="AQ53" s="1"/>
      <c r="AR53" s="1"/>
      <c r="AS53" s="1"/>
      <c r="AT53" s="1"/>
      <c r="AU53" s="1"/>
      <c r="AV53" s="1">
        <v>16215</v>
      </c>
      <c r="AW53" s="1">
        <v>3822</v>
      </c>
      <c r="AX53" s="1">
        <v>-160</v>
      </c>
      <c r="AY53" s="1" t="s">
        <v>80</v>
      </c>
      <c r="AZ53" s="1">
        <v>509</v>
      </c>
      <c r="BA53" s="1">
        <v>2543</v>
      </c>
      <c r="BB53" s="1">
        <v>-123</v>
      </c>
      <c r="BC53" s="1"/>
      <c r="BD53" s="1"/>
      <c r="BE53" s="1"/>
      <c r="BF53" s="1"/>
      <c r="BG53" s="1">
        <v>0.78</v>
      </c>
      <c r="BH53" s="3">
        <v>19000000</v>
      </c>
      <c r="BI53" t="s">
        <v>81</v>
      </c>
      <c r="BJ53" s="1"/>
      <c r="BK53" s="1"/>
      <c r="BL53" s="1"/>
      <c r="BM53" s="1"/>
      <c r="BN53" s="1"/>
      <c r="BO53" s="1"/>
      <c r="BP53" s="1" t="s">
        <v>82</v>
      </c>
      <c r="BQ53" s="1" t="s">
        <v>83</v>
      </c>
      <c r="BR53" s="1">
        <v>27</v>
      </c>
      <c r="BS53" s="1">
        <v>140</v>
      </c>
      <c r="BT53" s="1" t="s">
        <v>84</v>
      </c>
      <c r="BU53" s="1" t="s">
        <v>120</v>
      </c>
      <c r="BV53" t="s">
        <v>114</v>
      </c>
      <c r="BW53" t="s">
        <v>653</v>
      </c>
    </row>
    <row r="54" spans="1:75" x14ac:dyDescent="0.75">
      <c r="A54" s="8"/>
      <c r="B54" s="8" t="s">
        <v>95</v>
      </c>
      <c r="C54" s="8" t="s">
        <v>121</v>
      </c>
      <c r="D54" s="8" t="s">
        <v>122</v>
      </c>
      <c r="E54" s="8" t="s">
        <v>122</v>
      </c>
      <c r="F54" s="8">
        <v>100</v>
      </c>
      <c r="G54" s="8"/>
      <c r="H54" s="8" t="s">
        <v>91</v>
      </c>
      <c r="I54" s="8">
        <f>1/20</f>
        <v>0.05</v>
      </c>
      <c r="J54" s="9">
        <f>1/20</f>
        <v>0.05</v>
      </c>
      <c r="K54" s="8"/>
      <c r="L54" s="8"/>
      <c r="M54" s="8"/>
      <c r="N54" s="8"/>
      <c r="O54" s="8"/>
      <c r="P54" s="8"/>
      <c r="Q54" s="8"/>
      <c r="R54" s="1" t="s">
        <v>622</v>
      </c>
      <c r="S54" s="8"/>
      <c r="T54" s="8"/>
      <c r="U54" s="8"/>
      <c r="V54" s="8"/>
      <c r="W54" s="8"/>
      <c r="X54" s="8"/>
      <c r="Y54" s="8"/>
      <c r="Z54" s="8"/>
      <c r="AA54" s="8"/>
      <c r="AB54" s="8"/>
      <c r="AC54" s="8">
        <v>1.4099379493587219E-7</v>
      </c>
      <c r="AD54" s="8"/>
      <c r="AE54" s="8">
        <v>4.1524078175699862E-7</v>
      </c>
      <c r="AF54" s="8"/>
      <c r="AG54" s="8">
        <v>7.2077547336952714E-7</v>
      </c>
      <c r="AH54" s="8">
        <v>1.0767131074439708E-6</v>
      </c>
      <c r="AI54" s="8">
        <v>1.1577105741152695E-6</v>
      </c>
      <c r="AJ54" s="8"/>
      <c r="AK54" s="8">
        <v>1.0949644014667398E-6</v>
      </c>
      <c r="AL54" s="8">
        <v>7.6453962641504329E-7</v>
      </c>
      <c r="AM54" s="8"/>
      <c r="AN54" s="8"/>
      <c r="AO54" s="8"/>
      <c r="AP54" s="8"/>
      <c r="AQ54" s="8"/>
      <c r="AR54" s="8"/>
      <c r="AS54" s="8"/>
      <c r="AT54" s="8"/>
      <c r="AU54" s="8"/>
      <c r="AV54" s="8">
        <v>8.9999999999999993E-3</v>
      </c>
      <c r="AW54" s="8">
        <v>686</v>
      </c>
      <c r="AX54" s="8">
        <v>-35</v>
      </c>
      <c r="AY54" s="8" t="s">
        <v>123</v>
      </c>
      <c r="AZ54" s="8"/>
      <c r="BA54" s="8"/>
      <c r="BB54" s="8"/>
      <c r="BC54" s="8"/>
      <c r="BD54" s="8"/>
      <c r="BE54" s="8"/>
      <c r="BF54" s="8"/>
      <c r="BG54" s="8">
        <v>0.7</v>
      </c>
      <c r="BH54" s="10">
        <v>14000</v>
      </c>
      <c r="BI54" s="8" t="s">
        <v>124</v>
      </c>
      <c r="BJ54" s="8"/>
      <c r="BK54" s="8"/>
      <c r="BL54" s="8"/>
      <c r="BM54" s="8"/>
      <c r="BN54" s="8"/>
      <c r="BO54" s="8"/>
      <c r="BP54" s="8" t="s">
        <v>82</v>
      </c>
      <c r="BQ54" s="8" t="s">
        <v>125</v>
      </c>
      <c r="BR54" s="8" t="s">
        <v>125</v>
      </c>
      <c r="BS54" s="8" t="s">
        <v>125</v>
      </c>
      <c r="BT54" s="8" t="s">
        <v>125</v>
      </c>
      <c r="BU54" s="8" t="s">
        <v>126</v>
      </c>
      <c r="BV54" s="8" t="s">
        <v>127</v>
      </c>
      <c r="BW54" t="s">
        <v>654</v>
      </c>
    </row>
    <row r="55" spans="1:75" x14ac:dyDescent="0.75">
      <c r="B55" t="s">
        <v>95</v>
      </c>
      <c r="C55" t="s">
        <v>128</v>
      </c>
      <c r="D55" t="s">
        <v>129</v>
      </c>
      <c r="E55" t="s">
        <v>129</v>
      </c>
      <c r="F55">
        <v>100</v>
      </c>
      <c r="G55">
        <v>1</v>
      </c>
      <c r="H55" t="s">
        <v>78</v>
      </c>
      <c r="J55">
        <v>0.1</v>
      </c>
      <c r="L55">
        <v>-20</v>
      </c>
      <c r="M55">
        <v>-15</v>
      </c>
      <c r="Q55">
        <v>0</v>
      </c>
      <c r="R55" t="s">
        <v>79</v>
      </c>
      <c r="W55" s="5">
        <v>1.3399999999999999E-8</v>
      </c>
      <c r="Y55" s="5">
        <v>2.9000000000000002E-8</v>
      </c>
      <c r="AA55" s="5">
        <v>1.2599999999999999E-7</v>
      </c>
      <c r="AC55" s="5">
        <v>4.1300000000000001E-7</v>
      </c>
      <c r="AE55" s="5">
        <v>1.13E-6</v>
      </c>
      <c r="AG55" s="5">
        <v>2.7800000000000001E-6</v>
      </c>
      <c r="AI55" s="5">
        <v>6.02E-6</v>
      </c>
      <c r="AV55">
        <v>13.9</v>
      </c>
      <c r="AW55">
        <v>1862</v>
      </c>
      <c r="AX55">
        <v>-79</v>
      </c>
      <c r="AY55" t="s">
        <v>80</v>
      </c>
      <c r="AZ55">
        <v>4.9000000000000004</v>
      </c>
      <c r="BA55">
        <v>1607</v>
      </c>
      <c r="BB55">
        <v>-70</v>
      </c>
      <c r="BG55">
        <v>1.01</v>
      </c>
      <c r="BH55" s="5">
        <v>1950000000</v>
      </c>
      <c r="BI55" t="s">
        <v>81</v>
      </c>
      <c r="BM55">
        <v>1.3</v>
      </c>
      <c r="BN55">
        <v>17.3</v>
      </c>
      <c r="BO55">
        <f>BN55*BM55</f>
        <v>22.490000000000002</v>
      </c>
      <c r="BP55" t="s">
        <v>82</v>
      </c>
      <c r="BQ55" t="s">
        <v>130</v>
      </c>
      <c r="BR55" s="11">
        <v>27</v>
      </c>
      <c r="BS55" s="11">
        <v>48</v>
      </c>
      <c r="BT55" s="11" t="s">
        <v>84</v>
      </c>
      <c r="BV55" t="s">
        <v>131</v>
      </c>
      <c r="BW55" t="s">
        <v>655</v>
      </c>
    </row>
    <row r="56" spans="1:75" x14ac:dyDescent="0.75">
      <c r="B56" t="s">
        <v>95</v>
      </c>
      <c r="C56" t="s">
        <v>128</v>
      </c>
      <c r="D56" t="s">
        <v>129</v>
      </c>
      <c r="E56" t="s">
        <v>129</v>
      </c>
      <c r="F56">
        <v>100</v>
      </c>
      <c r="G56">
        <v>1</v>
      </c>
      <c r="H56" t="s">
        <v>78</v>
      </c>
      <c r="J56">
        <v>0.25</v>
      </c>
      <c r="L56">
        <v>-20</v>
      </c>
      <c r="M56">
        <v>-15</v>
      </c>
      <c r="Q56">
        <v>0</v>
      </c>
      <c r="R56" t="s">
        <v>79</v>
      </c>
      <c r="W56" s="5">
        <v>5.1200000000000002E-8</v>
      </c>
      <c r="Y56" s="5">
        <v>1.11E-7</v>
      </c>
      <c r="AA56" s="5">
        <v>4.7E-7</v>
      </c>
      <c r="AC56" s="5">
        <v>1.5799999999999999E-6</v>
      </c>
      <c r="AE56" s="5">
        <v>4.1999999999999996E-6</v>
      </c>
      <c r="AG56" s="5">
        <v>1.03E-5</v>
      </c>
      <c r="AI56" s="5">
        <v>2.0800000000000001E-5</v>
      </c>
      <c r="AV56">
        <v>19.3</v>
      </c>
      <c r="AW56">
        <v>1637</v>
      </c>
      <c r="AX56">
        <v>-72</v>
      </c>
      <c r="AY56" t="s">
        <v>80</v>
      </c>
      <c r="AZ56">
        <v>15.7</v>
      </c>
      <c r="BA56">
        <v>1588</v>
      </c>
      <c r="BB56">
        <v>-70</v>
      </c>
      <c r="BG56">
        <v>0.998</v>
      </c>
      <c r="BH56" s="5">
        <v>4600000000</v>
      </c>
      <c r="BI56" t="s">
        <v>81</v>
      </c>
      <c r="BM56">
        <v>1.3</v>
      </c>
      <c r="BN56">
        <v>17.3</v>
      </c>
      <c r="BO56">
        <f t="shared" ref="BO56:BO66" si="1">BN56*BM56</f>
        <v>22.490000000000002</v>
      </c>
      <c r="BP56" t="s">
        <v>82</v>
      </c>
      <c r="BQ56" t="s">
        <v>130</v>
      </c>
      <c r="BR56">
        <v>27</v>
      </c>
      <c r="BS56">
        <v>48</v>
      </c>
      <c r="BT56" t="s">
        <v>84</v>
      </c>
      <c r="BV56" t="s">
        <v>131</v>
      </c>
      <c r="BW56" t="s">
        <v>655</v>
      </c>
    </row>
    <row r="57" spans="1:75" x14ac:dyDescent="0.75">
      <c r="B57" t="s">
        <v>95</v>
      </c>
      <c r="C57" t="s">
        <v>128</v>
      </c>
      <c r="D57" t="s">
        <v>129</v>
      </c>
      <c r="E57" t="s">
        <v>129</v>
      </c>
      <c r="F57">
        <v>100</v>
      </c>
      <c r="G57">
        <v>1</v>
      </c>
      <c r="H57" t="s">
        <v>78</v>
      </c>
      <c r="J57">
        <v>0.5</v>
      </c>
      <c r="L57">
        <v>-20</v>
      </c>
      <c r="M57">
        <v>-15</v>
      </c>
      <c r="Q57">
        <v>0</v>
      </c>
      <c r="R57" t="s">
        <v>79</v>
      </c>
      <c r="W57" s="5">
        <v>3.3299999999999999E-6</v>
      </c>
      <c r="Y57" s="5">
        <v>5.3000000000000001E-6</v>
      </c>
      <c r="AA57" s="5">
        <v>1.31E-5</v>
      </c>
      <c r="AC57" s="5">
        <v>2.83E-5</v>
      </c>
      <c r="AE57" s="5">
        <v>5.6700000000000003E-5</v>
      </c>
      <c r="AG57" s="5">
        <v>1.03E-4</v>
      </c>
      <c r="AI57" s="5">
        <v>1.7200000000000001E-4</v>
      </c>
      <c r="AV57">
        <v>48</v>
      </c>
      <c r="AW57">
        <v>1779</v>
      </c>
      <c r="AX57">
        <v>-105</v>
      </c>
      <c r="AY57" t="s">
        <v>80</v>
      </c>
      <c r="AZ57">
        <v>3.4</v>
      </c>
      <c r="BA57">
        <v>1049</v>
      </c>
      <c r="BB57">
        <v>-70</v>
      </c>
      <c r="BG57">
        <v>0.66</v>
      </c>
      <c r="BH57" s="5">
        <v>440000</v>
      </c>
      <c r="BI57" t="s">
        <v>81</v>
      </c>
      <c r="BM57">
        <v>1.3</v>
      </c>
      <c r="BN57">
        <v>17.3</v>
      </c>
      <c r="BO57">
        <f t="shared" si="1"/>
        <v>22.490000000000002</v>
      </c>
      <c r="BP57" t="s">
        <v>82</v>
      </c>
      <c r="BQ57" t="s">
        <v>130</v>
      </c>
      <c r="BR57">
        <v>27</v>
      </c>
      <c r="BS57">
        <v>48</v>
      </c>
      <c r="BT57" t="s">
        <v>84</v>
      </c>
      <c r="BV57" t="s">
        <v>131</v>
      </c>
      <c r="BW57" t="s">
        <v>655</v>
      </c>
    </row>
    <row r="58" spans="1:75" x14ac:dyDescent="0.75">
      <c r="B58" t="s">
        <v>95</v>
      </c>
      <c r="C58" t="s">
        <v>128</v>
      </c>
      <c r="D58" t="s">
        <v>129</v>
      </c>
      <c r="E58" t="s">
        <v>129</v>
      </c>
      <c r="F58">
        <v>100</v>
      </c>
      <c r="G58">
        <v>1</v>
      </c>
      <c r="H58" t="s">
        <v>78</v>
      </c>
      <c r="J58">
        <v>1</v>
      </c>
      <c r="L58">
        <v>-20</v>
      </c>
      <c r="M58">
        <v>-15</v>
      </c>
      <c r="N58">
        <v>5</v>
      </c>
      <c r="O58">
        <v>0</v>
      </c>
      <c r="P58">
        <v>10</v>
      </c>
      <c r="R58" t="s">
        <v>84</v>
      </c>
      <c r="W58" s="5">
        <v>7.0299999999999996E-6</v>
      </c>
      <c r="Y58" s="5">
        <v>1.1199999999999999E-5</v>
      </c>
      <c r="AA58" s="5">
        <v>2.4899999999999999E-5</v>
      </c>
      <c r="AC58" s="5">
        <v>5.1199999999999998E-5</v>
      </c>
      <c r="AE58" s="5">
        <v>9.2600000000000001E-5</v>
      </c>
      <c r="AG58" s="5">
        <v>1.5899999999999999E-4</v>
      </c>
      <c r="AI58" s="5">
        <v>2.5999999999999998E-4</v>
      </c>
      <c r="AV58">
        <v>22</v>
      </c>
      <c r="AW58">
        <v>1515</v>
      </c>
      <c r="AX58">
        <v>-100</v>
      </c>
      <c r="AY58" t="s">
        <v>80</v>
      </c>
      <c r="AZ58">
        <v>2.7</v>
      </c>
      <c r="BA58">
        <v>954</v>
      </c>
      <c r="BB58">
        <v>-70</v>
      </c>
      <c r="BG58">
        <v>0.6</v>
      </c>
      <c r="BH58" s="5">
        <v>87000</v>
      </c>
      <c r="BI58" t="s">
        <v>81</v>
      </c>
      <c r="BM58">
        <v>1.3</v>
      </c>
      <c r="BN58">
        <v>17.3</v>
      </c>
      <c r="BO58">
        <f t="shared" si="1"/>
        <v>22.490000000000002</v>
      </c>
      <c r="BP58" t="s">
        <v>82</v>
      </c>
      <c r="BQ58" t="s">
        <v>130</v>
      </c>
      <c r="BR58">
        <v>27</v>
      </c>
      <c r="BS58">
        <v>48</v>
      </c>
      <c r="BT58" t="s">
        <v>84</v>
      </c>
      <c r="BV58" t="s">
        <v>131</v>
      </c>
      <c r="BW58" t="s">
        <v>655</v>
      </c>
    </row>
    <row r="59" spans="1:75" x14ac:dyDescent="0.75">
      <c r="B59" t="s">
        <v>95</v>
      </c>
      <c r="C59" t="s">
        <v>128</v>
      </c>
      <c r="D59" t="s">
        <v>129</v>
      </c>
      <c r="E59" t="s">
        <v>129</v>
      </c>
      <c r="F59">
        <v>100</v>
      </c>
      <c r="G59">
        <v>1</v>
      </c>
      <c r="H59" t="s">
        <v>78</v>
      </c>
      <c r="J59">
        <v>2</v>
      </c>
      <c r="L59">
        <v>-20</v>
      </c>
      <c r="M59">
        <v>-15</v>
      </c>
      <c r="N59">
        <v>40</v>
      </c>
      <c r="O59">
        <v>20</v>
      </c>
      <c r="P59">
        <v>45</v>
      </c>
      <c r="R59" t="s">
        <v>84</v>
      </c>
      <c r="W59" s="5">
        <v>2.3E-5</v>
      </c>
      <c r="Y59" s="5">
        <v>3.4799999999999999E-5</v>
      </c>
      <c r="AA59" s="5">
        <v>6.97E-5</v>
      </c>
      <c r="AC59" s="5">
        <v>1.26E-4</v>
      </c>
      <c r="AE59" s="5">
        <v>2.1100000000000001E-4</v>
      </c>
      <c r="AG59" s="5">
        <v>3.4499999999999998E-4</v>
      </c>
      <c r="AI59" s="5">
        <v>5.1999999999999995E-4</v>
      </c>
      <c r="AV59">
        <v>16.600000000000001</v>
      </c>
      <c r="AW59">
        <v>1364</v>
      </c>
      <c r="AX59">
        <v>-103</v>
      </c>
      <c r="AY59" t="s">
        <v>80</v>
      </c>
      <c r="AZ59">
        <v>2.2999999999999998</v>
      </c>
      <c r="BA59">
        <v>825</v>
      </c>
      <c r="BB59">
        <v>-70</v>
      </c>
      <c r="BG59">
        <v>0.51</v>
      </c>
      <c r="BH59" s="5">
        <v>12000</v>
      </c>
      <c r="BI59" t="s">
        <v>81</v>
      </c>
      <c r="BM59">
        <v>1.3</v>
      </c>
      <c r="BN59">
        <v>17.3</v>
      </c>
      <c r="BO59">
        <f t="shared" si="1"/>
        <v>22.490000000000002</v>
      </c>
      <c r="BP59" t="s">
        <v>82</v>
      </c>
      <c r="BQ59" t="s">
        <v>130</v>
      </c>
      <c r="BR59">
        <v>27</v>
      </c>
      <c r="BS59">
        <v>48</v>
      </c>
      <c r="BT59" t="s">
        <v>84</v>
      </c>
      <c r="BV59" t="s">
        <v>131</v>
      </c>
      <c r="BW59" t="s">
        <v>655</v>
      </c>
    </row>
    <row r="60" spans="1:75" x14ac:dyDescent="0.75">
      <c r="B60" t="s">
        <v>95</v>
      </c>
      <c r="C60" t="s">
        <v>128</v>
      </c>
      <c r="D60" t="s">
        <v>129</v>
      </c>
      <c r="E60" t="s">
        <v>129</v>
      </c>
      <c r="F60">
        <v>100</v>
      </c>
      <c r="G60">
        <v>1</v>
      </c>
      <c r="H60" t="s">
        <v>78</v>
      </c>
      <c r="J60">
        <v>4</v>
      </c>
      <c r="M60">
        <v>-15</v>
      </c>
      <c r="R60" t="s">
        <v>622</v>
      </c>
      <c r="W60" s="5">
        <v>4.74E-5</v>
      </c>
      <c r="Y60" s="5">
        <v>6.1299999999999999E-5</v>
      </c>
      <c r="AA60" s="5">
        <v>9.0199999999999997E-5</v>
      </c>
      <c r="AC60" s="5">
        <v>1.47E-4</v>
      </c>
      <c r="AE60" s="5">
        <v>2.0599999999999999E-4</v>
      </c>
      <c r="AG60" s="5">
        <v>3.2699999999999998E-4</v>
      </c>
      <c r="AI60" s="5">
        <v>4.0200000000000001E-4</v>
      </c>
      <c r="AV60">
        <v>81</v>
      </c>
      <c r="AW60">
        <v>2571</v>
      </c>
      <c r="AX60">
        <v>-199</v>
      </c>
      <c r="AY60" t="s">
        <v>80</v>
      </c>
      <c r="BG60">
        <v>0.36</v>
      </c>
      <c r="BH60">
        <v>61</v>
      </c>
      <c r="BI60" t="s">
        <v>81</v>
      </c>
      <c r="BM60">
        <v>1.3</v>
      </c>
      <c r="BN60">
        <v>17.3</v>
      </c>
      <c r="BO60">
        <f t="shared" si="1"/>
        <v>22.490000000000002</v>
      </c>
      <c r="BP60" t="s">
        <v>82</v>
      </c>
      <c r="BQ60" t="s">
        <v>130</v>
      </c>
      <c r="BR60">
        <v>27</v>
      </c>
      <c r="BS60">
        <v>48</v>
      </c>
      <c r="BT60" t="s">
        <v>84</v>
      </c>
      <c r="BV60" t="s">
        <v>131</v>
      </c>
      <c r="BW60" t="s">
        <v>655</v>
      </c>
    </row>
    <row r="61" spans="1:75" x14ac:dyDescent="0.75">
      <c r="B61" t="s">
        <v>95</v>
      </c>
      <c r="C61" t="s">
        <v>128</v>
      </c>
      <c r="D61" t="s">
        <v>129</v>
      </c>
      <c r="E61" t="s">
        <v>129</v>
      </c>
      <c r="F61">
        <v>100</v>
      </c>
      <c r="G61">
        <v>1</v>
      </c>
      <c r="H61" t="s">
        <v>91</v>
      </c>
      <c r="J61">
        <v>0.1</v>
      </c>
      <c r="L61">
        <v>-15</v>
      </c>
      <c r="M61">
        <v>-15</v>
      </c>
      <c r="Q61">
        <v>0</v>
      </c>
      <c r="R61" t="s">
        <v>79</v>
      </c>
      <c r="W61" s="5">
        <v>8.7299999999999994E-9</v>
      </c>
      <c r="Y61" s="5">
        <v>1.9099999999999999E-8</v>
      </c>
      <c r="AA61" s="5">
        <v>8.1100000000000005E-8</v>
      </c>
      <c r="AC61" s="5">
        <v>2.67E-7</v>
      </c>
      <c r="AE61" s="5">
        <v>7.3099999999999997E-7</v>
      </c>
      <c r="AG61" s="5">
        <v>1.5999999999999999E-6</v>
      </c>
      <c r="AI61" s="5">
        <v>3.4000000000000001E-6</v>
      </c>
      <c r="AV61">
        <v>1.4</v>
      </c>
      <c r="AW61">
        <v>1458</v>
      </c>
      <c r="AX61">
        <v>-66</v>
      </c>
      <c r="AY61" t="s">
        <v>80</v>
      </c>
      <c r="AZ61">
        <v>1.3</v>
      </c>
      <c r="BA61">
        <v>1439</v>
      </c>
      <c r="BB61">
        <v>-65</v>
      </c>
      <c r="BG61">
        <v>0.99</v>
      </c>
      <c r="BH61" s="5">
        <v>520000000</v>
      </c>
      <c r="BI61" t="s">
        <v>81</v>
      </c>
      <c r="BM61">
        <v>1.3</v>
      </c>
      <c r="BN61">
        <v>17.3</v>
      </c>
      <c r="BO61">
        <f t="shared" si="1"/>
        <v>22.490000000000002</v>
      </c>
      <c r="BP61" t="s">
        <v>82</v>
      </c>
      <c r="BQ61" t="s">
        <v>130</v>
      </c>
      <c r="BR61">
        <v>27</v>
      </c>
      <c r="BS61">
        <v>48</v>
      </c>
      <c r="BT61" t="s">
        <v>84</v>
      </c>
      <c r="BV61" t="s">
        <v>131</v>
      </c>
      <c r="BW61" t="s">
        <v>655</v>
      </c>
    </row>
    <row r="62" spans="1:75" x14ac:dyDescent="0.75">
      <c r="B62" t="s">
        <v>95</v>
      </c>
      <c r="C62" t="s">
        <v>128</v>
      </c>
      <c r="D62" t="s">
        <v>129</v>
      </c>
      <c r="E62" t="s">
        <v>129</v>
      </c>
      <c r="F62">
        <v>100</v>
      </c>
      <c r="G62">
        <v>1</v>
      </c>
      <c r="H62" t="s">
        <v>91</v>
      </c>
      <c r="J62">
        <v>0.3</v>
      </c>
      <c r="L62">
        <v>-15</v>
      </c>
      <c r="M62">
        <v>-15</v>
      </c>
      <c r="N62">
        <v>45</v>
      </c>
      <c r="O62">
        <v>30</v>
      </c>
      <c r="P62">
        <v>50</v>
      </c>
      <c r="R62" t="s">
        <v>84</v>
      </c>
      <c r="W62" s="5">
        <v>4.8099999999999997E-9</v>
      </c>
      <c r="Y62" s="5">
        <v>1.27E-8</v>
      </c>
      <c r="AA62" s="5">
        <v>6.5099999999999994E-8</v>
      </c>
      <c r="AC62" s="5">
        <v>2.5100000000000001E-7</v>
      </c>
      <c r="AE62" s="5">
        <v>7.3099999999999997E-7</v>
      </c>
      <c r="AG62" s="5">
        <v>1.9300000000000002E-6</v>
      </c>
      <c r="AI62" s="5">
        <v>4.3699999999999997E-6</v>
      </c>
      <c r="AV62">
        <v>3.8</v>
      </c>
      <c r="AW62">
        <v>1518</v>
      </c>
      <c r="AX62">
        <v>-61</v>
      </c>
      <c r="AY62" t="s">
        <v>80</v>
      </c>
      <c r="AZ62">
        <v>6.4</v>
      </c>
      <c r="BA62">
        <v>1633</v>
      </c>
      <c r="BB62">
        <v>-65</v>
      </c>
      <c r="BG62">
        <v>1.1000000000000001</v>
      </c>
      <c r="BH62" s="5">
        <v>58000000000</v>
      </c>
      <c r="BI62" t="s">
        <v>81</v>
      </c>
      <c r="BM62">
        <v>1.3</v>
      </c>
      <c r="BN62">
        <v>17.3</v>
      </c>
      <c r="BO62">
        <f t="shared" si="1"/>
        <v>22.490000000000002</v>
      </c>
      <c r="BP62" t="s">
        <v>82</v>
      </c>
      <c r="BQ62" t="s">
        <v>130</v>
      </c>
      <c r="BR62">
        <v>27</v>
      </c>
      <c r="BS62">
        <v>48</v>
      </c>
      <c r="BT62" t="s">
        <v>84</v>
      </c>
      <c r="BV62" t="s">
        <v>131</v>
      </c>
      <c r="BW62" t="s">
        <v>655</v>
      </c>
    </row>
    <row r="63" spans="1:75" x14ac:dyDescent="0.75">
      <c r="B63" t="s">
        <v>95</v>
      </c>
      <c r="C63" t="s">
        <v>128</v>
      </c>
      <c r="D63" t="s">
        <v>129</v>
      </c>
      <c r="E63" t="s">
        <v>129</v>
      </c>
      <c r="F63">
        <v>100</v>
      </c>
      <c r="G63">
        <v>1</v>
      </c>
      <c r="H63" t="s">
        <v>91</v>
      </c>
      <c r="J63">
        <v>0.5</v>
      </c>
      <c r="L63">
        <v>-20</v>
      </c>
      <c r="M63">
        <v>-15</v>
      </c>
      <c r="N63">
        <v>55</v>
      </c>
      <c r="O63">
        <v>25</v>
      </c>
      <c r="P63">
        <v>60</v>
      </c>
      <c r="R63" t="s">
        <v>84</v>
      </c>
      <c r="W63" s="5">
        <v>1.4599999999999999E-9</v>
      </c>
      <c r="Y63" s="5">
        <v>3.8600000000000003E-9</v>
      </c>
      <c r="AA63" s="5">
        <v>2.2399999999999999E-8</v>
      </c>
      <c r="AC63" s="5">
        <v>1.01E-7</v>
      </c>
      <c r="AE63" s="5">
        <v>3.5499999999999999E-7</v>
      </c>
      <c r="AG63" s="5">
        <v>1.0300000000000001E-6</v>
      </c>
      <c r="AI63" s="5">
        <v>2.57E-6</v>
      </c>
      <c r="AV63">
        <v>44</v>
      </c>
      <c r="AW63">
        <v>2114</v>
      </c>
      <c r="AX63">
        <v>-74</v>
      </c>
      <c r="AY63" t="s">
        <v>80</v>
      </c>
      <c r="AZ63">
        <v>24</v>
      </c>
      <c r="BA63">
        <v>1967</v>
      </c>
      <c r="BB63">
        <v>-70</v>
      </c>
      <c r="BG63">
        <v>1.2</v>
      </c>
      <c r="BH63" s="5">
        <v>1700000000000</v>
      </c>
      <c r="BI63" t="s">
        <v>81</v>
      </c>
      <c r="BM63">
        <v>1.3</v>
      </c>
      <c r="BN63">
        <v>17.3</v>
      </c>
      <c r="BO63">
        <f t="shared" si="1"/>
        <v>22.490000000000002</v>
      </c>
      <c r="BP63" t="s">
        <v>82</v>
      </c>
      <c r="BQ63" t="s">
        <v>130</v>
      </c>
      <c r="BR63">
        <v>27</v>
      </c>
      <c r="BS63">
        <v>48</v>
      </c>
      <c r="BT63" t="s">
        <v>84</v>
      </c>
      <c r="BV63" t="s">
        <v>131</v>
      </c>
      <c r="BW63" t="s">
        <v>655</v>
      </c>
    </row>
    <row r="64" spans="1:75" x14ac:dyDescent="0.75">
      <c r="B64" t="s">
        <v>95</v>
      </c>
      <c r="C64" t="s">
        <v>128</v>
      </c>
      <c r="D64" t="s">
        <v>129</v>
      </c>
      <c r="E64" t="s">
        <v>129</v>
      </c>
      <c r="F64">
        <v>100</v>
      </c>
      <c r="G64">
        <v>1</v>
      </c>
      <c r="H64" t="s">
        <v>91</v>
      </c>
      <c r="J64">
        <v>0.7</v>
      </c>
      <c r="M64">
        <v>-15</v>
      </c>
      <c r="R64" t="s">
        <v>622</v>
      </c>
      <c r="W64" s="5">
        <v>2.0599999999999999E-9</v>
      </c>
      <c r="Y64" s="5">
        <v>4.9600000000000002E-9</v>
      </c>
      <c r="AA64" s="5">
        <v>2.2399999999999999E-8</v>
      </c>
      <c r="AC64" s="5">
        <v>9.4899999999999996E-8</v>
      </c>
      <c r="AE64" s="5">
        <v>3.1300000000000001E-7</v>
      </c>
      <c r="AG64" s="5">
        <v>8.5499999999999997E-7</v>
      </c>
      <c r="AI64" s="5">
        <v>2.4899999999999999E-6</v>
      </c>
      <c r="AV64">
        <v>6041</v>
      </c>
      <c r="AW64">
        <v>3722</v>
      </c>
      <c r="AX64">
        <v>-119</v>
      </c>
      <c r="AY64" t="s">
        <v>80</v>
      </c>
      <c r="BG64">
        <v>1.17</v>
      </c>
      <c r="BH64" s="5">
        <v>120000000000</v>
      </c>
      <c r="BI64" t="s">
        <v>81</v>
      </c>
      <c r="BM64">
        <v>1.3</v>
      </c>
      <c r="BN64">
        <v>17.3</v>
      </c>
      <c r="BO64">
        <f t="shared" si="1"/>
        <v>22.490000000000002</v>
      </c>
      <c r="BP64" t="s">
        <v>82</v>
      </c>
      <c r="BQ64" t="s">
        <v>130</v>
      </c>
      <c r="BR64">
        <v>27</v>
      </c>
      <c r="BS64">
        <v>48</v>
      </c>
      <c r="BT64" t="s">
        <v>84</v>
      </c>
      <c r="BV64" t="s">
        <v>131</v>
      </c>
      <c r="BW64" t="s">
        <v>655</v>
      </c>
    </row>
    <row r="65" spans="1:75" x14ac:dyDescent="0.75">
      <c r="B65" t="s">
        <v>95</v>
      </c>
      <c r="C65" t="s">
        <v>128</v>
      </c>
      <c r="D65" t="s">
        <v>129</v>
      </c>
      <c r="E65" t="s">
        <v>129</v>
      </c>
      <c r="F65">
        <v>100</v>
      </c>
      <c r="G65">
        <v>1</v>
      </c>
      <c r="H65" t="s">
        <v>91</v>
      </c>
      <c r="J65">
        <v>1</v>
      </c>
      <c r="L65">
        <v>-25</v>
      </c>
      <c r="M65">
        <v>-15</v>
      </c>
      <c r="N65">
        <v>40</v>
      </c>
      <c r="O65">
        <v>30</v>
      </c>
      <c r="P65">
        <v>45</v>
      </c>
      <c r="R65" t="s">
        <v>84</v>
      </c>
      <c r="Y65" s="5">
        <v>2.1500000000000001E-10</v>
      </c>
      <c r="AA65" s="5">
        <v>2.7299999999999999E-9</v>
      </c>
      <c r="AC65" s="5">
        <v>1.9700000000000001E-8</v>
      </c>
      <c r="AE65" s="5">
        <v>1.04E-7</v>
      </c>
      <c r="AG65" s="5">
        <v>4.2800000000000002E-7</v>
      </c>
      <c r="AI65" s="5">
        <v>1.33E-6</v>
      </c>
      <c r="AV65">
        <v>45</v>
      </c>
      <c r="AW65">
        <v>1984</v>
      </c>
      <c r="AX65">
        <v>-52</v>
      </c>
      <c r="AY65" t="s">
        <v>80</v>
      </c>
      <c r="AZ65">
        <v>2986</v>
      </c>
      <c r="BA65">
        <v>2866</v>
      </c>
      <c r="BB65">
        <v>-75</v>
      </c>
      <c r="BG65">
        <v>1.6</v>
      </c>
      <c r="BH65" s="5">
        <v>1.4E+17</v>
      </c>
      <c r="BI65" t="s">
        <v>81</v>
      </c>
      <c r="BM65">
        <v>1.3</v>
      </c>
      <c r="BN65">
        <v>17.3</v>
      </c>
      <c r="BO65">
        <f t="shared" si="1"/>
        <v>22.490000000000002</v>
      </c>
      <c r="BP65" t="s">
        <v>82</v>
      </c>
      <c r="BQ65" t="s">
        <v>130</v>
      </c>
      <c r="BR65">
        <v>27</v>
      </c>
      <c r="BS65">
        <v>48</v>
      </c>
      <c r="BT65" t="s">
        <v>84</v>
      </c>
      <c r="BV65" t="s">
        <v>131</v>
      </c>
      <c r="BW65" t="s">
        <v>655</v>
      </c>
    </row>
    <row r="66" spans="1:75" x14ac:dyDescent="0.75">
      <c r="B66" t="s">
        <v>95</v>
      </c>
      <c r="C66" t="s">
        <v>128</v>
      </c>
      <c r="D66" t="s">
        <v>129</v>
      </c>
      <c r="E66" t="s">
        <v>129</v>
      </c>
      <c r="F66">
        <v>100</v>
      </c>
      <c r="G66">
        <v>1</v>
      </c>
      <c r="H66" t="s">
        <v>91</v>
      </c>
      <c r="J66">
        <v>2</v>
      </c>
      <c r="M66">
        <v>-15</v>
      </c>
      <c r="R66" t="s">
        <v>622</v>
      </c>
      <c r="W66" s="5">
        <v>1.1800000000000001E-10</v>
      </c>
      <c r="Y66" s="5">
        <v>3.7799999999999999E-10</v>
      </c>
      <c r="AA66" s="5">
        <v>2.8200000000000002E-9</v>
      </c>
      <c r="AC66" s="5">
        <v>1.6400000000000001E-8</v>
      </c>
      <c r="AE66" s="5">
        <v>6.9300000000000005E-8</v>
      </c>
      <c r="AG66" s="5">
        <v>2.36E-7</v>
      </c>
      <c r="AI66" s="5">
        <v>7.0800000000000004E-7</v>
      </c>
      <c r="AV66">
        <v>110</v>
      </c>
      <c r="AW66">
        <v>2463</v>
      </c>
      <c r="AX66">
        <v>-75</v>
      </c>
      <c r="AY66" t="s">
        <v>80</v>
      </c>
      <c r="BG66">
        <v>1.4</v>
      </c>
      <c r="BH66" s="5">
        <v>320000000000000</v>
      </c>
      <c r="BI66" t="s">
        <v>81</v>
      </c>
      <c r="BM66">
        <v>1.3</v>
      </c>
      <c r="BN66">
        <v>17.3</v>
      </c>
      <c r="BO66">
        <f t="shared" si="1"/>
        <v>22.490000000000002</v>
      </c>
      <c r="BP66" t="s">
        <v>82</v>
      </c>
      <c r="BQ66" t="s">
        <v>130</v>
      </c>
      <c r="BR66">
        <v>27</v>
      </c>
      <c r="BS66">
        <v>48</v>
      </c>
      <c r="BT66" t="s">
        <v>84</v>
      </c>
      <c r="BV66" t="s">
        <v>131</v>
      </c>
      <c r="BW66" t="s">
        <v>655</v>
      </c>
    </row>
    <row r="67" spans="1:75" x14ac:dyDescent="0.75">
      <c r="B67" t="s">
        <v>95</v>
      </c>
      <c r="C67" t="s">
        <v>132</v>
      </c>
      <c r="D67" t="s">
        <v>133</v>
      </c>
      <c r="E67" t="s">
        <v>133</v>
      </c>
      <c r="F67">
        <v>100</v>
      </c>
      <c r="G67">
        <v>2</v>
      </c>
      <c r="H67" t="s">
        <v>78</v>
      </c>
      <c r="J67">
        <v>0.25</v>
      </c>
      <c r="L67">
        <v>-10</v>
      </c>
      <c r="M67">
        <v>-5</v>
      </c>
      <c r="Q67">
        <v>0</v>
      </c>
      <c r="R67" t="s">
        <v>79</v>
      </c>
      <c r="W67" s="5">
        <v>7.4700000000000001E-10</v>
      </c>
      <c r="X67" s="5"/>
      <c r="Y67" s="5">
        <v>2.0700000000000001E-9</v>
      </c>
      <c r="Z67" s="5"/>
      <c r="AA67" s="5">
        <v>1.3799999999999999E-8</v>
      </c>
      <c r="AB67" s="5"/>
      <c r="AC67" s="5">
        <v>7.1200000000000002E-8</v>
      </c>
      <c r="AD67" s="5"/>
      <c r="AE67" s="5">
        <v>2.84E-7</v>
      </c>
      <c r="AF67" s="5"/>
      <c r="AG67" s="5">
        <v>9.1299999999999998E-7</v>
      </c>
      <c r="AH67" s="5"/>
      <c r="AI67" s="5">
        <v>2.5299999999999999E-6</v>
      </c>
      <c r="AV67">
        <v>420</v>
      </c>
      <c r="AW67">
        <v>2578</v>
      </c>
      <c r="AX67">
        <v>-81</v>
      </c>
      <c r="AY67" t="s">
        <v>80</v>
      </c>
      <c r="AZ67">
        <v>15</v>
      </c>
      <c r="BA67">
        <v>1785</v>
      </c>
      <c r="BB67">
        <v>-60</v>
      </c>
      <c r="BG67">
        <v>1.35</v>
      </c>
      <c r="BH67" s="5">
        <v>62000000000000</v>
      </c>
      <c r="BI67" t="s">
        <v>81</v>
      </c>
      <c r="BM67">
        <v>2.5099999999999998</v>
      </c>
      <c r="BN67">
        <v>90.6</v>
      </c>
      <c r="BO67">
        <f>BM67*BN67</f>
        <v>227.40599999999998</v>
      </c>
      <c r="BP67" t="s">
        <v>82</v>
      </c>
      <c r="BQ67" t="s">
        <v>83</v>
      </c>
      <c r="BR67">
        <v>27</v>
      </c>
      <c r="BS67">
        <v>48</v>
      </c>
      <c r="BT67" t="s">
        <v>84</v>
      </c>
      <c r="BV67" t="s">
        <v>131</v>
      </c>
      <c r="BW67" t="s">
        <v>655</v>
      </c>
    </row>
    <row r="68" spans="1:75" x14ac:dyDescent="0.75">
      <c r="B68" t="s">
        <v>95</v>
      </c>
      <c r="C68" t="s">
        <v>132</v>
      </c>
      <c r="D68" t="s">
        <v>133</v>
      </c>
      <c r="E68" t="s">
        <v>133</v>
      </c>
      <c r="F68">
        <v>100</v>
      </c>
      <c r="G68">
        <v>2</v>
      </c>
      <c r="H68" t="s">
        <v>78</v>
      </c>
      <c r="J68">
        <v>0.5</v>
      </c>
      <c r="L68">
        <v>0</v>
      </c>
      <c r="M68">
        <v>-5</v>
      </c>
      <c r="Q68">
        <v>0</v>
      </c>
      <c r="R68" t="s">
        <v>79</v>
      </c>
      <c r="W68" s="5">
        <v>1.1000000000000001E-7</v>
      </c>
      <c r="X68" s="5"/>
      <c r="Y68" s="5">
        <v>2.4600000000000001E-7</v>
      </c>
      <c r="Z68" s="5"/>
      <c r="AA68" s="5">
        <v>7.8899999999999998E-7</v>
      </c>
      <c r="AB68" s="5"/>
      <c r="AC68" s="5">
        <v>1.8199999999999999E-6</v>
      </c>
      <c r="AD68" s="5"/>
      <c r="AE68" s="5">
        <v>3.1499999999999999E-6</v>
      </c>
      <c r="AF68" s="5"/>
      <c r="AG68" s="5">
        <v>6.0800000000000002E-6</v>
      </c>
      <c r="AH68" s="5"/>
      <c r="AI68" s="5">
        <v>1.0499999999999999E-5</v>
      </c>
      <c r="AV68">
        <v>0.03</v>
      </c>
      <c r="AW68">
        <v>568</v>
      </c>
      <c r="AX68">
        <v>-35</v>
      </c>
      <c r="AY68" t="s">
        <v>80</v>
      </c>
      <c r="AZ68">
        <v>0.09</v>
      </c>
      <c r="BA68">
        <v>803</v>
      </c>
      <c r="BB68">
        <v>-50</v>
      </c>
      <c r="BG68">
        <v>0.73</v>
      </c>
      <c r="BH68" s="5">
        <v>340000</v>
      </c>
      <c r="BI68" t="s">
        <v>81</v>
      </c>
      <c r="BM68">
        <v>2.5099999999999998</v>
      </c>
      <c r="BN68">
        <v>90.6</v>
      </c>
      <c r="BO68">
        <f t="shared" ref="BO68:BO77" si="2">BM68*BN68</f>
        <v>227.40599999999998</v>
      </c>
      <c r="BP68" t="s">
        <v>82</v>
      </c>
      <c r="BQ68" t="s">
        <v>83</v>
      </c>
      <c r="BR68">
        <v>27</v>
      </c>
      <c r="BS68">
        <v>48</v>
      </c>
      <c r="BT68" t="s">
        <v>84</v>
      </c>
      <c r="BV68" t="s">
        <v>131</v>
      </c>
      <c r="BW68" t="s">
        <v>655</v>
      </c>
    </row>
    <row r="69" spans="1:75" x14ac:dyDescent="0.75">
      <c r="B69" t="s">
        <v>95</v>
      </c>
      <c r="C69" t="s">
        <v>132</v>
      </c>
      <c r="D69" t="s">
        <v>133</v>
      </c>
      <c r="E69" t="s">
        <v>133</v>
      </c>
      <c r="F69">
        <v>100</v>
      </c>
      <c r="G69">
        <v>2</v>
      </c>
      <c r="H69" t="s">
        <v>78</v>
      </c>
      <c r="J69">
        <v>1</v>
      </c>
      <c r="M69">
        <v>-5</v>
      </c>
      <c r="R69" t="s">
        <v>622</v>
      </c>
      <c r="W69" s="5">
        <v>1.4699999999999999E-6</v>
      </c>
      <c r="X69" s="5"/>
      <c r="Y69" s="5">
        <v>2.5299999999999999E-6</v>
      </c>
      <c r="Z69" s="5"/>
      <c r="AA69" s="5">
        <v>6.0800000000000002E-6</v>
      </c>
      <c r="AB69" s="5"/>
      <c r="AC69" s="5">
        <v>1.31E-5</v>
      </c>
      <c r="AD69" s="5"/>
      <c r="AE69" s="5">
        <v>2.7100000000000001E-5</v>
      </c>
      <c r="AF69" s="5"/>
      <c r="AG69" s="5">
        <v>5.2200000000000002E-5</v>
      </c>
      <c r="AH69" s="5"/>
      <c r="AI69" s="5">
        <v>9.3499999999999996E-5</v>
      </c>
      <c r="AV69">
        <v>382</v>
      </c>
      <c r="AW69">
        <v>2651</v>
      </c>
      <c r="AX69">
        <v>-136</v>
      </c>
      <c r="AY69" t="s">
        <v>80</v>
      </c>
      <c r="BG69">
        <v>0.68</v>
      </c>
      <c r="BH69" s="5">
        <v>530000</v>
      </c>
      <c r="BI69" t="s">
        <v>81</v>
      </c>
      <c r="BM69">
        <v>2.5099999999999998</v>
      </c>
      <c r="BN69">
        <v>90.6</v>
      </c>
      <c r="BO69">
        <f t="shared" si="2"/>
        <v>227.40599999999998</v>
      </c>
      <c r="BP69" t="s">
        <v>82</v>
      </c>
      <c r="BQ69" t="s">
        <v>83</v>
      </c>
      <c r="BR69">
        <v>27</v>
      </c>
      <c r="BS69">
        <v>48</v>
      </c>
      <c r="BT69" t="s">
        <v>84</v>
      </c>
      <c r="BV69" t="s">
        <v>131</v>
      </c>
      <c r="BW69" t="s">
        <v>655</v>
      </c>
    </row>
    <row r="70" spans="1:75" x14ac:dyDescent="0.75">
      <c r="B70" t="s">
        <v>95</v>
      </c>
      <c r="C70" t="s">
        <v>132</v>
      </c>
      <c r="D70" t="s">
        <v>133</v>
      </c>
      <c r="E70" t="s">
        <v>133</v>
      </c>
      <c r="F70">
        <v>100</v>
      </c>
      <c r="G70">
        <v>2</v>
      </c>
      <c r="H70" t="s">
        <v>78</v>
      </c>
      <c r="J70">
        <v>2</v>
      </c>
      <c r="L70">
        <v>-20</v>
      </c>
      <c r="M70">
        <v>-5</v>
      </c>
      <c r="N70">
        <v>45</v>
      </c>
      <c r="O70">
        <v>20</v>
      </c>
      <c r="P70">
        <v>50</v>
      </c>
      <c r="R70" t="s">
        <v>84</v>
      </c>
      <c r="W70" s="5">
        <v>2.1800000000000001E-5</v>
      </c>
      <c r="X70" s="5"/>
      <c r="Y70" s="5">
        <v>3.0199999999999999E-5</v>
      </c>
      <c r="Z70" s="5"/>
      <c r="AA70" s="5">
        <v>6.9900000000000005E-5</v>
      </c>
      <c r="AB70" s="5"/>
      <c r="AC70" s="5">
        <v>1.6200000000000001E-4</v>
      </c>
      <c r="AD70" s="5"/>
      <c r="AE70" s="5">
        <v>2.41E-4</v>
      </c>
      <c r="AF70" s="5"/>
      <c r="AG70" s="5">
        <v>3.4699999999999998E-4</v>
      </c>
      <c r="AH70" s="5"/>
      <c r="AI70" s="5">
        <v>5.0000000000000001E-4</v>
      </c>
      <c r="AV70">
        <v>0.55000000000000004</v>
      </c>
      <c r="AW70">
        <v>496</v>
      </c>
      <c r="AX70">
        <v>-42</v>
      </c>
      <c r="AY70" t="s">
        <v>80</v>
      </c>
      <c r="AZ70">
        <v>3</v>
      </c>
      <c r="BA70">
        <v>857</v>
      </c>
      <c r="BB70">
        <v>-70</v>
      </c>
      <c r="BG70">
        <v>0.53</v>
      </c>
      <c r="BH70" s="5">
        <v>22000</v>
      </c>
      <c r="BI70" t="s">
        <v>81</v>
      </c>
      <c r="BM70">
        <v>2.5099999999999998</v>
      </c>
      <c r="BN70">
        <v>90.6</v>
      </c>
      <c r="BO70">
        <f t="shared" si="2"/>
        <v>227.40599999999998</v>
      </c>
      <c r="BP70" t="s">
        <v>82</v>
      </c>
      <c r="BQ70" t="s">
        <v>83</v>
      </c>
      <c r="BR70">
        <v>27</v>
      </c>
      <c r="BS70">
        <v>48</v>
      </c>
      <c r="BT70" t="s">
        <v>84</v>
      </c>
      <c r="BV70" t="s">
        <v>131</v>
      </c>
      <c r="BW70" t="s">
        <v>655</v>
      </c>
    </row>
    <row r="71" spans="1:75" x14ac:dyDescent="0.75">
      <c r="B71" t="s">
        <v>95</v>
      </c>
      <c r="C71" t="s">
        <v>132</v>
      </c>
      <c r="D71" t="s">
        <v>133</v>
      </c>
      <c r="E71" t="s">
        <v>133</v>
      </c>
      <c r="F71">
        <v>100</v>
      </c>
      <c r="G71">
        <v>2</v>
      </c>
      <c r="H71" t="s">
        <v>78</v>
      </c>
      <c r="J71">
        <v>4</v>
      </c>
      <c r="L71">
        <v>-25</v>
      </c>
      <c r="M71">
        <v>-5</v>
      </c>
      <c r="N71">
        <v>45</v>
      </c>
      <c r="O71">
        <v>10</v>
      </c>
      <c r="P71">
        <v>50</v>
      </c>
      <c r="R71" t="s">
        <v>622</v>
      </c>
      <c r="W71" s="5">
        <v>1.21E-4</v>
      </c>
      <c r="X71" s="5"/>
      <c r="Y71" s="5">
        <v>1.4999999999999999E-4</v>
      </c>
      <c r="Z71" s="5"/>
      <c r="AA71" s="5">
        <v>2.5000000000000001E-4</v>
      </c>
      <c r="AB71" s="5"/>
      <c r="AC71" s="5">
        <v>3.7399999999999998E-4</v>
      </c>
      <c r="AD71" s="5"/>
      <c r="AE71" s="5">
        <v>5.3799999999999996E-4</v>
      </c>
      <c r="AF71" s="5"/>
      <c r="AG71" s="5">
        <v>6.9499999999999998E-4</v>
      </c>
      <c r="AH71" s="5"/>
      <c r="AI71" s="5">
        <v>9.3000000000000005E-4</v>
      </c>
      <c r="AV71">
        <v>1.4</v>
      </c>
      <c r="AW71">
        <v>730</v>
      </c>
      <c r="AX71">
        <v>-87</v>
      </c>
      <c r="AY71" t="s">
        <v>80</v>
      </c>
      <c r="AZ71">
        <v>0.84</v>
      </c>
      <c r="BA71">
        <v>603</v>
      </c>
      <c r="BB71">
        <v>-75</v>
      </c>
      <c r="BG71">
        <v>0.34</v>
      </c>
      <c r="BH71">
        <v>69</v>
      </c>
      <c r="BI71" t="s">
        <v>81</v>
      </c>
      <c r="BM71">
        <v>2.5099999999999998</v>
      </c>
      <c r="BN71">
        <v>90.6</v>
      </c>
      <c r="BO71">
        <f t="shared" si="2"/>
        <v>227.40599999999998</v>
      </c>
      <c r="BP71" t="s">
        <v>82</v>
      </c>
      <c r="BQ71" t="s">
        <v>83</v>
      </c>
      <c r="BR71">
        <v>27</v>
      </c>
      <c r="BS71">
        <v>48</v>
      </c>
      <c r="BT71" t="s">
        <v>84</v>
      </c>
      <c r="BV71" t="s">
        <v>131</v>
      </c>
      <c r="BW71" t="s">
        <v>655</v>
      </c>
    </row>
    <row r="72" spans="1:75" x14ac:dyDescent="0.75">
      <c r="B72" t="s">
        <v>95</v>
      </c>
      <c r="C72" t="s">
        <v>132</v>
      </c>
      <c r="D72" t="s">
        <v>133</v>
      </c>
      <c r="E72" t="s">
        <v>133</v>
      </c>
      <c r="F72">
        <v>100</v>
      </c>
      <c r="G72">
        <v>2</v>
      </c>
      <c r="H72" t="s">
        <v>91</v>
      </c>
      <c r="J72">
        <v>0.1</v>
      </c>
      <c r="L72">
        <v>-10</v>
      </c>
      <c r="M72">
        <v>-5</v>
      </c>
      <c r="N72">
        <v>70</v>
      </c>
      <c r="O72">
        <v>50</v>
      </c>
      <c r="P72">
        <v>80</v>
      </c>
      <c r="R72" t="s">
        <v>84</v>
      </c>
      <c r="W72" s="5">
        <v>3.3700000000000001E-9</v>
      </c>
      <c r="X72" s="5"/>
      <c r="Y72" s="5">
        <v>8.7700000000000001E-9</v>
      </c>
      <c r="Z72" s="5"/>
      <c r="AA72" s="5">
        <v>4.4199999999999999E-8</v>
      </c>
      <c r="AB72" s="5"/>
      <c r="AC72" s="5">
        <v>1.66E-7</v>
      </c>
      <c r="AD72" s="5"/>
      <c r="AE72" s="5">
        <v>4.9800000000000004E-7</v>
      </c>
      <c r="AF72" s="5"/>
      <c r="AG72" s="5">
        <v>1.2899999999999999E-6</v>
      </c>
      <c r="AH72" s="5"/>
      <c r="AI72" s="5">
        <v>2.8899999999999999E-6</v>
      </c>
      <c r="AV72">
        <v>2.9</v>
      </c>
      <c r="AW72">
        <v>1552</v>
      </c>
      <c r="AX72">
        <v>-63</v>
      </c>
      <c r="AY72" t="s">
        <v>80</v>
      </c>
      <c r="AZ72">
        <v>2.06</v>
      </c>
      <c r="BA72">
        <v>1478</v>
      </c>
      <c r="BB72">
        <v>-60</v>
      </c>
      <c r="BG72">
        <v>1.1000000000000001</v>
      </c>
      <c r="BH72" s="5">
        <v>29000000000</v>
      </c>
      <c r="BI72" t="s">
        <v>81</v>
      </c>
      <c r="BM72">
        <v>2.5099999999999998</v>
      </c>
      <c r="BN72">
        <v>90.6</v>
      </c>
      <c r="BO72">
        <f t="shared" si="2"/>
        <v>227.40599999999998</v>
      </c>
      <c r="BP72" t="s">
        <v>82</v>
      </c>
      <c r="BQ72" t="s">
        <v>83</v>
      </c>
      <c r="BR72">
        <v>27</v>
      </c>
      <c r="BS72">
        <v>48</v>
      </c>
      <c r="BT72" t="s">
        <v>84</v>
      </c>
      <c r="BV72" t="s">
        <v>131</v>
      </c>
      <c r="BW72" t="s">
        <v>655</v>
      </c>
    </row>
    <row r="73" spans="1:75" x14ac:dyDescent="0.75">
      <c r="B73" t="s">
        <v>95</v>
      </c>
      <c r="C73" t="s">
        <v>132</v>
      </c>
      <c r="D73" t="s">
        <v>133</v>
      </c>
      <c r="E73" t="s">
        <v>133</v>
      </c>
      <c r="F73">
        <v>100</v>
      </c>
      <c r="G73">
        <v>2</v>
      </c>
      <c r="H73" t="s">
        <v>91</v>
      </c>
      <c r="J73">
        <v>0.3</v>
      </c>
      <c r="L73">
        <v>0</v>
      </c>
      <c r="M73">
        <v>-5</v>
      </c>
      <c r="N73">
        <v>62</v>
      </c>
      <c r="O73">
        <v>40</v>
      </c>
      <c r="P73">
        <v>75</v>
      </c>
      <c r="R73" t="s">
        <v>84</v>
      </c>
      <c r="W73" s="5">
        <v>2.72E-7</v>
      </c>
      <c r="X73" s="5"/>
      <c r="Y73" s="5">
        <v>4.89E-7</v>
      </c>
      <c r="Z73" s="5"/>
      <c r="AA73" s="5">
        <v>1.37E-6</v>
      </c>
      <c r="AB73" s="5"/>
      <c r="AC73" s="5">
        <v>3.5499999999999999E-6</v>
      </c>
      <c r="AD73" s="5"/>
      <c r="AE73" s="5">
        <v>7.9400000000000002E-6</v>
      </c>
      <c r="AF73" s="5"/>
      <c r="AG73" s="5">
        <v>1.6500000000000001E-5</v>
      </c>
      <c r="AH73" s="5"/>
      <c r="AI73" s="5">
        <v>3.0700000000000001E-5</v>
      </c>
      <c r="AV73">
        <v>85</v>
      </c>
      <c r="AW73">
        <v>2265</v>
      </c>
      <c r="AX73">
        <v>-111</v>
      </c>
      <c r="AY73" t="s">
        <v>80</v>
      </c>
      <c r="AZ73">
        <v>0.36</v>
      </c>
      <c r="BA73">
        <v>853</v>
      </c>
      <c r="BB73">
        <v>-50</v>
      </c>
      <c r="BG73">
        <v>0.78</v>
      </c>
      <c r="BH73" s="5">
        <v>5200000</v>
      </c>
      <c r="BI73" t="s">
        <v>81</v>
      </c>
      <c r="BM73">
        <v>2.5099999999999998</v>
      </c>
      <c r="BN73">
        <v>90.6</v>
      </c>
      <c r="BO73">
        <f t="shared" si="2"/>
        <v>227.40599999999998</v>
      </c>
      <c r="BP73" t="s">
        <v>82</v>
      </c>
      <c r="BQ73" t="s">
        <v>83</v>
      </c>
      <c r="BR73">
        <v>27</v>
      </c>
      <c r="BS73">
        <v>48</v>
      </c>
      <c r="BT73" t="s">
        <v>84</v>
      </c>
      <c r="BV73" t="s">
        <v>131</v>
      </c>
      <c r="BW73" t="s">
        <v>655</v>
      </c>
    </row>
    <row r="74" spans="1:75" x14ac:dyDescent="0.75">
      <c r="B74" t="s">
        <v>95</v>
      </c>
      <c r="C74" t="s">
        <v>132</v>
      </c>
      <c r="D74" t="s">
        <v>133</v>
      </c>
      <c r="E74" t="s">
        <v>133</v>
      </c>
      <c r="F74">
        <v>100</v>
      </c>
      <c r="G74">
        <v>2</v>
      </c>
      <c r="H74" t="s">
        <v>91</v>
      </c>
      <c r="J74">
        <v>0.4</v>
      </c>
      <c r="L74">
        <v>-5</v>
      </c>
      <c r="M74">
        <v>-5</v>
      </c>
      <c r="N74">
        <v>50</v>
      </c>
      <c r="O74">
        <v>40</v>
      </c>
      <c r="P74">
        <v>60</v>
      </c>
      <c r="R74" t="s">
        <v>84</v>
      </c>
      <c r="W74" s="5">
        <v>2.53E-7</v>
      </c>
      <c r="X74" s="5"/>
      <c r="Y74" s="5">
        <v>5.0800000000000005E-7</v>
      </c>
      <c r="Z74" s="5"/>
      <c r="AA74" s="5">
        <v>1.77E-6</v>
      </c>
      <c r="AB74" s="5"/>
      <c r="AC74" s="5">
        <v>4.7600000000000002E-6</v>
      </c>
      <c r="AD74" s="5"/>
      <c r="AE74" s="5">
        <v>1.11E-5</v>
      </c>
      <c r="AF74" s="5"/>
      <c r="AG74" s="5">
        <v>2.3900000000000002E-5</v>
      </c>
      <c r="AH74" s="5"/>
      <c r="AI74" s="5">
        <v>4.7800000000000003E-5</v>
      </c>
      <c r="AV74">
        <v>19.8</v>
      </c>
      <c r="AW74">
        <v>1594</v>
      </c>
      <c r="AX74">
        <v>-79</v>
      </c>
      <c r="AY74" t="s">
        <v>80</v>
      </c>
      <c r="AZ74">
        <v>1.8</v>
      </c>
      <c r="BA74">
        <v>1039</v>
      </c>
      <c r="BB74">
        <v>-55</v>
      </c>
      <c r="BG74">
        <v>0.86</v>
      </c>
      <c r="BH74" s="5">
        <v>110000000</v>
      </c>
      <c r="BI74" t="s">
        <v>81</v>
      </c>
      <c r="BM74">
        <v>2.5099999999999998</v>
      </c>
      <c r="BN74">
        <v>90.6</v>
      </c>
      <c r="BO74">
        <f t="shared" si="2"/>
        <v>227.40599999999998</v>
      </c>
      <c r="BP74" t="s">
        <v>82</v>
      </c>
      <c r="BQ74" t="s">
        <v>83</v>
      </c>
      <c r="BR74">
        <v>27</v>
      </c>
      <c r="BS74">
        <v>48</v>
      </c>
      <c r="BT74" t="s">
        <v>84</v>
      </c>
      <c r="BV74" t="s">
        <v>131</v>
      </c>
      <c r="BW74" t="s">
        <v>655</v>
      </c>
    </row>
    <row r="75" spans="1:75" x14ac:dyDescent="0.75">
      <c r="B75" t="s">
        <v>95</v>
      </c>
      <c r="C75" t="s">
        <v>132</v>
      </c>
      <c r="D75" t="s">
        <v>133</v>
      </c>
      <c r="E75" t="s">
        <v>133</v>
      </c>
      <c r="F75">
        <v>100</v>
      </c>
      <c r="G75">
        <v>2</v>
      </c>
      <c r="H75" t="s">
        <v>91</v>
      </c>
      <c r="J75">
        <v>0.7</v>
      </c>
      <c r="L75">
        <v>-5</v>
      </c>
      <c r="M75">
        <v>-5</v>
      </c>
      <c r="R75" t="s">
        <v>622</v>
      </c>
      <c r="W75" s="5">
        <v>2.6199999999999999E-7</v>
      </c>
      <c r="X75" s="5"/>
      <c r="Y75" s="5">
        <v>5.2699999999999999E-7</v>
      </c>
      <c r="Z75" s="5"/>
      <c r="AA75" s="5">
        <v>1.77E-6</v>
      </c>
      <c r="AB75" s="5"/>
      <c r="AC75" s="5">
        <v>4.9400000000000001E-6</v>
      </c>
      <c r="AD75" s="5"/>
      <c r="AE75" s="5">
        <v>1.19E-5</v>
      </c>
      <c r="AF75" s="5"/>
      <c r="AG75" s="5">
        <v>2.6699999999999998E-5</v>
      </c>
      <c r="AH75" s="5"/>
      <c r="AI75" s="5">
        <v>5.7500000000000002E-5</v>
      </c>
      <c r="AV75">
        <v>334</v>
      </c>
      <c r="AW75">
        <v>2321</v>
      </c>
      <c r="AX75">
        <v>-103</v>
      </c>
      <c r="AY75" t="s">
        <v>80</v>
      </c>
      <c r="AZ75">
        <v>2.5</v>
      </c>
      <c r="BA75">
        <v>1064</v>
      </c>
      <c r="BB75">
        <v>-55</v>
      </c>
      <c r="BG75">
        <v>0.88</v>
      </c>
      <c r="BH75" s="5">
        <v>260000000</v>
      </c>
      <c r="BI75" t="s">
        <v>81</v>
      </c>
      <c r="BM75">
        <v>2.5099999999999998</v>
      </c>
      <c r="BN75">
        <v>90.6</v>
      </c>
      <c r="BO75">
        <f t="shared" si="2"/>
        <v>227.40599999999998</v>
      </c>
      <c r="BP75" t="s">
        <v>82</v>
      </c>
      <c r="BQ75" t="s">
        <v>83</v>
      </c>
      <c r="BR75">
        <v>27</v>
      </c>
      <c r="BS75">
        <v>48</v>
      </c>
      <c r="BT75" t="s">
        <v>84</v>
      </c>
      <c r="BV75" t="s">
        <v>131</v>
      </c>
      <c r="BW75" t="s">
        <v>655</v>
      </c>
    </row>
    <row r="76" spans="1:75" x14ac:dyDescent="0.75">
      <c r="B76" t="s">
        <v>95</v>
      </c>
      <c r="C76" t="s">
        <v>132</v>
      </c>
      <c r="D76" t="s">
        <v>133</v>
      </c>
      <c r="E76" t="s">
        <v>133</v>
      </c>
      <c r="F76">
        <v>100</v>
      </c>
      <c r="G76">
        <v>2</v>
      </c>
      <c r="H76" t="s">
        <v>91</v>
      </c>
      <c r="J76">
        <v>1</v>
      </c>
      <c r="L76">
        <v>-5</v>
      </c>
      <c r="M76">
        <v>-5</v>
      </c>
      <c r="N76">
        <v>25</v>
      </c>
      <c r="O76">
        <v>20</v>
      </c>
      <c r="P76">
        <v>35</v>
      </c>
      <c r="R76" t="s">
        <v>84</v>
      </c>
      <c r="W76" s="5">
        <v>7.0500000000000003E-9</v>
      </c>
      <c r="X76" s="5"/>
      <c r="Y76" s="5">
        <v>1.9700000000000001E-8</v>
      </c>
      <c r="Z76" s="5"/>
      <c r="AA76" s="5">
        <v>1.11E-7</v>
      </c>
      <c r="AB76" s="5"/>
      <c r="AC76" s="5">
        <v>4.6600000000000002E-7</v>
      </c>
      <c r="AD76" s="5"/>
      <c r="AE76" s="5">
        <v>1.57E-6</v>
      </c>
      <c r="AF76" s="5"/>
      <c r="AG76" s="5">
        <v>4.5299999999999998E-6</v>
      </c>
      <c r="AH76" s="5"/>
      <c r="AI76" s="5">
        <v>1.13E-5</v>
      </c>
      <c r="AV76">
        <v>93</v>
      </c>
      <c r="AW76">
        <v>1963</v>
      </c>
      <c r="AX76">
        <v>-71</v>
      </c>
      <c r="AY76" t="s">
        <v>80</v>
      </c>
      <c r="AZ76">
        <v>9.9</v>
      </c>
      <c r="BA76">
        <v>1461</v>
      </c>
      <c r="BB76">
        <v>-55</v>
      </c>
      <c r="BG76">
        <v>1.2</v>
      </c>
      <c r="BH76" s="5">
        <v>3300000000000</v>
      </c>
      <c r="BI76" t="s">
        <v>81</v>
      </c>
      <c r="BM76">
        <v>2.5099999999999998</v>
      </c>
      <c r="BN76">
        <v>90.6</v>
      </c>
      <c r="BO76">
        <f t="shared" si="2"/>
        <v>227.40599999999998</v>
      </c>
      <c r="BP76" t="s">
        <v>82</v>
      </c>
      <c r="BQ76" t="s">
        <v>83</v>
      </c>
      <c r="BR76">
        <v>27</v>
      </c>
      <c r="BS76">
        <v>48</v>
      </c>
      <c r="BT76" t="s">
        <v>84</v>
      </c>
      <c r="BV76" t="s">
        <v>131</v>
      </c>
      <c r="BW76" t="s">
        <v>655</v>
      </c>
    </row>
    <row r="77" spans="1:75" x14ac:dyDescent="0.75">
      <c r="A77" s="1"/>
      <c r="B77" s="1" t="s">
        <v>95</v>
      </c>
      <c r="C77" s="1" t="s">
        <v>132</v>
      </c>
      <c r="D77" t="s">
        <v>133</v>
      </c>
      <c r="E77" t="s">
        <v>133</v>
      </c>
      <c r="F77" s="1">
        <v>100</v>
      </c>
      <c r="G77" s="1">
        <v>2</v>
      </c>
      <c r="H77" s="1" t="s">
        <v>91</v>
      </c>
      <c r="I77" s="1"/>
      <c r="J77" s="1">
        <v>2</v>
      </c>
      <c r="K77" s="1"/>
      <c r="L77" s="1"/>
      <c r="M77" s="1">
        <v>-5</v>
      </c>
      <c r="N77" s="1"/>
      <c r="O77" s="1"/>
      <c r="P77" s="1"/>
      <c r="Q77" s="1"/>
      <c r="R77" s="1" t="s">
        <v>622</v>
      </c>
      <c r="S77" s="1"/>
      <c r="T77" s="1"/>
      <c r="U77" s="1"/>
      <c r="V77" s="1"/>
      <c r="W77" s="3">
        <v>1.02E-8</v>
      </c>
      <c r="X77" s="3"/>
      <c r="Y77" s="3">
        <v>2.29E-8</v>
      </c>
      <c r="Z77" s="3"/>
      <c r="AA77" s="3">
        <v>9.9499999999999998E-8</v>
      </c>
      <c r="AB77" s="3"/>
      <c r="AC77" s="3">
        <v>3.1E-7</v>
      </c>
      <c r="AD77" s="3"/>
      <c r="AE77" s="3">
        <v>9.6899999999999996E-7</v>
      </c>
      <c r="AF77" s="3"/>
      <c r="AG77" s="3">
        <v>2.4200000000000001E-6</v>
      </c>
      <c r="AH77" s="3"/>
      <c r="AI77" s="3">
        <v>5.8300000000000001E-6</v>
      </c>
      <c r="AJ77" s="1"/>
      <c r="AK77" s="1"/>
      <c r="AL77" s="1"/>
      <c r="AM77" s="1"/>
      <c r="AN77" s="1"/>
      <c r="AO77" s="1"/>
      <c r="AP77" s="1"/>
      <c r="AQ77" s="1"/>
      <c r="AR77" s="1"/>
      <c r="AS77" s="1"/>
      <c r="AT77" s="1"/>
      <c r="AU77" s="1"/>
      <c r="AV77" s="1">
        <v>257</v>
      </c>
      <c r="AW77" s="1">
        <v>2659</v>
      </c>
      <c r="AX77" s="1">
        <v>-101</v>
      </c>
      <c r="AY77" t="s">
        <v>80</v>
      </c>
      <c r="AZ77" s="1"/>
      <c r="BA77" s="1"/>
      <c r="BB77" s="1"/>
      <c r="BC77" s="1"/>
      <c r="BD77" s="1"/>
      <c r="BE77" s="1"/>
      <c r="BF77" s="1"/>
      <c r="BG77" s="1">
        <v>1</v>
      </c>
      <c r="BH77" s="3">
        <v>5400000000</v>
      </c>
      <c r="BI77" t="s">
        <v>81</v>
      </c>
      <c r="BJ77" s="1"/>
      <c r="BK77" s="1"/>
      <c r="BL77" s="1"/>
      <c r="BM77" s="1">
        <v>2.5099999999999998</v>
      </c>
      <c r="BN77" s="1">
        <v>90.6</v>
      </c>
      <c r="BO77" s="1">
        <f t="shared" si="2"/>
        <v>227.40599999999998</v>
      </c>
      <c r="BP77" s="1" t="s">
        <v>82</v>
      </c>
      <c r="BQ77" s="1" t="s">
        <v>83</v>
      </c>
      <c r="BR77" s="1">
        <v>27</v>
      </c>
      <c r="BS77" s="1">
        <v>48</v>
      </c>
      <c r="BT77" s="1" t="s">
        <v>84</v>
      </c>
      <c r="BU77" s="1"/>
      <c r="BV77" t="s">
        <v>131</v>
      </c>
      <c r="BW77" t="s">
        <v>655</v>
      </c>
    </row>
    <row r="78" spans="1:75" x14ac:dyDescent="0.75">
      <c r="B78" t="s">
        <v>134</v>
      </c>
      <c r="C78" t="s">
        <v>135</v>
      </c>
      <c r="D78" t="s">
        <v>136</v>
      </c>
      <c r="E78" t="s">
        <v>137</v>
      </c>
      <c r="F78">
        <v>100</v>
      </c>
      <c r="G78">
        <v>1</v>
      </c>
      <c r="H78" t="s">
        <v>78</v>
      </c>
      <c r="J78" s="4"/>
      <c r="K78">
        <v>28</v>
      </c>
      <c r="N78">
        <v>49</v>
      </c>
      <c r="O78">
        <v>32</v>
      </c>
      <c r="P78">
        <v>63</v>
      </c>
      <c r="R78" t="s">
        <v>84</v>
      </c>
      <c r="W78" s="5">
        <v>5.6899999999999997E-6</v>
      </c>
      <c r="Y78" s="5">
        <v>8.9299999999999992E-6</v>
      </c>
      <c r="AA78" s="5">
        <v>2.7100000000000001E-5</v>
      </c>
      <c r="AC78" s="5">
        <v>6.3100000000000002E-5</v>
      </c>
      <c r="AE78" s="5">
        <v>1.05E-4</v>
      </c>
      <c r="AG78" s="5">
        <v>1.6100000000000001E-4</v>
      </c>
      <c r="AI78" s="5">
        <v>2.4899999999999998E-4</v>
      </c>
      <c r="AK78" s="5">
        <v>3.6200000000000002E-4</v>
      </c>
      <c r="AL78" s="5">
        <v>4.8999999999999998E-4</v>
      </c>
      <c r="AV78">
        <v>0.438</v>
      </c>
      <c r="AW78">
        <v>533</v>
      </c>
      <c r="AX78">
        <v>-38</v>
      </c>
      <c r="AY78" t="s">
        <v>138</v>
      </c>
      <c r="BE78">
        <v>0.81</v>
      </c>
      <c r="BF78" s="5">
        <v>236000000</v>
      </c>
      <c r="BG78">
        <v>0.43</v>
      </c>
      <c r="BH78">
        <v>341.4</v>
      </c>
      <c r="BI78" t="s">
        <v>139</v>
      </c>
      <c r="BM78">
        <v>1.24</v>
      </c>
      <c r="BN78">
        <v>338</v>
      </c>
      <c r="BO78" s="11">
        <f>BM78*BN78</f>
        <v>419.12</v>
      </c>
      <c r="BP78" t="s">
        <v>82</v>
      </c>
      <c r="BQ78" t="s">
        <v>83</v>
      </c>
      <c r="BR78">
        <v>60</v>
      </c>
      <c r="BS78">
        <v>40</v>
      </c>
      <c r="BT78" t="s">
        <v>84</v>
      </c>
      <c r="BU78" t="s">
        <v>140</v>
      </c>
      <c r="BV78" t="s">
        <v>141</v>
      </c>
      <c r="BW78" t="s">
        <v>142</v>
      </c>
    </row>
    <row r="79" spans="1:75" x14ac:dyDescent="0.75">
      <c r="B79" t="s">
        <v>134</v>
      </c>
      <c r="C79" t="s">
        <v>135</v>
      </c>
      <c r="D79" t="s">
        <v>136</v>
      </c>
      <c r="E79" t="s">
        <v>137</v>
      </c>
      <c r="F79">
        <v>100</v>
      </c>
      <c r="G79">
        <v>1</v>
      </c>
      <c r="H79" t="s">
        <v>78</v>
      </c>
      <c r="J79" s="4"/>
      <c r="K79">
        <v>36</v>
      </c>
      <c r="N79">
        <v>47</v>
      </c>
      <c r="O79">
        <v>32</v>
      </c>
      <c r="P79">
        <v>56</v>
      </c>
      <c r="R79" t="s">
        <v>84</v>
      </c>
      <c r="W79" s="5">
        <v>1.1400000000000001E-6</v>
      </c>
      <c r="Y79" s="5">
        <v>1.72E-6</v>
      </c>
      <c r="AA79" s="5">
        <v>4.0899999999999998E-6</v>
      </c>
      <c r="AC79" s="5">
        <v>8.6600000000000001E-6</v>
      </c>
      <c r="AE79" s="5">
        <v>1.6699999999999999E-5</v>
      </c>
      <c r="AG79" s="5">
        <v>2.9899999999999998E-5</v>
      </c>
      <c r="AI79" s="5">
        <v>4.9599999999999999E-5</v>
      </c>
      <c r="AK79" s="5">
        <v>7.7899999999999996E-5</v>
      </c>
      <c r="AL79" s="5">
        <v>1.2E-4</v>
      </c>
      <c r="AV79">
        <v>18.7</v>
      </c>
      <c r="AW79">
        <v>1940</v>
      </c>
      <c r="AX79">
        <v>-116</v>
      </c>
      <c r="AY79" t="s">
        <v>138</v>
      </c>
      <c r="BG79">
        <v>0.6</v>
      </c>
      <c r="BH79">
        <v>16855</v>
      </c>
      <c r="BI79" t="s">
        <v>143</v>
      </c>
      <c r="BM79">
        <v>1.24</v>
      </c>
      <c r="BN79">
        <v>338</v>
      </c>
      <c r="BO79">
        <f t="shared" ref="BO79:BO87" si="3">BM79*BN79</f>
        <v>419.12</v>
      </c>
      <c r="BP79" t="s">
        <v>82</v>
      </c>
      <c r="BQ79" t="s">
        <v>83</v>
      </c>
      <c r="BR79">
        <v>60</v>
      </c>
      <c r="BS79">
        <v>40</v>
      </c>
      <c r="BT79" t="s">
        <v>84</v>
      </c>
      <c r="BU79" t="s">
        <v>140</v>
      </c>
      <c r="BV79" t="s">
        <v>141</v>
      </c>
      <c r="BW79" t="s">
        <v>142</v>
      </c>
    </row>
    <row r="80" spans="1:75" x14ac:dyDescent="0.75">
      <c r="B80" t="s">
        <v>134</v>
      </c>
      <c r="C80" t="s">
        <v>135</v>
      </c>
      <c r="D80" t="s">
        <v>136</v>
      </c>
      <c r="E80" t="s">
        <v>137</v>
      </c>
      <c r="F80">
        <v>90</v>
      </c>
      <c r="G80">
        <v>1</v>
      </c>
      <c r="H80" t="s">
        <v>78</v>
      </c>
      <c r="J80" s="4"/>
      <c r="K80">
        <v>28</v>
      </c>
      <c r="N80">
        <v>42</v>
      </c>
      <c r="O80">
        <v>35</v>
      </c>
      <c r="P80">
        <v>52</v>
      </c>
      <c r="R80" t="s">
        <v>84</v>
      </c>
      <c r="W80" s="5">
        <v>1.9700000000000001E-5</v>
      </c>
      <c r="Y80" s="5">
        <v>3.0300000000000001E-5</v>
      </c>
      <c r="AA80" s="5">
        <v>5.9599999999999999E-5</v>
      </c>
      <c r="AC80" s="5">
        <v>1.11E-4</v>
      </c>
      <c r="AE80" s="5">
        <v>1.84E-4</v>
      </c>
      <c r="AG80" s="5">
        <v>2.8400000000000002E-4</v>
      </c>
      <c r="AI80" s="5">
        <v>4.2099999999999999E-4</v>
      </c>
      <c r="AK80" s="5">
        <v>6.1300000000000005E-4</v>
      </c>
      <c r="AL80" s="5">
        <v>8.5999999999999998E-4</v>
      </c>
      <c r="AV80">
        <v>8.1</v>
      </c>
      <c r="AW80">
        <v>1218</v>
      </c>
      <c r="AX80">
        <v>-96</v>
      </c>
      <c r="AY80" t="s">
        <v>138</v>
      </c>
      <c r="BG80">
        <v>0.48</v>
      </c>
      <c r="BH80">
        <v>2757</v>
      </c>
      <c r="BI80" t="s">
        <v>143</v>
      </c>
      <c r="BM80">
        <v>1.42</v>
      </c>
      <c r="BN80">
        <v>256</v>
      </c>
      <c r="BO80">
        <f t="shared" si="3"/>
        <v>363.52</v>
      </c>
      <c r="BP80" t="s">
        <v>82</v>
      </c>
      <c r="BQ80" t="s">
        <v>83</v>
      </c>
      <c r="BR80">
        <v>60</v>
      </c>
      <c r="BS80">
        <v>40</v>
      </c>
      <c r="BT80" t="s">
        <v>84</v>
      </c>
      <c r="BU80" t="s">
        <v>140</v>
      </c>
      <c r="BV80" t="s">
        <v>141</v>
      </c>
      <c r="BW80" t="s">
        <v>142</v>
      </c>
    </row>
    <row r="81" spans="1:75" x14ac:dyDescent="0.75">
      <c r="B81" t="s">
        <v>134</v>
      </c>
      <c r="C81" t="s">
        <v>135</v>
      </c>
      <c r="D81" t="s">
        <v>136</v>
      </c>
      <c r="E81" t="s">
        <v>137</v>
      </c>
      <c r="F81">
        <v>90</v>
      </c>
      <c r="G81">
        <v>1</v>
      </c>
      <c r="H81" t="s">
        <v>78</v>
      </c>
      <c r="J81" s="4"/>
      <c r="K81">
        <v>36</v>
      </c>
      <c r="N81">
        <v>42</v>
      </c>
      <c r="O81">
        <v>35</v>
      </c>
      <c r="P81">
        <v>43</v>
      </c>
      <c r="R81" t="s">
        <v>84</v>
      </c>
      <c r="W81" s="5">
        <v>1.2799999999999999E-5</v>
      </c>
      <c r="Y81" s="5">
        <v>1.9000000000000001E-5</v>
      </c>
      <c r="AA81" s="5">
        <v>3.82E-5</v>
      </c>
      <c r="AC81" s="5">
        <v>7.2200000000000007E-5</v>
      </c>
      <c r="AE81" s="5">
        <v>1.2E-4</v>
      </c>
      <c r="AG81" s="5">
        <v>1.92E-4</v>
      </c>
      <c r="AI81" s="5">
        <v>2.9E-4</v>
      </c>
      <c r="AK81" s="5">
        <v>4.2999999999999999E-4</v>
      </c>
      <c r="AL81" s="5">
        <v>4.55E-4</v>
      </c>
      <c r="AV81">
        <v>1.4</v>
      </c>
      <c r="AW81">
        <v>845</v>
      </c>
      <c r="AX81">
        <v>-71</v>
      </c>
      <c r="AY81" t="s">
        <v>138</v>
      </c>
      <c r="BG81">
        <v>0.47</v>
      </c>
      <c r="BH81">
        <v>1549</v>
      </c>
      <c r="BI81" t="s">
        <v>143</v>
      </c>
      <c r="BM81">
        <v>1.42</v>
      </c>
      <c r="BN81">
        <v>256</v>
      </c>
      <c r="BO81">
        <f t="shared" si="3"/>
        <v>363.52</v>
      </c>
      <c r="BP81" t="s">
        <v>82</v>
      </c>
      <c r="BQ81" t="s">
        <v>83</v>
      </c>
      <c r="BR81">
        <v>60</v>
      </c>
      <c r="BS81">
        <v>40</v>
      </c>
      <c r="BT81" t="s">
        <v>84</v>
      </c>
      <c r="BU81" t="s">
        <v>140</v>
      </c>
      <c r="BV81" t="s">
        <v>141</v>
      </c>
      <c r="BW81" t="s">
        <v>142</v>
      </c>
    </row>
    <row r="82" spans="1:75" x14ac:dyDescent="0.75">
      <c r="B82" t="s">
        <v>134</v>
      </c>
      <c r="C82" t="s">
        <v>135</v>
      </c>
      <c r="D82" t="s">
        <v>136</v>
      </c>
      <c r="E82" t="s">
        <v>137</v>
      </c>
      <c r="F82">
        <v>80</v>
      </c>
      <c r="G82">
        <v>1</v>
      </c>
      <c r="H82" t="s">
        <v>78</v>
      </c>
      <c r="J82" s="4"/>
      <c r="K82">
        <v>20</v>
      </c>
      <c r="L82">
        <v>-50</v>
      </c>
      <c r="M82">
        <v>-57</v>
      </c>
      <c r="Q82">
        <v>0</v>
      </c>
      <c r="R82" t="s">
        <v>79</v>
      </c>
      <c r="W82" s="5">
        <v>1.9599999999999999E-5</v>
      </c>
      <c r="AE82" s="5">
        <v>1.0399999999999999E-4</v>
      </c>
      <c r="AL82" s="5">
        <v>3.9899999999999999E-4</v>
      </c>
      <c r="BM82">
        <v>1.42</v>
      </c>
      <c r="BN82">
        <v>257</v>
      </c>
      <c r="BO82">
        <f t="shared" si="3"/>
        <v>364.94</v>
      </c>
      <c r="BP82" t="s">
        <v>82</v>
      </c>
      <c r="BQ82" t="s">
        <v>83</v>
      </c>
      <c r="BR82">
        <v>60</v>
      </c>
      <c r="BS82">
        <v>40</v>
      </c>
      <c r="BT82" t="s">
        <v>84</v>
      </c>
      <c r="BU82" t="s">
        <v>140</v>
      </c>
      <c r="BV82" t="s">
        <v>141</v>
      </c>
      <c r="BW82" t="s">
        <v>142</v>
      </c>
    </row>
    <row r="83" spans="1:75" x14ac:dyDescent="0.75">
      <c r="B83" t="s">
        <v>134</v>
      </c>
      <c r="C83" t="s">
        <v>135</v>
      </c>
      <c r="D83" t="s">
        <v>136</v>
      </c>
      <c r="E83" t="s">
        <v>137</v>
      </c>
      <c r="F83">
        <v>80</v>
      </c>
      <c r="G83">
        <v>1</v>
      </c>
      <c r="H83" t="s">
        <v>78</v>
      </c>
      <c r="J83" s="4"/>
      <c r="K83">
        <v>28</v>
      </c>
      <c r="L83">
        <v>-40</v>
      </c>
      <c r="M83">
        <v>-57</v>
      </c>
      <c r="Q83">
        <v>0</v>
      </c>
      <c r="R83" t="s">
        <v>79</v>
      </c>
      <c r="W83" s="5">
        <v>3.8000000000000002E-5</v>
      </c>
      <c r="Y83" s="5">
        <v>5.3300000000000001E-5</v>
      </c>
      <c r="AA83" s="5">
        <v>1.0900000000000001E-4</v>
      </c>
      <c r="AC83" s="5">
        <v>1.8100000000000001E-4</v>
      </c>
      <c r="AE83" s="5">
        <v>2.81E-4</v>
      </c>
      <c r="AG83" s="5">
        <v>4.46E-4</v>
      </c>
      <c r="AI83" s="5">
        <v>6.1300000000000005E-4</v>
      </c>
      <c r="AK83" s="5">
        <v>7.2599999999999997E-4</v>
      </c>
      <c r="AL83" s="5">
        <v>1.1100000000000001E-3</v>
      </c>
      <c r="AV83">
        <v>1.8</v>
      </c>
      <c r="AW83">
        <v>778</v>
      </c>
      <c r="AX83">
        <v>-73</v>
      </c>
      <c r="AZ83">
        <v>4.0999999999999996</v>
      </c>
      <c r="BA83">
        <v>1005</v>
      </c>
      <c r="BB83">
        <v>-90</v>
      </c>
      <c r="BG83">
        <v>0.43</v>
      </c>
      <c r="BH83">
        <v>672</v>
      </c>
      <c r="BI83" t="s">
        <v>81</v>
      </c>
      <c r="BM83">
        <v>1.42</v>
      </c>
      <c r="BN83">
        <v>257</v>
      </c>
      <c r="BO83">
        <f t="shared" si="3"/>
        <v>364.94</v>
      </c>
      <c r="BP83" t="s">
        <v>82</v>
      </c>
      <c r="BQ83" t="s">
        <v>83</v>
      </c>
      <c r="BR83">
        <v>60</v>
      </c>
      <c r="BS83">
        <v>40</v>
      </c>
      <c r="BT83" t="s">
        <v>84</v>
      </c>
      <c r="BU83" t="s">
        <v>140</v>
      </c>
      <c r="BV83" t="s">
        <v>141</v>
      </c>
      <c r="BW83" t="s">
        <v>142</v>
      </c>
    </row>
    <row r="84" spans="1:75" x14ac:dyDescent="0.75">
      <c r="B84" t="s">
        <v>134</v>
      </c>
      <c r="C84" t="s">
        <v>135</v>
      </c>
      <c r="D84" t="s">
        <v>136</v>
      </c>
      <c r="E84" t="s">
        <v>137</v>
      </c>
      <c r="F84">
        <v>80</v>
      </c>
      <c r="G84">
        <v>1</v>
      </c>
      <c r="H84" t="s">
        <v>78</v>
      </c>
      <c r="J84" s="4"/>
      <c r="K84">
        <v>36</v>
      </c>
      <c r="L84">
        <v>-36</v>
      </c>
      <c r="M84">
        <v>-57</v>
      </c>
      <c r="Q84">
        <v>0</v>
      </c>
      <c r="R84" t="s">
        <v>79</v>
      </c>
      <c r="W84" s="5">
        <v>4.1900000000000002E-5</v>
      </c>
      <c r="Y84" s="5">
        <v>5.9899999999999999E-5</v>
      </c>
      <c r="AA84" s="5">
        <v>1.15E-4</v>
      </c>
      <c r="AC84" s="5">
        <v>1.9900000000000001E-4</v>
      </c>
      <c r="AE84" s="5">
        <v>3.2499999999999999E-4</v>
      </c>
      <c r="AG84" s="5">
        <v>4.8099999999999998E-4</v>
      </c>
      <c r="AI84" s="5">
        <v>6.87E-4</v>
      </c>
      <c r="AK84" s="5">
        <v>9.4499999999999998E-4</v>
      </c>
      <c r="AL84" s="5">
        <v>1.23E-3</v>
      </c>
      <c r="AO84">
        <v>0.66</v>
      </c>
      <c r="AP84">
        <v>60</v>
      </c>
      <c r="AQ84" t="s">
        <v>144</v>
      </c>
      <c r="AV84">
        <v>4.4000000000000004</v>
      </c>
      <c r="AW84">
        <v>971</v>
      </c>
      <c r="AX84">
        <v>-86</v>
      </c>
      <c r="AZ84">
        <v>4.3</v>
      </c>
      <c r="BA84">
        <v>967</v>
      </c>
      <c r="BB84">
        <v>-86</v>
      </c>
      <c r="BG84">
        <v>0.43</v>
      </c>
      <c r="BH84">
        <v>1015</v>
      </c>
      <c r="BI84" t="s">
        <v>81</v>
      </c>
      <c r="BM84">
        <v>1.42</v>
      </c>
      <c r="BN84">
        <v>257</v>
      </c>
      <c r="BO84">
        <f t="shared" si="3"/>
        <v>364.94</v>
      </c>
      <c r="BP84" t="s">
        <v>82</v>
      </c>
      <c r="BQ84" t="s">
        <v>83</v>
      </c>
      <c r="BR84">
        <v>60</v>
      </c>
      <c r="BS84">
        <v>40</v>
      </c>
      <c r="BT84" t="s">
        <v>84</v>
      </c>
      <c r="BU84" t="s">
        <v>140</v>
      </c>
      <c r="BV84" t="s">
        <v>141</v>
      </c>
      <c r="BW84" t="s">
        <v>142</v>
      </c>
    </row>
    <row r="85" spans="1:75" x14ac:dyDescent="0.75">
      <c r="B85" t="s">
        <v>134</v>
      </c>
      <c r="C85" t="s">
        <v>135</v>
      </c>
      <c r="D85" t="s">
        <v>136</v>
      </c>
      <c r="E85" t="s">
        <v>137</v>
      </c>
      <c r="F85">
        <v>80</v>
      </c>
      <c r="G85">
        <v>1</v>
      </c>
      <c r="H85" t="s">
        <v>78</v>
      </c>
      <c r="J85" s="4"/>
      <c r="K85">
        <v>44</v>
      </c>
      <c r="L85">
        <v>-38</v>
      </c>
      <c r="M85">
        <v>-57</v>
      </c>
      <c r="Q85">
        <v>0</v>
      </c>
      <c r="R85" t="s">
        <v>79</v>
      </c>
      <c r="W85" s="5">
        <v>1.2E-5</v>
      </c>
      <c r="AE85" s="5">
        <v>9.5000000000000005E-5</v>
      </c>
      <c r="AL85" s="5">
        <v>5.8799999999999998E-4</v>
      </c>
      <c r="BM85">
        <v>1.42</v>
      </c>
      <c r="BN85">
        <v>257</v>
      </c>
      <c r="BO85">
        <f t="shared" si="3"/>
        <v>364.94</v>
      </c>
      <c r="BP85" t="s">
        <v>82</v>
      </c>
      <c r="BQ85" t="s">
        <v>83</v>
      </c>
      <c r="BR85">
        <v>60</v>
      </c>
      <c r="BS85">
        <v>40</v>
      </c>
      <c r="BT85" t="s">
        <v>84</v>
      </c>
      <c r="BU85" t="s">
        <v>140</v>
      </c>
      <c r="BV85" t="s">
        <v>141</v>
      </c>
      <c r="BW85" t="s">
        <v>142</v>
      </c>
    </row>
    <row r="86" spans="1:75" x14ac:dyDescent="0.75">
      <c r="B86" t="s">
        <v>134</v>
      </c>
      <c r="C86" t="s">
        <v>135</v>
      </c>
      <c r="D86" t="s">
        <v>136</v>
      </c>
      <c r="E86" t="s">
        <v>137</v>
      </c>
      <c r="F86">
        <v>70</v>
      </c>
      <c r="G86">
        <v>1</v>
      </c>
      <c r="H86" t="s">
        <v>78</v>
      </c>
      <c r="J86" s="4"/>
      <c r="K86">
        <v>28</v>
      </c>
      <c r="Q86">
        <v>0</v>
      </c>
      <c r="R86" t="s">
        <v>79</v>
      </c>
      <c r="W86" s="5">
        <v>5.6899999999999997E-6</v>
      </c>
      <c r="Y86" s="5">
        <v>8.9299999999999992E-6</v>
      </c>
      <c r="AA86" s="5">
        <v>2.12E-5</v>
      </c>
      <c r="AC86" s="5">
        <v>4.1699999999999997E-5</v>
      </c>
      <c r="AE86" s="5">
        <v>6.9300000000000004E-5</v>
      </c>
      <c r="AG86" s="5">
        <v>1.11E-4</v>
      </c>
      <c r="AI86" s="5">
        <v>1.6100000000000001E-4</v>
      </c>
      <c r="AK86" s="5">
        <v>2.4000000000000001E-4</v>
      </c>
      <c r="AL86" s="5">
        <v>3.6200000000000002E-4</v>
      </c>
      <c r="AV86">
        <v>1.5</v>
      </c>
      <c r="AW86">
        <v>929</v>
      </c>
      <c r="AX86">
        <v>-72</v>
      </c>
      <c r="AY86" t="s">
        <v>138</v>
      </c>
      <c r="BG86">
        <v>0.52</v>
      </c>
      <c r="BH86">
        <v>4373</v>
      </c>
      <c r="BI86" t="s">
        <v>81</v>
      </c>
      <c r="BM86">
        <v>1.35</v>
      </c>
      <c r="BN86">
        <v>246</v>
      </c>
      <c r="BO86">
        <f t="shared" si="3"/>
        <v>332.1</v>
      </c>
      <c r="BP86" t="s">
        <v>82</v>
      </c>
      <c r="BQ86" t="s">
        <v>83</v>
      </c>
      <c r="BR86">
        <v>60</v>
      </c>
      <c r="BS86">
        <v>40</v>
      </c>
      <c r="BT86" t="s">
        <v>84</v>
      </c>
      <c r="BU86" t="s">
        <v>140</v>
      </c>
      <c r="BV86" t="s">
        <v>141</v>
      </c>
      <c r="BW86" t="s">
        <v>142</v>
      </c>
    </row>
    <row r="87" spans="1:75" x14ac:dyDescent="0.75">
      <c r="A87" s="1"/>
      <c r="B87" t="s">
        <v>134</v>
      </c>
      <c r="C87" s="1" t="s">
        <v>135</v>
      </c>
      <c r="D87" t="s">
        <v>136</v>
      </c>
      <c r="E87" t="s">
        <v>137</v>
      </c>
      <c r="F87" s="1">
        <v>70</v>
      </c>
      <c r="G87" s="1">
        <v>1</v>
      </c>
      <c r="H87" s="1" t="s">
        <v>78</v>
      </c>
      <c r="I87" s="1"/>
      <c r="J87" s="2"/>
      <c r="K87" s="1">
        <v>36</v>
      </c>
      <c r="L87" s="1"/>
      <c r="M87" s="1"/>
      <c r="N87" s="1"/>
      <c r="O87" s="1"/>
      <c r="P87" s="1"/>
      <c r="Q87" s="1">
        <v>0</v>
      </c>
      <c r="R87" s="1" t="s">
        <v>79</v>
      </c>
      <c r="S87" s="1"/>
      <c r="T87" s="1"/>
      <c r="U87" s="1"/>
      <c r="V87" s="1"/>
      <c r="W87" s="3">
        <v>5.84E-6</v>
      </c>
      <c r="X87" s="1"/>
      <c r="Y87" s="3">
        <v>9.3300000000000005E-6</v>
      </c>
      <c r="Z87" s="1"/>
      <c r="AA87" s="3">
        <v>2.26E-5</v>
      </c>
      <c r="AB87" s="1"/>
      <c r="AC87" s="3">
        <v>4.6E-5</v>
      </c>
      <c r="AD87" s="1"/>
      <c r="AE87" s="3">
        <v>8.5500000000000005E-5</v>
      </c>
      <c r="AF87" s="1"/>
      <c r="AG87" s="3">
        <v>1.45E-4</v>
      </c>
      <c r="AH87" s="1"/>
      <c r="AI87" s="3">
        <v>2.3599999999999999E-4</v>
      </c>
      <c r="AJ87" s="1"/>
      <c r="AK87" s="3">
        <v>3.5599999999999998E-4</v>
      </c>
      <c r="AL87" s="3">
        <v>4.8099999999999998E-4</v>
      </c>
      <c r="AM87" s="1"/>
      <c r="AN87" s="1"/>
      <c r="AO87" s="1"/>
      <c r="AP87" s="1"/>
      <c r="AQ87" s="1"/>
      <c r="AR87" s="1"/>
      <c r="AS87" s="1"/>
      <c r="AT87" s="1"/>
      <c r="AU87" s="1"/>
      <c r="AV87" s="1">
        <v>5.0999999999999996</v>
      </c>
      <c r="AW87" s="1">
        <v>1121</v>
      </c>
      <c r="AX87" s="1">
        <v>-78</v>
      </c>
      <c r="AY87" t="s">
        <v>138</v>
      </c>
      <c r="AZ87" s="1"/>
      <c r="BA87" s="1"/>
      <c r="BB87" s="1"/>
      <c r="BC87" s="1"/>
      <c r="BD87" s="1"/>
      <c r="BE87" s="1"/>
      <c r="BF87" s="1"/>
      <c r="BG87" s="1">
        <v>0.56999999999999995</v>
      </c>
      <c r="BH87" s="1">
        <v>28522</v>
      </c>
      <c r="BI87" s="1" t="s">
        <v>81</v>
      </c>
      <c r="BJ87" s="1"/>
      <c r="BK87" s="1"/>
      <c r="BL87" s="1"/>
      <c r="BM87" s="1">
        <v>1.35</v>
      </c>
      <c r="BN87" s="1">
        <v>246</v>
      </c>
      <c r="BO87" s="1">
        <f t="shared" si="3"/>
        <v>332.1</v>
      </c>
      <c r="BP87" s="1" t="s">
        <v>82</v>
      </c>
      <c r="BQ87" s="1" t="s">
        <v>83</v>
      </c>
      <c r="BR87" s="1">
        <v>60</v>
      </c>
      <c r="BS87" s="1">
        <v>40</v>
      </c>
      <c r="BT87" s="1" t="s">
        <v>84</v>
      </c>
      <c r="BU87" s="1" t="s">
        <v>140</v>
      </c>
      <c r="BV87" t="s">
        <v>141</v>
      </c>
      <c r="BW87" t="s">
        <v>142</v>
      </c>
    </row>
    <row r="88" spans="1:75" x14ac:dyDescent="0.75">
      <c r="B88" t="s">
        <v>145</v>
      </c>
      <c r="C88" t="s">
        <v>146</v>
      </c>
      <c r="D88" t="s">
        <v>147</v>
      </c>
      <c r="E88" t="s">
        <v>147</v>
      </c>
      <c r="F88">
        <v>100</v>
      </c>
      <c r="G88">
        <v>2</v>
      </c>
      <c r="H88" t="s">
        <v>91</v>
      </c>
      <c r="I88">
        <f>1/15</f>
        <v>6.6666666666666666E-2</v>
      </c>
      <c r="J88" s="4">
        <f>I88/G88</f>
        <v>3.3333333333333333E-2</v>
      </c>
      <c r="L88" s="12">
        <v>-13.25</v>
      </c>
      <c r="M88">
        <v>-15.3</v>
      </c>
      <c r="Q88">
        <v>0</v>
      </c>
      <c r="R88" t="s">
        <v>79</v>
      </c>
      <c r="Y88" s="5">
        <v>8.9933247852596996E-7</v>
      </c>
      <c r="Z88" s="5">
        <v>1.6236797773916799E-6</v>
      </c>
      <c r="AA88" s="5">
        <v>2.7801315636907601E-6</v>
      </c>
      <c r="AB88" s="5">
        <v>4.5451958448814596E-6</v>
      </c>
      <c r="AC88" s="5">
        <v>7.1354396239471799E-6</v>
      </c>
      <c r="AD88" s="5">
        <v>1.08079478511183E-5</v>
      </c>
      <c r="AE88" s="5">
        <v>1.5859191079531899E-5</v>
      </c>
      <c r="AF88" s="5">
        <v>2.26224268661894E-5</v>
      </c>
      <c r="AG88" s="5">
        <v>3.1463844588046399E-5</v>
      </c>
      <c r="AH88" s="5">
        <v>4.2777714385364402E-5</v>
      </c>
      <c r="AI88" s="5">
        <v>5.6980821932284102E-5</v>
      </c>
      <c r="AJ88" s="5">
        <v>7.4506467503414E-5</v>
      </c>
      <c r="AK88" s="5">
        <v>9.5798286920912193E-5</v>
      </c>
      <c r="AL88">
        <v>1.514701112308E-4</v>
      </c>
      <c r="AV88" s="11">
        <v>6.3</v>
      </c>
      <c r="AW88" s="11">
        <v>1326</v>
      </c>
      <c r="AX88" s="11">
        <v>-73</v>
      </c>
      <c r="AZ88">
        <v>3.1</v>
      </c>
      <c r="BA88">
        <v>1140</v>
      </c>
      <c r="BB88">
        <v>-63.3</v>
      </c>
      <c r="BG88">
        <v>0.71</v>
      </c>
      <c r="BH88" s="5">
        <v>680000</v>
      </c>
      <c r="BI88" t="s">
        <v>81</v>
      </c>
      <c r="BN88">
        <v>2.2599999999999998</v>
      </c>
      <c r="BP88" t="s">
        <v>82</v>
      </c>
      <c r="BQ88" t="s">
        <v>148</v>
      </c>
      <c r="BR88">
        <v>100</v>
      </c>
      <c r="BS88">
        <v>72</v>
      </c>
      <c r="BT88" t="s">
        <v>149</v>
      </c>
      <c r="BU88" s="5" t="s">
        <v>150</v>
      </c>
      <c r="BV88" t="s">
        <v>151</v>
      </c>
      <c r="BW88" t="s">
        <v>656</v>
      </c>
    </row>
    <row r="89" spans="1:75" x14ac:dyDescent="0.75">
      <c r="B89" t="s">
        <v>145</v>
      </c>
      <c r="C89" t="s">
        <v>146</v>
      </c>
      <c r="D89" t="s">
        <v>147</v>
      </c>
      <c r="E89" t="s">
        <v>147</v>
      </c>
      <c r="F89">
        <v>100</v>
      </c>
      <c r="G89">
        <v>2</v>
      </c>
      <c r="H89" t="s">
        <v>91</v>
      </c>
      <c r="I89">
        <f>1/8</f>
        <v>0.125</v>
      </c>
      <c r="J89" s="4">
        <f>I89/G89</f>
        <v>6.25E-2</v>
      </c>
      <c r="L89" s="12">
        <v>-8.59</v>
      </c>
      <c r="M89">
        <v>-15.3</v>
      </c>
      <c r="Q89">
        <v>0</v>
      </c>
      <c r="R89" t="s">
        <v>79</v>
      </c>
      <c r="Y89" s="5">
        <v>1.1162366840557501E-6</v>
      </c>
      <c r="Z89" s="5">
        <v>2.20631215402078E-6</v>
      </c>
      <c r="AA89" s="5">
        <v>3.9949812991142901E-6</v>
      </c>
      <c r="AB89" s="5">
        <v>6.7319523097647604E-6</v>
      </c>
      <c r="AC89" s="5">
        <v>1.0686654603508999E-5</v>
      </c>
      <c r="AD89" s="5">
        <v>1.61354296940509E-5</v>
      </c>
      <c r="AE89" s="5">
        <v>2.3349399698488099E-5</v>
      </c>
      <c r="AF89" s="5">
        <v>3.2584016377562397E-5</v>
      </c>
      <c r="AG89" s="5">
        <v>4.4070812297236802E-5</v>
      </c>
      <c r="AH89" s="5">
        <v>5.8011495464271902E-5</v>
      </c>
      <c r="AI89" s="5">
        <v>7.4574267709633102E-5</v>
      </c>
      <c r="AJ89" s="5">
        <v>9.3892093033847595E-5</v>
      </c>
      <c r="AK89">
        <v>1.16062571014408E-4</v>
      </c>
      <c r="AL89">
        <v>1.6918269144040901E-4</v>
      </c>
      <c r="AV89">
        <v>0.49</v>
      </c>
      <c r="AW89">
        <v>695</v>
      </c>
      <c r="AX89">
        <v>-39</v>
      </c>
      <c r="AZ89">
        <v>2.2999999999999998</v>
      </c>
      <c r="BA89">
        <v>1023</v>
      </c>
      <c r="BB89">
        <v>-58.6</v>
      </c>
      <c r="BG89">
        <v>0.68</v>
      </c>
      <c r="BH89" s="5">
        <v>433000</v>
      </c>
      <c r="BI89" t="s">
        <v>81</v>
      </c>
      <c r="BN89">
        <v>2.2599999999999998</v>
      </c>
      <c r="BP89" t="s">
        <v>82</v>
      </c>
      <c r="BQ89" t="s">
        <v>148</v>
      </c>
      <c r="BR89">
        <v>100</v>
      </c>
      <c r="BS89">
        <v>72</v>
      </c>
      <c r="BT89" t="s">
        <v>149</v>
      </c>
      <c r="BU89" s="5" t="s">
        <v>150</v>
      </c>
      <c r="BV89" t="s">
        <v>151</v>
      </c>
      <c r="BW89" t="s">
        <v>656</v>
      </c>
    </row>
    <row r="90" spans="1:75" x14ac:dyDescent="0.75">
      <c r="B90" t="s">
        <v>145</v>
      </c>
      <c r="C90" t="s">
        <v>146</v>
      </c>
      <c r="D90" t="s">
        <v>147</v>
      </c>
      <c r="E90" t="s">
        <v>147</v>
      </c>
      <c r="F90">
        <v>100</v>
      </c>
      <c r="G90">
        <v>2</v>
      </c>
      <c r="H90" t="s">
        <v>91</v>
      </c>
      <c r="I90">
        <f>1/4</f>
        <v>0.25</v>
      </c>
      <c r="J90" s="4">
        <f>I90/G90</f>
        <v>0.125</v>
      </c>
      <c r="L90" s="12">
        <v>-5.8890000000000002</v>
      </c>
      <c r="M90">
        <v>-15.3</v>
      </c>
      <c r="Q90">
        <v>0</v>
      </c>
      <c r="R90" t="s">
        <v>79</v>
      </c>
      <c r="Y90" s="5">
        <v>4.8882713428746599E-7</v>
      </c>
      <c r="Z90" s="5">
        <v>1.0541460161218E-6</v>
      </c>
      <c r="AA90" s="5">
        <v>2.07526583814572E-6</v>
      </c>
      <c r="AB90" s="5">
        <v>3.7867714682781802E-6</v>
      </c>
      <c r="AC90" s="5">
        <v>6.4817860318198197E-6</v>
      </c>
      <c r="AD90" s="5">
        <v>1.0507942728960799E-5</v>
      </c>
      <c r="AE90" s="5">
        <v>1.6259686022954601E-5</v>
      </c>
      <c r="AF90" s="5">
        <v>2.4167907658765901E-5</v>
      </c>
      <c r="AG90" s="5">
        <v>3.46880176372202E-5</v>
      </c>
      <c r="AH90" s="5">
        <v>4.8287478550930003E-5</v>
      </c>
      <c r="AI90" s="5">
        <v>6.5433661036828596E-5</v>
      </c>
      <c r="AJ90" s="5">
        <v>8.6582665540256104E-5</v>
      </c>
      <c r="AK90">
        <v>1.12169541727631E-4</v>
      </c>
      <c r="AV90">
        <v>2.2000000000000002</v>
      </c>
      <c r="AW90">
        <v>935</v>
      </c>
      <c r="AX90">
        <v>-45</v>
      </c>
      <c r="AZ90">
        <v>5.7</v>
      </c>
      <c r="BA90">
        <v>1146</v>
      </c>
      <c r="BB90">
        <v>-55.9</v>
      </c>
      <c r="BG90">
        <v>0.81</v>
      </c>
      <c r="BH90" s="5">
        <v>25300000</v>
      </c>
      <c r="BI90" t="s">
        <v>81</v>
      </c>
      <c r="BN90">
        <v>2.2599999999999998</v>
      </c>
      <c r="BP90" t="s">
        <v>82</v>
      </c>
      <c r="BQ90" t="s">
        <v>148</v>
      </c>
      <c r="BR90">
        <v>100</v>
      </c>
      <c r="BS90">
        <v>72</v>
      </c>
      <c r="BT90" t="s">
        <v>149</v>
      </c>
      <c r="BU90" s="5" t="s">
        <v>150</v>
      </c>
      <c r="BV90" t="s">
        <v>151</v>
      </c>
      <c r="BW90" t="s">
        <v>656</v>
      </c>
    </row>
    <row r="91" spans="1:75" x14ac:dyDescent="0.75">
      <c r="B91" t="s">
        <v>145</v>
      </c>
      <c r="C91" t="s">
        <v>146</v>
      </c>
      <c r="D91" t="s">
        <v>147</v>
      </c>
      <c r="E91" t="s">
        <v>147</v>
      </c>
      <c r="F91">
        <v>100</v>
      </c>
      <c r="G91">
        <v>2</v>
      </c>
      <c r="H91" t="s">
        <v>91</v>
      </c>
      <c r="I91">
        <f>1/2</f>
        <v>0.5</v>
      </c>
      <c r="J91" s="4">
        <f>I91/G91</f>
        <v>0.25</v>
      </c>
      <c r="L91" s="12">
        <v>-3.5310000000000001</v>
      </c>
      <c r="M91">
        <v>-15.3</v>
      </c>
      <c r="Q91">
        <v>0</v>
      </c>
      <c r="R91" t="s">
        <v>79</v>
      </c>
      <c r="Y91" s="5">
        <v>2.3902995158675298E-7</v>
      </c>
      <c r="Z91" s="5">
        <v>5.4295641200701597E-7</v>
      </c>
      <c r="AA91" s="5">
        <v>1.12421412813435E-6</v>
      </c>
      <c r="AB91" s="5">
        <v>2.15332184302224E-6</v>
      </c>
      <c r="AC91" s="5">
        <v>3.86063964944496E-6</v>
      </c>
      <c r="AD91" s="5">
        <v>6.5408448742920198E-6</v>
      </c>
      <c r="AE91" s="5">
        <v>1.05538298340437E-5</v>
      </c>
      <c r="AF91" s="5">
        <v>1.6322036518952302E-5</v>
      </c>
      <c r="AG91" s="5">
        <v>2.4324604743026299E-5</v>
      </c>
      <c r="AH91" s="5">
        <v>3.5088948688147097E-5</v>
      </c>
      <c r="AI91" s="5">
        <v>4.9180493690488101E-5</v>
      </c>
      <c r="AJ91" s="5">
        <v>6.7191321188351402E-5</v>
      </c>
      <c r="AK91" s="5">
        <v>8.9728413142561495E-5</v>
      </c>
      <c r="AV91">
        <v>4.9000000000000004</v>
      </c>
      <c r="AW91">
        <v>1109</v>
      </c>
      <c r="AX91">
        <v>-49</v>
      </c>
      <c r="AZ91">
        <v>7.3</v>
      </c>
      <c r="BA91">
        <v>1198</v>
      </c>
      <c r="BB91">
        <v>-53.5</v>
      </c>
      <c r="BG91">
        <v>0.89</v>
      </c>
      <c r="BH91" s="5">
        <v>250000000</v>
      </c>
      <c r="BI91" t="s">
        <v>81</v>
      </c>
      <c r="BN91">
        <v>2.2599999999999998</v>
      </c>
      <c r="BP91" t="s">
        <v>82</v>
      </c>
      <c r="BQ91" t="s">
        <v>148</v>
      </c>
      <c r="BR91">
        <v>100</v>
      </c>
      <c r="BS91">
        <v>72</v>
      </c>
      <c r="BT91" t="s">
        <v>149</v>
      </c>
      <c r="BU91" s="5" t="s">
        <v>150</v>
      </c>
      <c r="BV91" t="s">
        <v>151</v>
      </c>
      <c r="BW91" t="s">
        <v>656</v>
      </c>
    </row>
    <row r="92" spans="1:75" x14ac:dyDescent="0.75">
      <c r="A92" s="1"/>
      <c r="B92" s="1" t="s">
        <v>145</v>
      </c>
      <c r="C92" s="1" t="s">
        <v>146</v>
      </c>
      <c r="D92" s="1" t="s">
        <v>147</v>
      </c>
      <c r="E92" s="1" t="s">
        <v>147</v>
      </c>
      <c r="F92" s="1">
        <v>100</v>
      </c>
      <c r="G92" s="1">
        <v>2</v>
      </c>
      <c r="H92" s="1" t="s">
        <v>91</v>
      </c>
      <c r="I92" s="1">
        <v>1</v>
      </c>
      <c r="J92" s="2">
        <f>I92/G92</f>
        <v>0.5</v>
      </c>
      <c r="K92" s="1"/>
      <c r="L92" s="13">
        <v>16.11</v>
      </c>
      <c r="M92" s="1">
        <v>-15.3</v>
      </c>
      <c r="N92" s="1"/>
      <c r="O92" s="1"/>
      <c r="P92" s="1"/>
      <c r="Q92" s="1">
        <v>0</v>
      </c>
      <c r="R92" s="1" t="s">
        <v>79</v>
      </c>
      <c r="S92" s="1"/>
      <c r="T92" s="1"/>
      <c r="U92" s="1"/>
      <c r="V92" s="1"/>
      <c r="W92" s="1"/>
      <c r="X92" s="1"/>
      <c r="Y92" s="1"/>
      <c r="Z92" s="1"/>
      <c r="AA92" s="3">
        <v>1.9434629521224099E-7</v>
      </c>
      <c r="AB92" s="3">
        <v>4.1509947007017598E-7</v>
      </c>
      <c r="AC92" s="3">
        <v>8.2201435019806901E-7</v>
      </c>
      <c r="AD92" s="3">
        <v>1.5254673466176799E-6</v>
      </c>
      <c r="AE92" s="3">
        <v>2.67628380971077E-6</v>
      </c>
      <c r="AF92" s="3">
        <v>4.4711660247710804E-6</v>
      </c>
      <c r="AG92" s="3">
        <v>7.15652053203517E-6</v>
      </c>
      <c r="AH92" s="3">
        <v>1.10303995777566E-5</v>
      </c>
      <c r="AI92" s="3">
        <v>1.6442452439701999E-5</v>
      </c>
      <c r="AJ92" s="3">
        <v>2.3791944632228599E-5</v>
      </c>
      <c r="AK92" s="3">
        <v>3.3524031673409697E-5</v>
      </c>
      <c r="AL92" s="1"/>
      <c r="AM92" s="1"/>
      <c r="AN92" s="1"/>
      <c r="AO92" s="1"/>
      <c r="AP92" s="1"/>
      <c r="AQ92" s="1"/>
      <c r="AR92" s="1"/>
      <c r="AS92" s="1"/>
      <c r="AT92" s="1"/>
      <c r="AU92" s="1"/>
      <c r="AV92" s="1">
        <v>8.8000000000000007</v>
      </c>
      <c r="AW92" s="1">
        <v>1346</v>
      </c>
      <c r="AX92" s="1">
        <v>-51</v>
      </c>
      <c r="AY92" s="1"/>
      <c r="AZ92" s="1">
        <v>1.5</v>
      </c>
      <c r="BA92" s="1">
        <v>965</v>
      </c>
      <c r="BB92" s="1">
        <v>-33.9</v>
      </c>
      <c r="BC92" s="1"/>
      <c r="BD92" s="1"/>
      <c r="BE92" s="1"/>
      <c r="BF92" s="1"/>
      <c r="BG92" s="1">
        <v>0.97</v>
      </c>
      <c r="BH92" s="3">
        <v>1300000000</v>
      </c>
      <c r="BI92" s="1" t="s">
        <v>81</v>
      </c>
      <c r="BJ92" s="1"/>
      <c r="BK92" s="1"/>
      <c r="BL92" s="1"/>
      <c r="BM92" s="1"/>
      <c r="BN92" s="1">
        <v>2.2599999999999998</v>
      </c>
      <c r="BO92" s="1"/>
      <c r="BP92" s="1" t="s">
        <v>82</v>
      </c>
      <c r="BQ92" s="1" t="s">
        <v>148</v>
      </c>
      <c r="BR92" s="1">
        <v>100</v>
      </c>
      <c r="BS92" s="1">
        <v>72</v>
      </c>
      <c r="BT92" s="1" t="s">
        <v>149</v>
      </c>
      <c r="BU92" s="3" t="s">
        <v>150</v>
      </c>
      <c r="BV92" s="1" t="s">
        <v>151</v>
      </c>
      <c r="BW92" t="s">
        <v>656</v>
      </c>
    </row>
    <row r="93" spans="1:75" x14ac:dyDescent="0.75">
      <c r="B93" t="s">
        <v>145</v>
      </c>
      <c r="C93" t="s">
        <v>152</v>
      </c>
      <c r="D93" t="s">
        <v>153</v>
      </c>
      <c r="E93" t="s">
        <v>153</v>
      </c>
      <c r="F93">
        <v>100</v>
      </c>
      <c r="G93">
        <v>2</v>
      </c>
      <c r="H93" t="s">
        <v>90</v>
      </c>
      <c r="J93" s="4"/>
      <c r="K93">
        <v>1</v>
      </c>
      <c r="L93" s="12">
        <v>-41</v>
      </c>
      <c r="M93">
        <v>-49</v>
      </c>
      <c r="N93">
        <v>55</v>
      </c>
      <c r="O93">
        <v>35</v>
      </c>
      <c r="P93">
        <v>60</v>
      </c>
      <c r="R93" t="s">
        <v>84</v>
      </c>
      <c r="Y93" s="5">
        <v>3.8531418796771301E-7</v>
      </c>
      <c r="Z93" s="5">
        <v>7.2707217780429799E-7</v>
      </c>
      <c r="AA93" s="5">
        <v>1.3444169133961099E-6</v>
      </c>
      <c r="AB93" s="5">
        <v>2.4383694587232799E-6</v>
      </c>
      <c r="AC93" s="5">
        <v>5.3487005640253399E-6</v>
      </c>
      <c r="AD93" s="5">
        <v>7.0446974233702298E-6</v>
      </c>
      <c r="AE93" s="5">
        <v>8.9617121262483503E-6</v>
      </c>
      <c r="AF93" s="5">
        <v>1.1078109662600499E-5</v>
      </c>
      <c r="AG93" s="5">
        <v>1.3370284320080199E-5</v>
      </c>
      <c r="AH93" s="5">
        <v>1.58140472972438E-5</v>
      </c>
      <c r="AI93" s="5">
        <v>1.8385618742948199E-5</v>
      </c>
      <c r="AJ93" s="5">
        <v>2.1062297676294902E-5</v>
      </c>
      <c r="AK93" s="5">
        <v>2.3822882253028399E-5</v>
      </c>
      <c r="AL93" s="5">
        <v>2.9519727246290999E-5</v>
      </c>
      <c r="AV93">
        <v>7.1999999999999998E-3</v>
      </c>
      <c r="AW93">
        <v>307.39999999999998</v>
      </c>
      <c r="AX93">
        <v>-21</v>
      </c>
      <c r="AY93">
        <v>50</v>
      </c>
      <c r="AZ93">
        <v>7.9000000000000001E-2</v>
      </c>
      <c r="BA93">
        <v>935</v>
      </c>
      <c r="BB93">
        <v>-91</v>
      </c>
      <c r="BE93">
        <v>0.82</v>
      </c>
      <c r="BF93" s="5">
        <v>21700000</v>
      </c>
      <c r="BG93">
        <v>0.33900000000000002</v>
      </c>
      <c r="BH93">
        <v>1.17</v>
      </c>
      <c r="BI93" t="s">
        <v>154</v>
      </c>
      <c r="BO93">
        <v>10</v>
      </c>
      <c r="BP93" t="s">
        <v>82</v>
      </c>
      <c r="BQ93" t="s">
        <v>83</v>
      </c>
      <c r="BR93">
        <v>80</v>
      </c>
      <c r="BS93">
        <v>48</v>
      </c>
      <c r="BT93" s="5" t="s">
        <v>84</v>
      </c>
      <c r="BV93" t="s">
        <v>155</v>
      </c>
      <c r="BW93" t="s">
        <v>657</v>
      </c>
    </row>
    <row r="94" spans="1:75" x14ac:dyDescent="0.75">
      <c r="B94" t="s">
        <v>145</v>
      </c>
      <c r="C94" t="s">
        <v>152</v>
      </c>
      <c r="D94" t="s">
        <v>153</v>
      </c>
      <c r="E94" t="s">
        <v>153</v>
      </c>
      <c r="F94">
        <v>100</v>
      </c>
      <c r="G94">
        <v>2</v>
      </c>
      <c r="H94" t="s">
        <v>90</v>
      </c>
      <c r="J94" s="4"/>
      <c r="K94">
        <v>3</v>
      </c>
      <c r="L94" s="12">
        <v>-38</v>
      </c>
      <c r="M94">
        <v>-49</v>
      </c>
      <c r="N94">
        <v>50</v>
      </c>
      <c r="O94">
        <v>35</v>
      </c>
      <c r="P94">
        <v>55</v>
      </c>
      <c r="R94" t="s">
        <v>84</v>
      </c>
      <c r="U94" s="5"/>
      <c r="Y94" s="5">
        <v>1.5028802542751701E-6</v>
      </c>
      <c r="Z94" s="5">
        <v>3.4526520334135401E-6</v>
      </c>
      <c r="AA94" s="5">
        <v>7.7240651411276004E-6</v>
      </c>
      <c r="AB94" s="5">
        <v>1.68479703664704E-5</v>
      </c>
      <c r="AC94" s="5">
        <v>4.7234826674176198E-5</v>
      </c>
      <c r="AD94" s="5">
        <v>6.0666579661280698E-5</v>
      </c>
      <c r="AE94" s="5">
        <v>7.6238155270598703E-5</v>
      </c>
      <c r="AF94" s="5">
        <v>9.3992297107347097E-5</v>
      </c>
      <c r="AG94">
        <v>1.13943223361573E-4</v>
      </c>
      <c r="AH94">
        <v>1.36079502143036E-4</v>
      </c>
      <c r="AI94">
        <v>1.6036722620750701E-4</v>
      </c>
      <c r="AJ94">
        <v>1.8675327441687299E-4</v>
      </c>
      <c r="AK94">
        <v>2.1516850706127999E-4</v>
      </c>
      <c r="AL94">
        <v>2.7774778724767998E-4</v>
      </c>
      <c r="AV94">
        <v>0.28499999999999998</v>
      </c>
      <c r="AW94">
        <v>626.6</v>
      </c>
      <c r="AX94">
        <v>-58</v>
      </c>
      <c r="AY94">
        <v>50</v>
      </c>
      <c r="AZ94">
        <v>0.84699999999999998</v>
      </c>
      <c r="BA94">
        <v>950</v>
      </c>
      <c r="BB94">
        <v>-88</v>
      </c>
      <c r="BE94">
        <v>1.1299999999999999</v>
      </c>
      <c r="BF94" s="5">
        <v>14000000000000</v>
      </c>
      <c r="BG94">
        <v>0.36</v>
      </c>
      <c r="BH94">
        <v>19.899999999999999</v>
      </c>
      <c r="BI94" t="s">
        <v>154</v>
      </c>
      <c r="BO94">
        <v>10</v>
      </c>
      <c r="BP94" t="s">
        <v>82</v>
      </c>
      <c r="BQ94" t="s">
        <v>83</v>
      </c>
      <c r="BR94">
        <v>80</v>
      </c>
      <c r="BS94">
        <v>48</v>
      </c>
      <c r="BT94" s="5" t="s">
        <v>84</v>
      </c>
      <c r="BV94" t="s">
        <v>155</v>
      </c>
      <c r="BW94" t="s">
        <v>657</v>
      </c>
    </row>
    <row r="95" spans="1:75" x14ac:dyDescent="0.75">
      <c r="B95" t="s">
        <v>145</v>
      </c>
      <c r="C95" t="s">
        <v>152</v>
      </c>
      <c r="D95" t="s">
        <v>153</v>
      </c>
      <c r="E95" t="s">
        <v>153</v>
      </c>
      <c r="F95">
        <v>100</v>
      </c>
      <c r="G95">
        <v>2</v>
      </c>
      <c r="H95" t="s">
        <v>90</v>
      </c>
      <c r="J95" s="4"/>
      <c r="K95">
        <v>5</v>
      </c>
      <c r="L95" s="12">
        <v>-33</v>
      </c>
      <c r="M95">
        <v>-49</v>
      </c>
      <c r="N95">
        <v>48</v>
      </c>
      <c r="O95">
        <v>35</v>
      </c>
      <c r="P95">
        <v>55</v>
      </c>
      <c r="R95" t="s">
        <v>84</v>
      </c>
      <c r="U95" s="5"/>
      <c r="Y95" s="5">
        <v>2.4385231446992999E-6</v>
      </c>
      <c r="Z95" s="5">
        <v>6.22439706656356E-6</v>
      </c>
      <c r="AA95" s="5">
        <v>1.54195491442533E-5</v>
      </c>
      <c r="AB95" s="5">
        <v>3.7124684462437201E-5</v>
      </c>
      <c r="AC95" s="5">
        <v>1.1604040742375501E-4</v>
      </c>
      <c r="AD95">
        <v>1.5313884226266099E-4</v>
      </c>
      <c r="AE95">
        <v>1.97175120124046E-4</v>
      </c>
      <c r="AF95">
        <v>2.4845756117417998E-4</v>
      </c>
      <c r="AG95">
        <v>3.0719454008719101E-4</v>
      </c>
      <c r="AH95">
        <v>3.7349963347338801E-4</v>
      </c>
      <c r="AI95">
        <v>4.4739907241221697E-4</v>
      </c>
      <c r="AJ95">
        <v>5.2884061215114904E-4</v>
      </c>
      <c r="AK95">
        <v>6.1770311001198795E-4</v>
      </c>
      <c r="AL95">
        <v>8.1692015979518799E-4</v>
      </c>
      <c r="AV95">
        <v>1.1087</v>
      </c>
      <c r="AW95">
        <v>659.4</v>
      </c>
      <c r="AX95">
        <v>-55</v>
      </c>
      <c r="AY95">
        <v>50</v>
      </c>
      <c r="AZ95">
        <v>3.34</v>
      </c>
      <c r="BA95">
        <v>978</v>
      </c>
      <c r="BB95">
        <v>-83</v>
      </c>
      <c r="BE95">
        <v>1.26</v>
      </c>
      <c r="BF95" s="5">
        <v>3100000000000000</v>
      </c>
      <c r="BG95">
        <v>0.39400000000000002</v>
      </c>
      <c r="BH95">
        <v>180.4</v>
      </c>
      <c r="BI95" t="s">
        <v>154</v>
      </c>
      <c r="BO95">
        <v>10</v>
      </c>
      <c r="BP95" t="s">
        <v>82</v>
      </c>
      <c r="BQ95" t="s">
        <v>83</v>
      </c>
      <c r="BR95">
        <v>80</v>
      </c>
      <c r="BS95">
        <v>48</v>
      </c>
      <c r="BT95" s="5" t="s">
        <v>84</v>
      </c>
      <c r="BV95" t="s">
        <v>155</v>
      </c>
      <c r="BW95" t="s">
        <v>657</v>
      </c>
    </row>
    <row r="96" spans="1:75" x14ac:dyDescent="0.75">
      <c r="B96" t="s">
        <v>145</v>
      </c>
      <c r="C96" t="s">
        <v>152</v>
      </c>
      <c r="D96" t="s">
        <v>153</v>
      </c>
      <c r="E96" t="s">
        <v>153</v>
      </c>
      <c r="F96">
        <v>100</v>
      </c>
      <c r="G96">
        <v>2</v>
      </c>
      <c r="H96" t="s">
        <v>90</v>
      </c>
      <c r="J96" s="4"/>
      <c r="K96">
        <v>10</v>
      </c>
      <c r="L96" s="12">
        <v>-28</v>
      </c>
      <c r="M96">
        <v>-49</v>
      </c>
      <c r="Q96">
        <v>0</v>
      </c>
      <c r="R96" t="s">
        <v>79</v>
      </c>
      <c r="U96" s="5"/>
      <c r="Y96" s="5">
        <v>2.71112623465069E-5</v>
      </c>
      <c r="Z96" s="5">
        <v>4.3018123552560998E-5</v>
      </c>
      <c r="AA96" s="5">
        <v>6.5935685719374998E-5</v>
      </c>
      <c r="AB96" s="5">
        <v>9.7987185282352499E-5</v>
      </c>
      <c r="AC96">
        <v>1.4164063555593701E-4</v>
      </c>
      <c r="AD96">
        <v>1.9970143917381401E-4</v>
      </c>
      <c r="AE96">
        <v>2.75295300125884E-4</v>
      </c>
      <c r="AF96">
        <v>3.7184253992207802E-4</v>
      </c>
      <c r="AG96">
        <v>4.9302522085999101E-4</v>
      </c>
      <c r="AH96">
        <v>6.4274864069342199E-4</v>
      </c>
      <c r="AI96">
        <v>8.2509880674434095E-4</v>
      </c>
      <c r="AJ96">
        <v>1.0442974477620299E-3</v>
      </c>
      <c r="AK96">
        <v>1.3046560034469599E-3</v>
      </c>
      <c r="AL96">
        <v>1.9662739712821998E-3</v>
      </c>
      <c r="AV96">
        <v>97</v>
      </c>
      <c r="AW96">
        <v>1532</v>
      </c>
      <c r="AX96">
        <v>-95</v>
      </c>
      <c r="AY96" t="s">
        <v>80</v>
      </c>
      <c r="AZ96">
        <v>29.2</v>
      </c>
      <c r="BA96">
        <v>1191</v>
      </c>
      <c r="BB96">
        <v>-78</v>
      </c>
      <c r="BG96" s="5">
        <v>0.62</v>
      </c>
      <c r="BH96" s="5">
        <v>569000</v>
      </c>
      <c r="BI96" t="s">
        <v>81</v>
      </c>
      <c r="BO96">
        <v>10</v>
      </c>
      <c r="BP96" t="s">
        <v>82</v>
      </c>
      <c r="BQ96" t="s">
        <v>83</v>
      </c>
      <c r="BR96">
        <v>80</v>
      </c>
      <c r="BS96">
        <v>48</v>
      </c>
      <c r="BT96" s="5" t="s">
        <v>84</v>
      </c>
      <c r="BV96" t="s">
        <v>155</v>
      </c>
      <c r="BW96" t="s">
        <v>657</v>
      </c>
    </row>
    <row r="97" spans="1:75" x14ac:dyDescent="0.75">
      <c r="B97" t="s">
        <v>145</v>
      </c>
      <c r="C97" t="s">
        <v>152</v>
      </c>
      <c r="D97" t="s">
        <v>153</v>
      </c>
      <c r="E97" t="s">
        <v>153</v>
      </c>
      <c r="F97">
        <v>100</v>
      </c>
      <c r="G97">
        <v>2</v>
      </c>
      <c r="H97" t="s">
        <v>90</v>
      </c>
      <c r="J97" s="4"/>
      <c r="K97">
        <v>15</v>
      </c>
      <c r="L97" s="12">
        <v>-18</v>
      </c>
      <c r="M97">
        <v>-49</v>
      </c>
      <c r="Q97">
        <v>0</v>
      </c>
      <c r="R97" t="s">
        <v>79</v>
      </c>
      <c r="U97" s="5"/>
      <c r="W97" s="5"/>
      <c r="Y97" s="5">
        <v>1.6603309989217601E-5</v>
      </c>
      <c r="Z97" s="5">
        <v>2.8883762755517501E-5</v>
      </c>
      <c r="AA97" s="5">
        <v>4.7936970461019403E-5</v>
      </c>
      <c r="AB97" s="5">
        <v>7.6334773264842706E-5</v>
      </c>
      <c r="AC97">
        <v>1.17193197024208E-4</v>
      </c>
      <c r="AD97">
        <v>1.7417713663519401E-4</v>
      </c>
      <c r="AE97">
        <v>2.5148550945329099E-4</v>
      </c>
      <c r="AF97">
        <v>3.5381835793111502E-4</v>
      </c>
      <c r="AG97">
        <v>4.8632832802564702E-4</v>
      </c>
      <c r="AH97">
        <v>6.5455954003045902E-4</v>
      </c>
      <c r="AI97">
        <v>8.6437713525292198E-4</v>
      </c>
      <c r="AJ97">
        <v>1.1218907828720601E-3</v>
      </c>
      <c r="AK97">
        <v>1.4333752324797401E-3</v>
      </c>
      <c r="AL97">
        <v>2.2437051714269398E-3</v>
      </c>
      <c r="AV97">
        <v>106</v>
      </c>
      <c r="AW97">
        <v>1397</v>
      </c>
      <c r="AX97">
        <v>-79</v>
      </c>
      <c r="AY97" t="s">
        <v>80</v>
      </c>
      <c r="AZ97">
        <v>43</v>
      </c>
      <c r="BA97">
        <v>1167</v>
      </c>
      <c r="BB97">
        <v>-68</v>
      </c>
      <c r="BG97">
        <v>0.72</v>
      </c>
      <c r="BH97">
        <v>14149751</v>
      </c>
      <c r="BI97" t="s">
        <v>81</v>
      </c>
      <c r="BO97">
        <v>10</v>
      </c>
      <c r="BP97" t="s">
        <v>82</v>
      </c>
      <c r="BQ97" t="s">
        <v>83</v>
      </c>
      <c r="BR97">
        <v>80</v>
      </c>
      <c r="BS97">
        <v>48</v>
      </c>
      <c r="BT97" s="5" t="s">
        <v>84</v>
      </c>
      <c r="BV97" t="s">
        <v>155</v>
      </c>
      <c r="BW97" t="s">
        <v>657</v>
      </c>
    </row>
    <row r="98" spans="1:75" x14ac:dyDescent="0.75">
      <c r="B98" t="s">
        <v>145</v>
      </c>
      <c r="C98" t="s">
        <v>152</v>
      </c>
      <c r="D98" t="s">
        <v>153</v>
      </c>
      <c r="E98" t="s">
        <v>153</v>
      </c>
      <c r="F98">
        <v>100</v>
      </c>
      <c r="G98">
        <v>2</v>
      </c>
      <c r="H98" t="s">
        <v>90</v>
      </c>
      <c r="J98" s="4"/>
      <c r="K98">
        <v>20</v>
      </c>
      <c r="L98" s="12">
        <v>-7</v>
      </c>
      <c r="M98">
        <v>-49</v>
      </c>
      <c r="Q98">
        <v>0</v>
      </c>
      <c r="R98" t="s">
        <v>79</v>
      </c>
      <c r="W98" s="5"/>
      <c r="Y98" s="5">
        <v>4.8238359945294797E-6</v>
      </c>
      <c r="Z98" s="5">
        <v>9.9717809215319906E-6</v>
      </c>
      <c r="AA98" s="5">
        <v>1.9160088515091201E-5</v>
      </c>
      <c r="AB98" s="5">
        <v>3.45779130536505E-5</v>
      </c>
      <c r="AC98" s="5">
        <v>5.9113421267041902E-5</v>
      </c>
      <c r="AD98" s="5">
        <v>9.6410666927096401E-5</v>
      </c>
      <c r="AE98">
        <v>1.5089377278753999E-4</v>
      </c>
      <c r="AF98">
        <v>2.2775719572103899E-4</v>
      </c>
      <c r="AG98">
        <v>3.32923842323272E-4</v>
      </c>
      <c r="AH98">
        <v>4.72975056513947E-4</v>
      </c>
      <c r="AI98">
        <v>6.55057937870783E-4</v>
      </c>
      <c r="AJ98">
        <v>8.8677612665069897E-4</v>
      </c>
      <c r="AK98">
        <v>1.1760702430509799E-3</v>
      </c>
      <c r="AL98">
        <v>1.9600893625181799E-3</v>
      </c>
      <c r="AV98">
        <v>100</v>
      </c>
      <c r="AW98">
        <v>1263</v>
      </c>
      <c r="AX98">
        <v>-60</v>
      </c>
      <c r="AY98" t="s">
        <v>80</v>
      </c>
      <c r="AZ98">
        <v>72</v>
      </c>
      <c r="BA98">
        <v>1188</v>
      </c>
      <c r="BB98">
        <v>-57</v>
      </c>
      <c r="BG98">
        <v>0.89</v>
      </c>
      <c r="BH98" s="5">
        <v>3150000000</v>
      </c>
      <c r="BI98" t="s">
        <v>81</v>
      </c>
      <c r="BO98">
        <v>10</v>
      </c>
      <c r="BP98" t="s">
        <v>82</v>
      </c>
      <c r="BQ98" t="s">
        <v>83</v>
      </c>
      <c r="BR98">
        <v>80</v>
      </c>
      <c r="BS98">
        <v>48</v>
      </c>
      <c r="BT98" s="5" t="s">
        <v>84</v>
      </c>
      <c r="BV98" t="s">
        <v>155</v>
      </c>
      <c r="BW98" t="s">
        <v>657</v>
      </c>
    </row>
    <row r="99" spans="1:75" x14ac:dyDescent="0.75">
      <c r="B99" t="s">
        <v>145</v>
      </c>
      <c r="C99" t="s">
        <v>152</v>
      </c>
      <c r="D99" t="s">
        <v>153</v>
      </c>
      <c r="E99" t="s">
        <v>153</v>
      </c>
      <c r="F99">
        <v>100</v>
      </c>
      <c r="G99">
        <v>2</v>
      </c>
      <c r="H99" t="s">
        <v>90</v>
      </c>
      <c r="J99" s="4"/>
      <c r="K99">
        <v>30</v>
      </c>
      <c r="L99" s="12">
        <v>-8</v>
      </c>
      <c r="M99">
        <v>-49</v>
      </c>
      <c r="Q99">
        <v>0</v>
      </c>
      <c r="R99" t="s">
        <v>79</v>
      </c>
      <c r="V99" s="5"/>
      <c r="W99" s="5"/>
      <c r="Y99" s="5">
        <v>6.8528885836135903E-7</v>
      </c>
      <c r="Z99" s="5">
        <v>1.4425109094233901E-6</v>
      </c>
      <c r="AA99" s="5">
        <v>2.92222270604881E-6</v>
      </c>
      <c r="AB99" s="5">
        <v>5.7135222852687804E-6</v>
      </c>
      <c r="AC99" s="5">
        <v>1.0809786769709E-5</v>
      </c>
      <c r="AD99" s="5">
        <v>1.9836820028945699E-5</v>
      </c>
      <c r="AE99" s="5">
        <v>3.5382883134259198E-5</v>
      </c>
      <c r="AF99" s="5">
        <v>6.14640596630657E-5</v>
      </c>
      <c r="AG99">
        <v>1.04165079716619E-4</v>
      </c>
      <c r="AH99">
        <v>1.7250252938909801E-4</v>
      </c>
      <c r="AI99">
        <v>2.7956401731180297E-4</v>
      </c>
      <c r="AJ99">
        <v>4.43983042297515E-4</v>
      </c>
      <c r="AK99" s="1">
        <v>6.9181468425726805E-4</v>
      </c>
      <c r="AL99">
        <v>1.5936620076205199E-3</v>
      </c>
      <c r="AV99" s="5">
        <v>34100000</v>
      </c>
      <c r="AW99">
        <v>5323</v>
      </c>
      <c r="AX99">
        <v>-156</v>
      </c>
      <c r="AY99" t="s">
        <v>80</v>
      </c>
      <c r="AZ99">
        <v>225</v>
      </c>
      <c r="BA99">
        <v>1471</v>
      </c>
      <c r="BB99">
        <v>-58</v>
      </c>
      <c r="BG99">
        <v>1.1000000000000001</v>
      </c>
      <c r="BH99" s="5">
        <v>1310000000000</v>
      </c>
      <c r="BI99" t="s">
        <v>81</v>
      </c>
      <c r="BO99">
        <v>10</v>
      </c>
      <c r="BP99" t="s">
        <v>82</v>
      </c>
      <c r="BQ99" t="s">
        <v>83</v>
      </c>
      <c r="BR99">
        <v>80</v>
      </c>
      <c r="BS99">
        <v>48</v>
      </c>
      <c r="BT99" s="5" t="s">
        <v>84</v>
      </c>
      <c r="BV99" t="s">
        <v>155</v>
      </c>
      <c r="BW99" t="s">
        <v>657</v>
      </c>
    </row>
    <row r="100" spans="1:75" x14ac:dyDescent="0.75">
      <c r="B100" t="s">
        <v>145</v>
      </c>
      <c r="C100" t="s">
        <v>156</v>
      </c>
      <c r="D100" t="s">
        <v>157</v>
      </c>
      <c r="E100" t="s">
        <v>157</v>
      </c>
      <c r="F100">
        <v>100</v>
      </c>
      <c r="G100">
        <v>2</v>
      </c>
      <c r="H100" t="s">
        <v>90</v>
      </c>
      <c r="J100" s="4"/>
      <c r="K100">
        <v>3</v>
      </c>
      <c r="L100" s="12">
        <v>-49</v>
      </c>
      <c r="M100">
        <v>-60</v>
      </c>
      <c r="N100">
        <v>45</v>
      </c>
      <c r="O100">
        <v>28</v>
      </c>
      <c r="P100">
        <v>60</v>
      </c>
      <c r="R100" t="s">
        <v>84</v>
      </c>
      <c r="T100" s="5"/>
      <c r="V100" s="5"/>
      <c r="W100" s="5"/>
      <c r="Y100" s="5">
        <v>1.28528676798856E-6</v>
      </c>
      <c r="Z100" s="5">
        <v>3.22371921091985E-6</v>
      </c>
      <c r="AA100" s="5">
        <v>7.8516598115632995E-6</v>
      </c>
      <c r="AB100" s="5">
        <v>1.8595767475699401E-5</v>
      </c>
      <c r="AC100" s="5">
        <v>5.4519185244711102E-5</v>
      </c>
      <c r="AD100" s="5">
        <v>6.8648486990808503E-5</v>
      </c>
      <c r="AE100" s="5">
        <v>8.4515876493768203E-5</v>
      </c>
      <c r="AF100">
        <v>1.02048448486348E-4</v>
      </c>
      <c r="AG100">
        <v>1.21154205921605E-4</v>
      </c>
      <c r="AH100">
        <v>1.4172750067942199E-4</v>
      </c>
      <c r="AI100">
        <v>1.6365372037289199E-4</v>
      </c>
      <c r="AJ100">
        <v>1.8681320383344299E-4</v>
      </c>
      <c r="AK100">
        <v>2.1108442480995799E-4</v>
      </c>
      <c r="AL100">
        <v>2.62481205053062E-4</v>
      </c>
      <c r="AV100">
        <v>0.11609999999999999</v>
      </c>
      <c r="AW100">
        <v>454.9</v>
      </c>
      <c r="AX100">
        <v>-45</v>
      </c>
      <c r="AY100">
        <v>50</v>
      </c>
      <c r="AZ100">
        <v>0.64500000000000002</v>
      </c>
      <c r="BA100">
        <v>961</v>
      </c>
      <c r="BB100">
        <v>-99</v>
      </c>
      <c r="BE100">
        <v>1.33</v>
      </c>
      <c r="BF100" s="5">
        <v>2.64E+16</v>
      </c>
      <c r="BG100">
        <v>0.316</v>
      </c>
      <c r="BH100">
        <v>5.0599999999999996</v>
      </c>
      <c r="BI100" t="s">
        <v>154</v>
      </c>
      <c r="BO100">
        <v>12</v>
      </c>
      <c r="BP100" t="s">
        <v>82</v>
      </c>
      <c r="BQ100" t="s">
        <v>83</v>
      </c>
      <c r="BR100">
        <v>80</v>
      </c>
      <c r="BS100">
        <v>48</v>
      </c>
      <c r="BT100" s="5" t="s">
        <v>84</v>
      </c>
      <c r="BV100" t="s">
        <v>155</v>
      </c>
      <c r="BW100" t="s">
        <v>657</v>
      </c>
    </row>
    <row r="101" spans="1:75" x14ac:dyDescent="0.75">
      <c r="B101" t="s">
        <v>145</v>
      </c>
      <c r="C101" t="s">
        <v>156</v>
      </c>
      <c r="D101" t="s">
        <v>157</v>
      </c>
      <c r="E101" t="s">
        <v>157</v>
      </c>
      <c r="F101">
        <v>100</v>
      </c>
      <c r="G101">
        <v>2</v>
      </c>
      <c r="H101" t="s">
        <v>90</v>
      </c>
      <c r="J101" s="4"/>
      <c r="K101">
        <v>5</v>
      </c>
      <c r="L101" s="12">
        <v>-46</v>
      </c>
      <c r="M101">
        <v>-60</v>
      </c>
      <c r="N101">
        <v>45</v>
      </c>
      <c r="O101">
        <v>20</v>
      </c>
      <c r="P101">
        <v>60</v>
      </c>
      <c r="R101" t="s">
        <v>84</v>
      </c>
      <c r="T101" s="5"/>
      <c r="V101" s="5"/>
      <c r="W101" s="5"/>
      <c r="Y101" s="5">
        <v>1.0950343952733799E-6</v>
      </c>
      <c r="Z101" s="5">
        <v>3.6178116032339401E-6</v>
      </c>
      <c r="AA101" s="5">
        <v>1.1505090153523101E-5</v>
      </c>
      <c r="AB101" s="5">
        <v>3.5281043855603498E-5</v>
      </c>
      <c r="AC101" s="5">
        <v>1.3723969722526899E-4</v>
      </c>
      <c r="AD101" s="5">
        <v>1.73388708377393E-4</v>
      </c>
      <c r="AE101" s="5">
        <v>2.1447203517506E-4</v>
      </c>
      <c r="AF101" s="5">
        <v>2.60434096487793E-4</v>
      </c>
      <c r="AG101" s="5">
        <v>3.1115829870829401E-4</v>
      </c>
      <c r="AH101" s="5">
        <v>3.6647791887492898E-4</v>
      </c>
      <c r="AI101">
        <v>4.2618644399703201E-4</v>
      </c>
      <c r="AJ101">
        <v>4.9004703730001298E-4</v>
      </c>
      <c r="AK101">
        <v>5.5780095961844298E-4</v>
      </c>
      <c r="AL101">
        <v>7.0388712968457595E-4</v>
      </c>
      <c r="AV101">
        <v>0.46510000000000001</v>
      </c>
      <c r="AW101">
        <v>542.20000000000005</v>
      </c>
      <c r="AX101">
        <v>-53</v>
      </c>
      <c r="AY101">
        <v>50</v>
      </c>
      <c r="AZ101">
        <v>1.91</v>
      </c>
      <c r="BA101">
        <v>967</v>
      </c>
      <c r="BB101">
        <v>-96</v>
      </c>
      <c r="BE101">
        <v>1.5</v>
      </c>
      <c r="BF101" s="5">
        <v>1.8E+19</v>
      </c>
      <c r="BG101">
        <v>0.33</v>
      </c>
      <c r="BH101">
        <v>20.9</v>
      </c>
      <c r="BI101" t="s">
        <v>154</v>
      </c>
      <c r="BO101">
        <v>12</v>
      </c>
      <c r="BP101" t="s">
        <v>82</v>
      </c>
      <c r="BQ101" t="s">
        <v>83</v>
      </c>
      <c r="BR101">
        <v>80</v>
      </c>
      <c r="BS101">
        <v>48</v>
      </c>
      <c r="BT101" s="5" t="s">
        <v>84</v>
      </c>
      <c r="BV101" t="s">
        <v>155</v>
      </c>
      <c r="BW101" t="s">
        <v>657</v>
      </c>
    </row>
    <row r="102" spans="1:75" x14ac:dyDescent="0.75">
      <c r="B102" t="s">
        <v>145</v>
      </c>
      <c r="C102" t="s">
        <v>156</v>
      </c>
      <c r="D102" t="s">
        <v>157</v>
      </c>
      <c r="E102" t="s">
        <v>157</v>
      </c>
      <c r="F102">
        <v>100</v>
      </c>
      <c r="G102">
        <v>2</v>
      </c>
      <c r="H102" t="s">
        <v>90</v>
      </c>
      <c r="J102" s="4"/>
      <c r="K102">
        <v>10</v>
      </c>
      <c r="L102" s="12">
        <v>-42</v>
      </c>
      <c r="M102">
        <v>-60</v>
      </c>
      <c r="N102">
        <v>30</v>
      </c>
      <c r="O102">
        <v>10</v>
      </c>
      <c r="P102">
        <v>60</v>
      </c>
      <c r="R102" t="s">
        <v>84</v>
      </c>
      <c r="T102" s="5"/>
      <c r="V102" s="5"/>
      <c r="W102" s="5"/>
      <c r="Y102" s="5">
        <v>1.9853309878465499E-6</v>
      </c>
      <c r="Z102" s="5">
        <v>6.9051114493791901E-6</v>
      </c>
      <c r="AA102" s="5">
        <v>2.3079245759486099E-5</v>
      </c>
      <c r="AB102" s="5">
        <v>7.4267826141059505E-5</v>
      </c>
      <c r="AC102">
        <v>2.1242548067753299E-4</v>
      </c>
      <c r="AD102">
        <v>2.8488746155605103E-4</v>
      </c>
      <c r="AE102">
        <v>3.7154336481909399E-4</v>
      </c>
      <c r="AF102">
        <v>4.7297640445904498E-4</v>
      </c>
      <c r="AG102">
        <v>5.8953639544172601E-4</v>
      </c>
      <c r="AH102">
        <v>7.2135653479485796E-4</v>
      </c>
      <c r="AI102">
        <v>8.6837524411624296E-4</v>
      </c>
      <c r="AJ102">
        <v>1.03036066315022E-3</v>
      </c>
      <c r="AK102">
        <v>1.20693596775916E-3</v>
      </c>
      <c r="AL102">
        <v>1.60177173928424E-3</v>
      </c>
      <c r="AV102">
        <v>1.82</v>
      </c>
      <c r="AW102">
        <v>600.6</v>
      </c>
      <c r="AX102">
        <v>-47</v>
      </c>
      <c r="AY102">
        <v>50</v>
      </c>
      <c r="AZ102">
        <v>12</v>
      </c>
      <c r="BA102">
        <v>1140</v>
      </c>
      <c r="BB102">
        <v>-92</v>
      </c>
      <c r="BE102">
        <v>1.46</v>
      </c>
      <c r="BF102" s="5">
        <v>8.6E+18</v>
      </c>
      <c r="BG102">
        <v>0.42</v>
      </c>
      <c r="BH102">
        <v>766</v>
      </c>
      <c r="BI102" t="s">
        <v>154</v>
      </c>
      <c r="BO102">
        <v>12</v>
      </c>
      <c r="BP102" t="s">
        <v>82</v>
      </c>
      <c r="BQ102" t="s">
        <v>83</v>
      </c>
      <c r="BR102">
        <v>80</v>
      </c>
      <c r="BS102">
        <v>48</v>
      </c>
      <c r="BT102" t="s">
        <v>84</v>
      </c>
      <c r="BV102" t="s">
        <v>155</v>
      </c>
      <c r="BW102" t="s">
        <v>657</v>
      </c>
    </row>
    <row r="103" spans="1:75" x14ac:dyDescent="0.75">
      <c r="B103" t="s">
        <v>145</v>
      </c>
      <c r="C103" t="s">
        <v>156</v>
      </c>
      <c r="D103" t="s">
        <v>157</v>
      </c>
      <c r="E103" t="s">
        <v>157</v>
      </c>
      <c r="F103">
        <v>100</v>
      </c>
      <c r="G103">
        <v>2</v>
      </c>
      <c r="H103" t="s">
        <v>90</v>
      </c>
      <c r="J103" s="4"/>
      <c r="K103">
        <v>20</v>
      </c>
      <c r="L103" s="12">
        <v>-32</v>
      </c>
      <c r="M103">
        <v>-60</v>
      </c>
      <c r="Q103">
        <v>0</v>
      </c>
      <c r="R103" t="s">
        <v>79</v>
      </c>
      <c r="V103" s="5"/>
      <c r="W103" s="5"/>
      <c r="Y103" s="5">
        <v>1.5262830835344398E-5</v>
      </c>
      <c r="Z103" s="5">
        <v>2.55773280830081E-5</v>
      </c>
      <c r="AA103" s="5">
        <v>4.1185084042571398E-5</v>
      </c>
      <c r="AB103" s="5">
        <v>6.4003905409102703E-5</v>
      </c>
      <c r="AC103" s="5">
        <v>9.6360622454803405E-5</v>
      </c>
      <c r="AD103">
        <v>1.4100634252043299E-4</v>
      </c>
      <c r="AE103">
        <v>2.0111977301144501E-4</v>
      </c>
      <c r="AF103">
        <v>2.8029870779985698E-4</v>
      </c>
      <c r="AG103" s="1">
        <v>3.82540388238648E-4</v>
      </c>
      <c r="AH103">
        <v>5.1221192497620895E-4</v>
      </c>
      <c r="AI103">
        <v>6.7401229297290601E-4</v>
      </c>
      <c r="AJ103">
        <v>8.7292759824411604E-4</v>
      </c>
      <c r="AK103">
        <v>1.11418137906603E-3</v>
      </c>
      <c r="AL103">
        <v>1.74546644481832E-3</v>
      </c>
      <c r="AV103">
        <v>145</v>
      </c>
      <c r="AW103">
        <v>1598</v>
      </c>
      <c r="AX103">
        <v>-91</v>
      </c>
      <c r="AY103" t="s">
        <v>80</v>
      </c>
      <c r="AZ103">
        <v>71</v>
      </c>
      <c r="BA103">
        <v>1398</v>
      </c>
      <c r="BB103">
        <v>-82</v>
      </c>
      <c r="BG103">
        <v>0.7</v>
      </c>
      <c r="BH103" s="5">
        <v>6790000</v>
      </c>
      <c r="BI103" t="s">
        <v>81</v>
      </c>
      <c r="BO103">
        <v>12</v>
      </c>
      <c r="BP103" t="s">
        <v>82</v>
      </c>
      <c r="BQ103" t="s">
        <v>83</v>
      </c>
      <c r="BR103">
        <v>80</v>
      </c>
      <c r="BS103">
        <v>48</v>
      </c>
      <c r="BT103" s="5" t="s">
        <v>84</v>
      </c>
      <c r="BV103" t="s">
        <v>155</v>
      </c>
      <c r="BW103" t="s">
        <v>657</v>
      </c>
    </row>
    <row r="104" spans="1:75" x14ac:dyDescent="0.75">
      <c r="B104" t="s">
        <v>145</v>
      </c>
      <c r="C104" t="s">
        <v>158</v>
      </c>
      <c r="D104" t="s">
        <v>159</v>
      </c>
      <c r="E104" t="s">
        <v>159</v>
      </c>
      <c r="F104">
        <v>100</v>
      </c>
      <c r="G104">
        <v>2</v>
      </c>
      <c r="H104" t="s">
        <v>90</v>
      </c>
      <c r="J104" s="4"/>
      <c r="K104">
        <v>3</v>
      </c>
      <c r="L104" s="12">
        <v>-54</v>
      </c>
      <c r="M104">
        <v>-62</v>
      </c>
      <c r="N104">
        <v>55</v>
      </c>
      <c r="O104">
        <v>35</v>
      </c>
      <c r="P104">
        <v>70</v>
      </c>
      <c r="R104" t="s">
        <v>84</v>
      </c>
      <c r="V104" s="5"/>
      <c r="W104" s="5"/>
      <c r="Y104" s="5">
        <v>5.3689680356380201E-7</v>
      </c>
      <c r="Z104" s="5">
        <v>9.6436949152799397E-7</v>
      </c>
      <c r="AA104" s="5">
        <v>1.70009706271749E-6</v>
      </c>
      <c r="AB104" s="5">
        <v>2.9441811799840301E-6</v>
      </c>
      <c r="AC104" s="5">
        <v>5.0127397569709099E-6</v>
      </c>
      <c r="AD104" s="5">
        <v>5.3530714468088598E-5</v>
      </c>
      <c r="AE104" s="5">
        <v>6.4053733018204097E-5</v>
      </c>
      <c r="AF104" s="5">
        <v>7.5188059060637497E-5</v>
      </c>
      <c r="AG104" s="5">
        <v>8.6826004005738502E-5</v>
      </c>
      <c r="AH104" s="5">
        <v>9.8866619517622002E-5</v>
      </c>
      <c r="AI104">
        <v>1.1121708049948E-4</v>
      </c>
      <c r="AJ104">
        <v>1.2379332018817201E-4</v>
      </c>
      <c r="AK104" s="1">
        <v>1.3652014579802101E-4</v>
      </c>
      <c r="AL104">
        <v>1.6216755132280201E-4</v>
      </c>
      <c r="AV104">
        <v>3.0099999999999998E-2</v>
      </c>
      <c r="AW104">
        <v>298.5</v>
      </c>
      <c r="AX104">
        <v>-32</v>
      </c>
      <c r="AY104">
        <v>55</v>
      </c>
      <c r="AZ104">
        <v>0.17499999999999999</v>
      </c>
      <c r="BA104">
        <v>818</v>
      </c>
      <c r="BB104">
        <v>-104</v>
      </c>
      <c r="BE104">
        <v>0.94</v>
      </c>
      <c r="BF104" s="5">
        <v>2550000000</v>
      </c>
      <c r="BG104">
        <v>0.24</v>
      </c>
      <c r="BH104">
        <v>0.34</v>
      </c>
      <c r="BI104" t="s">
        <v>160</v>
      </c>
      <c r="BO104">
        <v>3.8</v>
      </c>
      <c r="BP104" t="s">
        <v>82</v>
      </c>
      <c r="BQ104" t="s">
        <v>83</v>
      </c>
      <c r="BR104">
        <v>80</v>
      </c>
      <c r="BS104">
        <v>48</v>
      </c>
      <c r="BT104" s="5" t="s">
        <v>84</v>
      </c>
      <c r="BV104" t="s">
        <v>155</v>
      </c>
      <c r="BW104" t="s">
        <v>657</v>
      </c>
    </row>
    <row r="105" spans="1:75" x14ac:dyDescent="0.75">
      <c r="B105" t="s">
        <v>145</v>
      </c>
      <c r="C105" t="s">
        <v>158</v>
      </c>
      <c r="D105" t="s">
        <v>159</v>
      </c>
      <c r="E105" t="s">
        <v>159</v>
      </c>
      <c r="F105">
        <v>100</v>
      </c>
      <c r="G105">
        <v>2</v>
      </c>
      <c r="H105" t="s">
        <v>90</v>
      </c>
      <c r="J105" s="4"/>
      <c r="K105">
        <v>5</v>
      </c>
      <c r="L105" s="12">
        <v>-49</v>
      </c>
      <c r="M105">
        <v>-62</v>
      </c>
      <c r="N105">
        <v>52</v>
      </c>
      <c r="O105">
        <v>35</v>
      </c>
      <c r="P105">
        <v>70</v>
      </c>
      <c r="R105" t="s">
        <v>84</v>
      </c>
      <c r="V105" s="5"/>
      <c r="W105" s="5"/>
      <c r="Y105" s="5">
        <v>6.5375845920829098E-7</v>
      </c>
      <c r="Z105" s="5">
        <v>1.3381409476800799E-6</v>
      </c>
      <c r="AA105" s="5">
        <v>2.6770245697052799E-6</v>
      </c>
      <c r="AB105" s="5">
        <v>5.2400710709661303E-6</v>
      </c>
      <c r="AC105" s="5">
        <v>1.00460584243273E-5</v>
      </c>
      <c r="AD105" s="5">
        <v>1.3972199566445099E-4</v>
      </c>
      <c r="AE105" s="5">
        <v>1.7260820594488301E-4</v>
      </c>
      <c r="AF105" s="5">
        <v>2.0831499083783899E-4</v>
      </c>
      <c r="AG105">
        <v>2.4648719995733702E-4</v>
      </c>
      <c r="AH105">
        <v>2.8677062774539602E-4</v>
      </c>
      <c r="AI105">
        <v>3.2882273339368198E-4</v>
      </c>
      <c r="AJ105" s="1">
        <v>3.7231973661797899E-4</v>
      </c>
      <c r="AK105">
        <v>4.1696093215617101E-4</v>
      </c>
      <c r="AL105">
        <v>5.0860046655479296E-4</v>
      </c>
      <c r="AV105">
        <v>0.1211</v>
      </c>
      <c r="AW105">
        <v>322.39999999999998</v>
      </c>
      <c r="AX105">
        <v>-28</v>
      </c>
      <c r="AY105">
        <v>55</v>
      </c>
      <c r="AZ105">
        <v>0.88700000000000001</v>
      </c>
      <c r="BA105">
        <v>893</v>
      </c>
      <c r="BB105">
        <v>-99</v>
      </c>
      <c r="BE105">
        <v>1.1499999999999999</v>
      </c>
      <c r="BF105" s="5">
        <v>9700000000000</v>
      </c>
      <c r="BG105">
        <v>0.28000000000000003</v>
      </c>
      <c r="BH105">
        <v>3.7</v>
      </c>
      <c r="BI105" t="s">
        <v>160</v>
      </c>
      <c r="BO105">
        <v>3.8</v>
      </c>
      <c r="BP105" t="s">
        <v>82</v>
      </c>
      <c r="BQ105" t="s">
        <v>83</v>
      </c>
      <c r="BR105">
        <v>80</v>
      </c>
      <c r="BS105">
        <v>48</v>
      </c>
      <c r="BT105" s="5" t="s">
        <v>84</v>
      </c>
      <c r="BV105" t="s">
        <v>155</v>
      </c>
      <c r="BW105" t="s">
        <v>657</v>
      </c>
    </row>
    <row r="106" spans="1:75" x14ac:dyDescent="0.75">
      <c r="B106" t="s">
        <v>145</v>
      </c>
      <c r="C106" t="s">
        <v>158</v>
      </c>
      <c r="D106" t="s">
        <v>159</v>
      </c>
      <c r="E106" t="s">
        <v>159</v>
      </c>
      <c r="F106">
        <v>100</v>
      </c>
      <c r="G106">
        <v>2</v>
      </c>
      <c r="H106" t="s">
        <v>90</v>
      </c>
      <c r="J106" s="4"/>
      <c r="K106">
        <v>10</v>
      </c>
      <c r="L106" s="12">
        <v>-42</v>
      </c>
      <c r="M106">
        <v>-62</v>
      </c>
      <c r="N106">
        <v>50</v>
      </c>
      <c r="O106">
        <v>25</v>
      </c>
      <c r="P106">
        <v>60</v>
      </c>
      <c r="R106" t="s">
        <v>84</v>
      </c>
      <c r="V106" s="5"/>
      <c r="W106" s="5"/>
      <c r="Y106" s="5">
        <v>1.47939405444521E-6</v>
      </c>
      <c r="Z106" s="5">
        <v>2.6012428614753402E-6</v>
      </c>
      <c r="AA106" s="5">
        <v>4.4921175106435197E-6</v>
      </c>
      <c r="AB106" s="5">
        <v>7.6254153851249696E-6</v>
      </c>
      <c r="AC106" s="5">
        <v>1.27339831766684E-5</v>
      </c>
      <c r="AD106">
        <v>2.6468436676334002E-4</v>
      </c>
      <c r="AE106">
        <v>3.4439302674281398E-4</v>
      </c>
      <c r="AF106">
        <v>4.3318587730581002E-4</v>
      </c>
      <c r="AG106">
        <v>5.2990673727879001E-4</v>
      </c>
      <c r="AH106">
        <v>6.3337181016201395E-4</v>
      </c>
      <c r="AI106">
        <v>7.4242466331917302E-4</v>
      </c>
      <c r="AJ106">
        <v>8.5597181612964202E-4</v>
      </c>
      <c r="AK106">
        <v>9.7300372131972699E-4</v>
      </c>
      <c r="AL106">
        <v>1.2139587884384699E-3</v>
      </c>
      <c r="AV106">
        <v>0.2742</v>
      </c>
      <c r="AW106">
        <v>282.10000000000002</v>
      </c>
      <c r="AX106">
        <v>-14.7</v>
      </c>
      <c r="AY106">
        <v>55</v>
      </c>
      <c r="AZ106">
        <v>3.6</v>
      </c>
      <c r="BA106">
        <v>961</v>
      </c>
      <c r="BB106">
        <v>-92</v>
      </c>
      <c r="BE106">
        <v>0.91</v>
      </c>
      <c r="BF106" s="5">
        <v>1890000000</v>
      </c>
      <c r="BG106">
        <v>0.34</v>
      </c>
      <c r="BH106">
        <v>45.8</v>
      </c>
      <c r="BI106" t="s">
        <v>160</v>
      </c>
      <c r="BO106">
        <v>3.8</v>
      </c>
      <c r="BP106" t="s">
        <v>82</v>
      </c>
      <c r="BQ106" t="s">
        <v>83</v>
      </c>
      <c r="BR106">
        <v>80</v>
      </c>
      <c r="BS106">
        <v>48</v>
      </c>
      <c r="BT106" s="5" t="s">
        <v>84</v>
      </c>
      <c r="BV106" t="s">
        <v>155</v>
      </c>
      <c r="BW106" t="s">
        <v>657</v>
      </c>
    </row>
    <row r="107" spans="1:75" x14ac:dyDescent="0.75">
      <c r="B107" t="s">
        <v>145</v>
      </c>
      <c r="C107" t="s">
        <v>158</v>
      </c>
      <c r="D107" t="s">
        <v>159</v>
      </c>
      <c r="E107" t="s">
        <v>159</v>
      </c>
      <c r="F107">
        <v>100</v>
      </c>
      <c r="G107">
        <v>2</v>
      </c>
      <c r="H107" t="s">
        <v>90</v>
      </c>
      <c r="J107" s="4"/>
      <c r="K107">
        <v>20</v>
      </c>
      <c r="L107" s="12">
        <v>-37</v>
      </c>
      <c r="M107">
        <v>-62</v>
      </c>
      <c r="Q107">
        <v>0</v>
      </c>
      <c r="R107" t="s">
        <v>79</v>
      </c>
      <c r="V107" s="5"/>
      <c r="W107" s="5"/>
      <c r="Y107" s="5">
        <v>3.09498935427177E-5</v>
      </c>
      <c r="Z107" s="5">
        <v>4.9862933907325E-5</v>
      </c>
      <c r="AA107" s="5">
        <v>7.6985977279829106E-5</v>
      </c>
      <c r="AB107" s="5">
        <v>1.1452584492067E-4</v>
      </c>
      <c r="AC107" s="1">
        <v>1.64898664490662E-4</v>
      </c>
      <c r="AD107">
        <v>2.30680384738465E-4</v>
      </c>
      <c r="AE107">
        <v>3.1455302521670798E-4</v>
      </c>
      <c r="AF107">
        <v>4.1924988366092699E-4</v>
      </c>
      <c r="AG107">
        <v>5.4750238618536304E-4</v>
      </c>
      <c r="AH107">
        <v>7.0199065079395897E-4</v>
      </c>
      <c r="AI107">
        <v>8.8529922397093499E-4</v>
      </c>
      <c r="AJ107">
        <v>1.0998788950952101E-3</v>
      </c>
      <c r="AK107">
        <v>1.3480150219847601E-3</v>
      </c>
      <c r="AL107">
        <v>1.9531266078589198E-3</v>
      </c>
      <c r="AV107">
        <v>20.3</v>
      </c>
      <c r="AW107">
        <v>1092</v>
      </c>
      <c r="AX107">
        <v>-73.599999999999994</v>
      </c>
      <c r="AY107" t="s">
        <v>80</v>
      </c>
      <c r="AZ107">
        <v>53.3</v>
      </c>
      <c r="BA107">
        <v>1348</v>
      </c>
      <c r="BB107">
        <v>-87</v>
      </c>
      <c r="BG107">
        <v>0.62</v>
      </c>
      <c r="BH107" s="5">
        <v>685000</v>
      </c>
      <c r="BI107" t="s">
        <v>81</v>
      </c>
      <c r="BO107">
        <v>3.8</v>
      </c>
      <c r="BP107" t="s">
        <v>82</v>
      </c>
      <c r="BQ107" t="s">
        <v>83</v>
      </c>
      <c r="BR107">
        <v>80</v>
      </c>
      <c r="BS107">
        <v>48</v>
      </c>
      <c r="BT107" s="5" t="s">
        <v>84</v>
      </c>
      <c r="BV107" t="s">
        <v>155</v>
      </c>
      <c r="BW107" t="s">
        <v>657</v>
      </c>
    </row>
    <row r="108" spans="1:75" x14ac:dyDescent="0.75">
      <c r="B108" t="s">
        <v>145</v>
      </c>
      <c r="C108" t="s">
        <v>161</v>
      </c>
      <c r="D108" t="s">
        <v>136</v>
      </c>
      <c r="E108" t="s">
        <v>136</v>
      </c>
      <c r="F108">
        <v>100</v>
      </c>
      <c r="G108">
        <v>1</v>
      </c>
      <c r="H108" t="s">
        <v>90</v>
      </c>
      <c r="J108" s="4"/>
      <c r="K108">
        <v>3</v>
      </c>
      <c r="L108" s="12">
        <v>-55</v>
      </c>
      <c r="M108">
        <v>-65</v>
      </c>
      <c r="N108">
        <v>55</v>
      </c>
      <c r="O108">
        <v>37</v>
      </c>
      <c r="P108">
        <v>70</v>
      </c>
      <c r="R108" t="s">
        <v>84</v>
      </c>
      <c r="W108" s="5"/>
      <c r="X108" s="5"/>
      <c r="Y108" s="5">
        <v>1.06154606620525E-6</v>
      </c>
      <c r="Z108" s="5">
        <v>1.5691671546494299E-6</v>
      </c>
      <c r="AA108" s="5">
        <v>2.2907593872620901E-6</v>
      </c>
      <c r="AB108" s="3">
        <v>3.30464785352032E-6</v>
      </c>
      <c r="AC108" s="5">
        <v>4.7135278253252796E-6</v>
      </c>
      <c r="AD108" s="5">
        <v>2.04892933912167E-5</v>
      </c>
      <c r="AE108" s="5">
        <v>2.4691134595208701E-5</v>
      </c>
      <c r="AF108" s="5">
        <v>2.9245981138855001E-5</v>
      </c>
      <c r="AG108" s="3">
        <v>3.41246937602797E-5</v>
      </c>
      <c r="AH108" s="5">
        <v>3.9296717706372399E-5</v>
      </c>
      <c r="AI108" s="5">
        <v>4.4731017005503297E-5</v>
      </c>
      <c r="AJ108" s="5">
        <v>5.0396801275583499E-5</v>
      </c>
      <c r="AK108" s="5">
        <v>5.62640736053619E-5</v>
      </c>
      <c r="AL108" s="5">
        <v>6.8489327821585105E-5</v>
      </c>
      <c r="AN108" s="5"/>
      <c r="AV108">
        <v>2.35E-2</v>
      </c>
      <c r="AW108">
        <v>422.3</v>
      </c>
      <c r="AX108">
        <v>-47</v>
      </c>
      <c r="AY108">
        <v>55</v>
      </c>
      <c r="AZ108">
        <v>0.11</v>
      </c>
      <c r="BA108">
        <v>904</v>
      </c>
      <c r="BB108">
        <v>-105</v>
      </c>
      <c r="BE108">
        <v>0.63</v>
      </c>
      <c r="BF108" s="5">
        <v>30600</v>
      </c>
      <c r="BG108">
        <v>0.27</v>
      </c>
      <c r="BH108">
        <v>0.28999999999999998</v>
      </c>
      <c r="BI108" t="s">
        <v>160</v>
      </c>
      <c r="BO108">
        <v>65</v>
      </c>
      <c r="BP108" t="s">
        <v>82</v>
      </c>
      <c r="BQ108" t="s">
        <v>83</v>
      </c>
      <c r="BR108">
        <v>80</v>
      </c>
      <c r="BS108">
        <v>48</v>
      </c>
      <c r="BT108" s="5" t="s">
        <v>84</v>
      </c>
      <c r="BV108" t="s">
        <v>155</v>
      </c>
      <c r="BW108" t="s">
        <v>657</v>
      </c>
    </row>
    <row r="109" spans="1:75" x14ac:dyDescent="0.75">
      <c r="B109" t="s">
        <v>145</v>
      </c>
      <c r="C109" t="s">
        <v>161</v>
      </c>
      <c r="D109" t="s">
        <v>136</v>
      </c>
      <c r="E109" t="s">
        <v>136</v>
      </c>
      <c r="F109">
        <v>100</v>
      </c>
      <c r="G109">
        <v>1</v>
      </c>
      <c r="H109" t="s">
        <v>90</v>
      </c>
      <c r="J109" s="4"/>
      <c r="K109">
        <v>5</v>
      </c>
      <c r="L109" s="12">
        <v>-50</v>
      </c>
      <c r="M109">
        <v>-65</v>
      </c>
      <c r="N109">
        <v>53</v>
      </c>
      <c r="O109">
        <v>28</v>
      </c>
      <c r="P109">
        <v>70</v>
      </c>
      <c r="R109" t="s">
        <v>84</v>
      </c>
      <c r="W109" s="5"/>
      <c r="X109" s="5"/>
      <c r="Y109" s="14">
        <v>5.4944928664172597E-7</v>
      </c>
      <c r="Z109" s="14">
        <v>1.38426402042146E-6</v>
      </c>
      <c r="AA109" s="14">
        <v>3.3860672582224199E-6</v>
      </c>
      <c r="AB109" s="14">
        <v>8.0530749778936505E-6</v>
      </c>
      <c r="AC109" s="14">
        <v>1.8645936675000101E-5</v>
      </c>
      <c r="AD109" s="5">
        <v>9.3760800349685299E-5</v>
      </c>
      <c r="AE109">
        <v>1.11032946068511E-4</v>
      </c>
      <c r="AF109">
        <v>1.3050622974352299E-4</v>
      </c>
      <c r="AG109">
        <v>1.5232341237864699E-4</v>
      </c>
      <c r="AH109">
        <v>1.7662329532069099E-4</v>
      </c>
      <c r="AI109">
        <v>2.03539959903187E-4</v>
      </c>
      <c r="AJ109">
        <v>2.3320205171538499E-4</v>
      </c>
      <c r="AK109">
        <v>2.6573215686514698E-4</v>
      </c>
      <c r="AL109">
        <v>3.3985334754554599E-4</v>
      </c>
      <c r="AV109">
        <v>5.2500999999999998</v>
      </c>
      <c r="AW109">
        <v>1787.9</v>
      </c>
      <c r="AX109">
        <v>-167</v>
      </c>
      <c r="AY109">
        <v>55</v>
      </c>
      <c r="AZ109">
        <v>0.73</v>
      </c>
      <c r="BA109">
        <v>944</v>
      </c>
      <c r="BB109">
        <v>-100</v>
      </c>
      <c r="BE109">
        <v>0.91</v>
      </c>
      <c r="BF109" s="5">
        <v>1900000000</v>
      </c>
      <c r="BG109">
        <v>0.3</v>
      </c>
      <c r="BH109">
        <v>3.6</v>
      </c>
      <c r="BI109" t="s">
        <v>160</v>
      </c>
      <c r="BO109">
        <v>65</v>
      </c>
      <c r="BP109" t="s">
        <v>82</v>
      </c>
      <c r="BQ109" t="s">
        <v>83</v>
      </c>
      <c r="BR109">
        <v>80</v>
      </c>
      <c r="BS109">
        <v>48</v>
      </c>
      <c r="BT109" s="5" t="s">
        <v>84</v>
      </c>
      <c r="BV109" t="s">
        <v>155</v>
      </c>
      <c r="BW109" t="s">
        <v>657</v>
      </c>
    </row>
    <row r="110" spans="1:75" x14ac:dyDescent="0.75">
      <c r="B110" t="s">
        <v>145</v>
      </c>
      <c r="C110" t="s">
        <v>161</v>
      </c>
      <c r="D110" t="s">
        <v>136</v>
      </c>
      <c r="E110" t="s">
        <v>136</v>
      </c>
      <c r="F110">
        <v>100</v>
      </c>
      <c r="G110">
        <v>1</v>
      </c>
      <c r="H110" t="s">
        <v>90</v>
      </c>
      <c r="J110" s="4"/>
      <c r="K110">
        <v>10</v>
      </c>
      <c r="L110" s="12">
        <v>-46</v>
      </c>
      <c r="M110">
        <v>-65</v>
      </c>
      <c r="N110">
        <v>50</v>
      </c>
      <c r="O110">
        <v>25</v>
      </c>
      <c r="P110">
        <v>60</v>
      </c>
      <c r="R110" t="s">
        <v>84</v>
      </c>
      <c r="W110" s="5"/>
      <c r="X110" s="5"/>
      <c r="Y110" s="5">
        <v>5.6045747793888302E-6</v>
      </c>
      <c r="Z110" s="3">
        <v>8.5898835461458692E-6</v>
      </c>
      <c r="AA110" s="5">
        <v>1.2987033900193101E-5</v>
      </c>
      <c r="AB110" s="5"/>
      <c r="AC110" s="5">
        <v>1.60418558181568E-4</v>
      </c>
      <c r="AD110" s="3">
        <v>2.1005143835257201E-4</v>
      </c>
      <c r="AE110" s="5">
        <v>2.6908672012981502E-4</v>
      </c>
      <c r="AF110" s="5">
        <v>3.38101322770381E-4</v>
      </c>
      <c r="AG110" s="5">
        <v>4.1756215259556299E-4</v>
      </c>
      <c r="AH110" s="5">
        <v>5.0782539548363905E-4</v>
      </c>
      <c r="AI110" s="5">
        <v>6.0913911391181203E-4</v>
      </c>
      <c r="AJ110" s="5">
        <v>7.2164836090475603E-4</v>
      </c>
      <c r="AK110" s="5">
        <v>8.4540210209109099E-4</v>
      </c>
      <c r="AL110">
        <v>1.1264079526748601E-3</v>
      </c>
      <c r="AV110">
        <v>2.3664999999999998</v>
      </c>
      <c r="AW110">
        <v>778.5</v>
      </c>
      <c r="AX110">
        <v>-66</v>
      </c>
      <c r="AY110">
        <v>50</v>
      </c>
      <c r="AZ110">
        <v>7.96</v>
      </c>
      <c r="BA110">
        <v>1154</v>
      </c>
      <c r="BB110">
        <v>-96</v>
      </c>
      <c r="BE110">
        <v>0.69</v>
      </c>
      <c r="BF110" s="5">
        <v>1500000</v>
      </c>
      <c r="BG110">
        <v>0.4</v>
      </c>
      <c r="BH110">
        <v>312</v>
      </c>
      <c r="BI110" t="s">
        <v>154</v>
      </c>
      <c r="BO110">
        <v>65</v>
      </c>
      <c r="BP110" t="s">
        <v>82</v>
      </c>
      <c r="BQ110" t="s">
        <v>83</v>
      </c>
      <c r="BR110">
        <v>80</v>
      </c>
      <c r="BS110">
        <v>48</v>
      </c>
      <c r="BT110" s="5" t="s">
        <v>84</v>
      </c>
      <c r="BV110" t="s">
        <v>155</v>
      </c>
      <c r="BW110" t="s">
        <v>657</v>
      </c>
    </row>
    <row r="111" spans="1:75" x14ac:dyDescent="0.75">
      <c r="A111" s="1"/>
      <c r="B111" s="1" t="s">
        <v>145</v>
      </c>
      <c r="C111" s="1" t="s">
        <v>161</v>
      </c>
      <c r="D111" t="s">
        <v>136</v>
      </c>
      <c r="E111" t="s">
        <v>136</v>
      </c>
      <c r="F111" s="1">
        <v>100</v>
      </c>
      <c r="G111" s="1">
        <v>1</v>
      </c>
      <c r="H111" s="1" t="s">
        <v>90</v>
      </c>
      <c r="I111" s="1"/>
      <c r="J111" s="2"/>
      <c r="K111" s="1">
        <v>20</v>
      </c>
      <c r="L111" s="1">
        <v>-28</v>
      </c>
      <c r="M111">
        <v>-65</v>
      </c>
      <c r="N111" s="1"/>
      <c r="O111" s="1"/>
      <c r="P111" s="1"/>
      <c r="Q111" s="1">
        <v>0</v>
      </c>
      <c r="R111" s="1" t="s">
        <v>79</v>
      </c>
      <c r="S111" s="1"/>
      <c r="T111" s="1"/>
      <c r="U111" s="1"/>
      <c r="V111" s="1"/>
      <c r="W111" s="3"/>
      <c r="X111" s="3"/>
      <c r="Y111" s="3">
        <v>7.7126184205470105E-6</v>
      </c>
      <c r="Z111" s="5">
        <v>1.33427313042768E-5</v>
      </c>
      <c r="AA111" s="5">
        <v>2.2113322696352698E-5</v>
      </c>
      <c r="AB111" s="5">
        <v>3.5278982017714803E-5</v>
      </c>
      <c r="AC111" s="5">
        <v>5.4402324188565097E-5</v>
      </c>
      <c r="AD111" s="5">
        <v>8.1376118032621398E-5</v>
      </c>
      <c r="AE111" s="5">
        <v>1.18436890188735E-4</v>
      </c>
      <c r="AF111" s="5">
        <v>1.68169433006404E-4</v>
      </c>
      <c r="AG111">
        <v>2.3350218477723999E-4</v>
      </c>
      <c r="AH111">
        <v>3.1769391573668198E-4</v>
      </c>
      <c r="AI111">
        <v>4.2431252157094099E-4</v>
      </c>
      <c r="AJ111">
        <v>5.5720699028637003E-4</v>
      </c>
      <c r="AK111">
        <v>7.2047377178539797E-4</v>
      </c>
      <c r="AL111" s="1">
        <v>1.1555168412795301E-3</v>
      </c>
      <c r="AM111" s="1"/>
      <c r="AN111" s="1"/>
      <c r="AO111" s="1"/>
      <c r="AP111" s="1"/>
      <c r="AQ111" s="1"/>
      <c r="AR111" s="1"/>
      <c r="AS111" s="1"/>
      <c r="AT111" s="1"/>
      <c r="AU111" s="1"/>
      <c r="AV111" s="1">
        <v>135.5</v>
      </c>
      <c r="AW111" s="1">
        <v>1649</v>
      </c>
      <c r="AX111" s="1">
        <v>-89</v>
      </c>
      <c r="AY111" s="1" t="s">
        <v>80</v>
      </c>
      <c r="AZ111" s="1">
        <v>53</v>
      </c>
      <c r="BA111" s="1">
        <v>1392</v>
      </c>
      <c r="BB111" s="1">
        <v>-78</v>
      </c>
      <c r="BC111" s="1"/>
      <c r="BD111" s="1"/>
      <c r="BE111" s="1"/>
      <c r="BF111" s="1"/>
      <c r="BG111" s="1">
        <v>0.73</v>
      </c>
      <c r="BH111" s="3">
        <v>11000000</v>
      </c>
      <c r="BI111" s="1" t="s">
        <v>81</v>
      </c>
      <c r="BJ111" s="1"/>
      <c r="BK111" s="1"/>
      <c r="BL111" s="1"/>
      <c r="BM111" s="1"/>
      <c r="BN111" s="1"/>
      <c r="BO111" s="1">
        <v>65</v>
      </c>
      <c r="BP111" s="1" t="s">
        <v>82</v>
      </c>
      <c r="BQ111" s="1" t="s">
        <v>83</v>
      </c>
      <c r="BR111" s="1">
        <v>80</v>
      </c>
      <c r="BS111" s="1">
        <v>48</v>
      </c>
      <c r="BT111" s="3" t="s">
        <v>84</v>
      </c>
      <c r="BU111" s="1"/>
      <c r="BV111" t="s">
        <v>155</v>
      </c>
      <c r="BW111" t="s">
        <v>657</v>
      </c>
    </row>
    <row r="112" spans="1:75" x14ac:dyDescent="0.75">
      <c r="B112" t="s">
        <v>145</v>
      </c>
      <c r="C112" t="s">
        <v>162</v>
      </c>
      <c r="D112" t="s">
        <v>163</v>
      </c>
      <c r="E112" t="s">
        <v>163</v>
      </c>
      <c r="F112">
        <v>100</v>
      </c>
      <c r="G112">
        <v>2</v>
      </c>
      <c r="H112" t="s">
        <v>78</v>
      </c>
      <c r="I112">
        <v>0.02</v>
      </c>
      <c r="J112" s="4">
        <f>I112/G112</f>
        <v>0.01</v>
      </c>
      <c r="L112">
        <v>-25</v>
      </c>
      <c r="M112">
        <v>-28</v>
      </c>
      <c r="Q112">
        <v>0</v>
      </c>
      <c r="R112" t="s">
        <v>79</v>
      </c>
      <c r="W112" s="5"/>
      <c r="X112" s="5"/>
      <c r="Y112">
        <v>3.0269707821581576E-7</v>
      </c>
      <c r="Z112">
        <v>4.6980526883584437E-7</v>
      </c>
      <c r="AA112">
        <v>7.0141488795074702E-7</v>
      </c>
      <c r="AB112">
        <v>1.0122584820270267E-6</v>
      </c>
      <c r="AC112">
        <v>1.4178850149923635E-6</v>
      </c>
      <c r="AD112">
        <v>1.9343028061243339E-6</v>
      </c>
      <c r="AE112">
        <v>2.5776265234626217E-6</v>
      </c>
      <c r="AF112">
        <v>3.3637450025131983E-6</v>
      </c>
      <c r="AG112">
        <v>4.3080219355623313E-6</v>
      </c>
      <c r="AH112">
        <v>5.4250370798090673E-6</v>
      </c>
      <c r="AI112">
        <v>6.7283718579349004E-6</v>
      </c>
      <c r="AJ112">
        <v>8.2304401942179694E-6</v>
      </c>
      <c r="AK112">
        <v>9.9423631473457861E-6</v>
      </c>
      <c r="AL112">
        <v>1.4033321863733287E-5</v>
      </c>
      <c r="AV112">
        <v>0.1</v>
      </c>
      <c r="AW112">
        <v>1034</v>
      </c>
      <c r="AX112">
        <v>-75</v>
      </c>
      <c r="AY112" t="s">
        <v>164</v>
      </c>
      <c r="AZ112">
        <v>0.1</v>
      </c>
      <c r="BA112">
        <v>1034</v>
      </c>
      <c r="BB112">
        <v>-75</v>
      </c>
      <c r="BG112">
        <v>0.53</v>
      </c>
      <c r="BH112">
        <v>264</v>
      </c>
      <c r="BI112" t="s">
        <v>81</v>
      </c>
      <c r="BM112">
        <v>1.9</v>
      </c>
      <c r="BN112">
        <v>8.8000000000000007</v>
      </c>
      <c r="BO112" s="11">
        <f>BN112*BM112</f>
        <v>16.72</v>
      </c>
      <c r="BP112" t="s">
        <v>82</v>
      </c>
      <c r="BQ112" t="s">
        <v>165</v>
      </c>
      <c r="BR112">
        <v>90</v>
      </c>
      <c r="BS112">
        <v>8</v>
      </c>
      <c r="BT112" s="5" t="s">
        <v>84</v>
      </c>
      <c r="BU112" t="s">
        <v>166</v>
      </c>
      <c r="BV112" t="s">
        <v>167</v>
      </c>
      <c r="BW112" t="s">
        <v>658</v>
      </c>
    </row>
    <row r="113" spans="1:75" x14ac:dyDescent="0.75">
      <c r="A113" t="s">
        <v>162</v>
      </c>
      <c r="B113" t="s">
        <v>145</v>
      </c>
      <c r="C113" t="s">
        <v>162</v>
      </c>
      <c r="D113" t="s">
        <v>163</v>
      </c>
      <c r="E113" t="s">
        <v>163</v>
      </c>
      <c r="F113">
        <v>100</v>
      </c>
      <c r="G113">
        <v>2</v>
      </c>
      <c r="H113" t="s">
        <v>78</v>
      </c>
      <c r="I113">
        <v>0.04</v>
      </c>
      <c r="J113" s="4">
        <f t="shared" ref="J113:J143" si="4">I113/G113</f>
        <v>0.02</v>
      </c>
      <c r="L113" s="15">
        <v>24</v>
      </c>
      <c r="M113">
        <v>-28</v>
      </c>
      <c r="Q113">
        <v>0</v>
      </c>
      <c r="R113" t="s">
        <v>79</v>
      </c>
      <c r="W113" s="5"/>
      <c r="AY113" t="s">
        <v>164</v>
      </c>
      <c r="BM113">
        <v>1.9</v>
      </c>
      <c r="BN113">
        <v>8.8000000000000007</v>
      </c>
      <c r="BO113">
        <f t="shared" ref="BO113:BO143" si="5">BN113*BM113</f>
        <v>16.72</v>
      </c>
      <c r="BP113" t="s">
        <v>82</v>
      </c>
      <c r="BQ113" t="s">
        <v>165</v>
      </c>
      <c r="BR113">
        <v>90</v>
      </c>
      <c r="BS113">
        <v>8</v>
      </c>
      <c r="BT113" s="5" t="s">
        <v>84</v>
      </c>
      <c r="BU113" t="s">
        <v>166</v>
      </c>
      <c r="BV113" t="s">
        <v>167</v>
      </c>
      <c r="BW113" t="s">
        <v>658</v>
      </c>
    </row>
    <row r="114" spans="1:75" x14ac:dyDescent="0.75">
      <c r="A114" t="s">
        <v>162</v>
      </c>
      <c r="B114" t="s">
        <v>145</v>
      </c>
      <c r="C114" t="s">
        <v>162</v>
      </c>
      <c r="D114" t="s">
        <v>163</v>
      </c>
      <c r="E114" t="s">
        <v>163</v>
      </c>
      <c r="F114">
        <v>100</v>
      </c>
      <c r="G114">
        <v>2</v>
      </c>
      <c r="H114" t="s">
        <v>78</v>
      </c>
      <c r="I114">
        <v>0.08</v>
      </c>
      <c r="J114" s="4">
        <f t="shared" si="4"/>
        <v>0.04</v>
      </c>
      <c r="L114">
        <v>-21.5</v>
      </c>
      <c r="M114">
        <v>-28</v>
      </c>
      <c r="Q114">
        <v>0</v>
      </c>
      <c r="R114" t="s">
        <v>79</v>
      </c>
      <c r="W114" s="5"/>
      <c r="Y114">
        <v>1.661474432591612E-6</v>
      </c>
      <c r="Z114">
        <v>2.7037599736866263E-6</v>
      </c>
      <c r="AA114">
        <v>4.2093483894518664E-6</v>
      </c>
      <c r="AB114">
        <v>6.3054356692469579E-6</v>
      </c>
      <c r="AC114">
        <v>9.1314846895132964E-6</v>
      </c>
      <c r="AD114">
        <v>1.2836258817048282E-5</v>
      </c>
      <c r="AE114">
        <v>1.7574601395742154E-5</v>
      </c>
      <c r="AF114">
        <v>2.3504160098212516E-5</v>
      </c>
      <c r="AG114">
        <v>3.0782220774333017E-5</v>
      </c>
      <c r="AH114">
        <v>3.9562776440912024E-5</v>
      </c>
      <c r="AI114">
        <v>4.9993918625877888E-5</v>
      </c>
      <c r="AJ114">
        <v>6.2215603662690053E-5</v>
      </c>
      <c r="AK114">
        <v>7.6357817420350403E-5</v>
      </c>
      <c r="AL114">
        <v>1.1086568606351965E-4</v>
      </c>
      <c r="AV114">
        <v>1.1000000000000001</v>
      </c>
      <c r="AW114">
        <v>1070</v>
      </c>
      <c r="AX114">
        <v>-71.5</v>
      </c>
      <c r="AY114" t="s">
        <v>164</v>
      </c>
      <c r="AZ114">
        <v>1.1000000000000001</v>
      </c>
      <c r="BA114">
        <v>1070</v>
      </c>
      <c r="BB114">
        <v>-71.5</v>
      </c>
      <c r="BG114">
        <v>0.57999999999999996</v>
      </c>
      <c r="BH114" s="5">
        <v>10000</v>
      </c>
      <c r="BI114" t="s">
        <v>81</v>
      </c>
      <c r="BM114">
        <v>1.9</v>
      </c>
      <c r="BN114">
        <v>8.8000000000000007</v>
      </c>
      <c r="BO114">
        <f t="shared" si="5"/>
        <v>16.72</v>
      </c>
      <c r="BP114" t="s">
        <v>82</v>
      </c>
      <c r="BQ114" t="s">
        <v>165</v>
      </c>
      <c r="BR114">
        <v>90</v>
      </c>
      <c r="BS114">
        <v>8</v>
      </c>
      <c r="BT114" s="5" t="s">
        <v>84</v>
      </c>
      <c r="BU114" t="s">
        <v>166</v>
      </c>
      <c r="BV114" t="s">
        <v>167</v>
      </c>
      <c r="BW114" t="s">
        <v>658</v>
      </c>
    </row>
    <row r="115" spans="1:75" x14ac:dyDescent="0.75">
      <c r="A115" t="s">
        <v>162</v>
      </c>
      <c r="B115" t="s">
        <v>145</v>
      </c>
      <c r="C115" t="s">
        <v>162</v>
      </c>
      <c r="D115" t="s">
        <v>163</v>
      </c>
      <c r="E115" t="s">
        <v>163</v>
      </c>
      <c r="F115">
        <v>100</v>
      </c>
      <c r="G115">
        <v>2</v>
      </c>
      <c r="H115" t="s">
        <v>78</v>
      </c>
      <c r="I115">
        <v>0.12</v>
      </c>
      <c r="J115" s="4">
        <f t="shared" si="4"/>
        <v>0.06</v>
      </c>
      <c r="L115">
        <v>-19</v>
      </c>
      <c r="M115">
        <v>-28</v>
      </c>
      <c r="Q115">
        <v>0</v>
      </c>
      <c r="R115" t="s">
        <v>79</v>
      </c>
      <c r="W115" s="5"/>
      <c r="Y115">
        <v>1.7796666655389736E-6</v>
      </c>
      <c r="Z115">
        <v>3.0387074657916689E-6</v>
      </c>
      <c r="AA115">
        <v>4.9368946980527246E-6</v>
      </c>
      <c r="AB115">
        <v>7.6820911579575899E-6</v>
      </c>
      <c r="AC115">
        <v>1.1511529441671748E-5</v>
      </c>
      <c r="AD115">
        <v>1.6687831595503825E-5</v>
      </c>
      <c r="AE115">
        <v>2.3494025739115929E-5</v>
      </c>
      <c r="AF115">
        <v>3.2227933131149059E-5</v>
      </c>
      <c r="AG115">
        <v>4.3196278258007738E-5</v>
      </c>
      <c r="AH115">
        <v>5.6708828585157382E-5</v>
      </c>
      <c r="AI115">
        <v>7.3072811761756915E-5</v>
      </c>
      <c r="AJ115">
        <v>9.2587795680595128E-5</v>
      </c>
      <c r="AK115">
        <v>1.155411573293207E-4</v>
      </c>
      <c r="AL115">
        <v>1.7282904449791912E-4</v>
      </c>
      <c r="AV115">
        <v>2.5</v>
      </c>
      <c r="AW115">
        <v>1118.5</v>
      </c>
      <c r="AX115">
        <v>-69</v>
      </c>
      <c r="AY115" t="s">
        <v>164</v>
      </c>
      <c r="AZ115">
        <v>2.5</v>
      </c>
      <c r="BA115">
        <v>1118.5</v>
      </c>
      <c r="BB115">
        <v>-69</v>
      </c>
      <c r="BG115">
        <v>0.63</v>
      </c>
      <c r="BH115" s="5">
        <v>82000</v>
      </c>
      <c r="BI115" t="s">
        <v>81</v>
      </c>
      <c r="BM115">
        <v>1.9</v>
      </c>
      <c r="BN115">
        <v>8.8000000000000007</v>
      </c>
      <c r="BO115">
        <f t="shared" si="5"/>
        <v>16.72</v>
      </c>
      <c r="BP115" t="s">
        <v>82</v>
      </c>
      <c r="BQ115" t="s">
        <v>165</v>
      </c>
      <c r="BR115">
        <v>90</v>
      </c>
      <c r="BS115">
        <v>8</v>
      </c>
      <c r="BT115" s="5" t="s">
        <v>84</v>
      </c>
      <c r="BU115" t="s">
        <v>166</v>
      </c>
      <c r="BV115" t="s">
        <v>167</v>
      </c>
      <c r="BW115" t="s">
        <v>658</v>
      </c>
    </row>
    <row r="116" spans="1:75" x14ac:dyDescent="0.75">
      <c r="A116" t="s">
        <v>162</v>
      </c>
      <c r="B116" t="s">
        <v>145</v>
      </c>
      <c r="C116" t="s">
        <v>162</v>
      </c>
      <c r="D116" t="s">
        <v>163</v>
      </c>
      <c r="E116" t="s">
        <v>163</v>
      </c>
      <c r="F116">
        <v>100</v>
      </c>
      <c r="G116">
        <v>2</v>
      </c>
      <c r="H116" t="s">
        <v>78</v>
      </c>
      <c r="I116">
        <v>0.16</v>
      </c>
      <c r="J116" s="4">
        <f t="shared" si="4"/>
        <v>0.08</v>
      </c>
      <c r="L116">
        <v>-16</v>
      </c>
      <c r="M116">
        <v>-28</v>
      </c>
      <c r="Q116">
        <v>0</v>
      </c>
      <c r="R116" t="s">
        <v>79</v>
      </c>
      <c r="W116" s="5"/>
      <c r="Y116">
        <v>1.3050173404739431E-6</v>
      </c>
      <c r="Z116">
        <v>2.3477135034457811E-6</v>
      </c>
      <c r="AA116">
        <v>3.9933432915610754E-6</v>
      </c>
      <c r="AB116">
        <v>6.4712125214339011E-6</v>
      </c>
      <c r="AC116">
        <v>1.0053530431205137E-5</v>
      </c>
      <c r="AD116">
        <v>1.5052583312266979E-5</v>
      </c>
      <c r="AE116">
        <v>2.1816103753112156E-5</v>
      </c>
      <c r="AF116">
        <v>3.0721246604015155E-5</v>
      </c>
      <c r="AG116">
        <v>4.2167621475800365E-5</v>
      </c>
      <c r="AH116">
        <v>5.6569820850799089E-5</v>
      </c>
      <c r="AI116">
        <v>7.4349838202830796E-5</v>
      </c>
      <c r="AJ116">
        <v>9.5929706198469801E-5</v>
      </c>
      <c r="AK116">
        <v>1.2172461268634738E-4</v>
      </c>
      <c r="AL116">
        <v>1.8754952906482753E-4</v>
      </c>
      <c r="AV116">
        <v>3.8</v>
      </c>
      <c r="AW116">
        <v>1154.5999999999999</v>
      </c>
      <c r="AX116">
        <v>-66</v>
      </c>
      <c r="AY116" t="s">
        <v>164</v>
      </c>
      <c r="AZ116">
        <v>3.8</v>
      </c>
      <c r="BA116">
        <v>1154.5999999999999</v>
      </c>
      <c r="BB116">
        <v>-66</v>
      </c>
      <c r="BG116">
        <v>0.69</v>
      </c>
      <c r="BH116" s="5">
        <v>480000</v>
      </c>
      <c r="BI116" t="s">
        <v>81</v>
      </c>
      <c r="BM116">
        <v>1.9</v>
      </c>
      <c r="BN116">
        <v>8.8000000000000007</v>
      </c>
      <c r="BO116">
        <f t="shared" si="5"/>
        <v>16.72</v>
      </c>
      <c r="BP116" t="s">
        <v>82</v>
      </c>
      <c r="BQ116" t="s">
        <v>165</v>
      </c>
      <c r="BR116">
        <v>90</v>
      </c>
      <c r="BS116">
        <v>8</v>
      </c>
      <c r="BT116" s="5" t="s">
        <v>84</v>
      </c>
      <c r="BU116" t="s">
        <v>166</v>
      </c>
      <c r="BV116" t="s">
        <v>167</v>
      </c>
      <c r="BW116" t="s">
        <v>658</v>
      </c>
    </row>
    <row r="117" spans="1:75" x14ac:dyDescent="0.75">
      <c r="A117" t="s">
        <v>162</v>
      </c>
      <c r="B117" t="s">
        <v>145</v>
      </c>
      <c r="C117" t="s">
        <v>162</v>
      </c>
      <c r="D117" t="s">
        <v>163</v>
      </c>
      <c r="E117" t="s">
        <v>163</v>
      </c>
      <c r="F117">
        <v>100</v>
      </c>
      <c r="G117">
        <v>2</v>
      </c>
      <c r="H117" t="s">
        <v>78</v>
      </c>
      <c r="I117">
        <v>0.2</v>
      </c>
      <c r="J117" s="4">
        <f t="shared" si="4"/>
        <v>0.1</v>
      </c>
      <c r="L117">
        <v>-12</v>
      </c>
      <c r="M117">
        <v>-28</v>
      </c>
      <c r="Q117">
        <v>0</v>
      </c>
      <c r="R117" t="s">
        <v>79</v>
      </c>
      <c r="W117" s="5"/>
      <c r="Y117">
        <v>8.9290660137691153E-7</v>
      </c>
      <c r="Z117">
        <v>1.6462583396801562E-6</v>
      </c>
      <c r="AA117">
        <v>2.8566078452187275E-6</v>
      </c>
      <c r="AB117">
        <v>4.7050319309808653E-6</v>
      </c>
      <c r="AC117">
        <v>7.4075017503061952E-6</v>
      </c>
      <c r="AD117">
        <v>1.1212348599617824E-5</v>
      </c>
      <c r="AE117">
        <v>1.6396170210205482E-5</v>
      </c>
      <c r="AF117">
        <v>2.3258562420967108E-5</v>
      </c>
      <c r="AG117">
        <v>3.2116090673329504E-5</v>
      </c>
      <c r="AH117">
        <v>4.3295898541918562E-5</v>
      </c>
      <c r="AI117">
        <v>5.7129302506351384E-5</v>
      </c>
      <c r="AJ117">
        <v>7.3945657668221434E-5</v>
      </c>
      <c r="AK117">
        <v>9.4066709307189688E-5</v>
      </c>
      <c r="AL117">
        <v>1.4544246497969304E-4</v>
      </c>
      <c r="AV117">
        <v>2.6</v>
      </c>
      <c r="AW117">
        <v>1106.5</v>
      </c>
      <c r="AX117">
        <v>-62</v>
      </c>
      <c r="AY117" t="s">
        <v>164</v>
      </c>
      <c r="AZ117">
        <v>2.6</v>
      </c>
      <c r="BA117">
        <v>1106.5</v>
      </c>
      <c r="BB117">
        <v>-62</v>
      </c>
      <c r="BG117">
        <v>0.71</v>
      </c>
      <c r="BH117" s="5">
        <v>650000</v>
      </c>
      <c r="BI117" t="s">
        <v>81</v>
      </c>
      <c r="BM117">
        <v>1.9</v>
      </c>
      <c r="BN117">
        <v>8.8000000000000007</v>
      </c>
      <c r="BO117">
        <f t="shared" si="5"/>
        <v>16.72</v>
      </c>
      <c r="BP117" t="s">
        <v>82</v>
      </c>
      <c r="BQ117" t="s">
        <v>165</v>
      </c>
      <c r="BR117">
        <v>90</v>
      </c>
      <c r="BS117">
        <v>8</v>
      </c>
      <c r="BT117" s="5" t="s">
        <v>84</v>
      </c>
      <c r="BU117" t="s">
        <v>166</v>
      </c>
      <c r="BV117" t="s">
        <v>167</v>
      </c>
      <c r="BW117" t="s">
        <v>658</v>
      </c>
    </row>
    <row r="118" spans="1:75" x14ac:dyDescent="0.75">
      <c r="A118" t="s">
        <v>162</v>
      </c>
      <c r="B118" t="s">
        <v>145</v>
      </c>
      <c r="C118" t="s">
        <v>162</v>
      </c>
      <c r="D118" t="s">
        <v>163</v>
      </c>
      <c r="E118" t="s">
        <v>163</v>
      </c>
      <c r="F118">
        <v>100</v>
      </c>
      <c r="G118">
        <v>2</v>
      </c>
      <c r="H118" t="s">
        <v>78</v>
      </c>
      <c r="I118">
        <v>0.24</v>
      </c>
      <c r="J118" s="4">
        <f t="shared" si="4"/>
        <v>0.12</v>
      </c>
      <c r="L118" s="15">
        <v>-10</v>
      </c>
      <c r="M118">
        <v>-28</v>
      </c>
      <c r="Q118">
        <v>0</v>
      </c>
      <c r="R118" t="s">
        <v>79</v>
      </c>
      <c r="W118" s="5"/>
      <c r="AY118" t="s">
        <v>164</v>
      </c>
      <c r="BM118">
        <v>1.9</v>
      </c>
      <c r="BN118">
        <v>8.8000000000000007</v>
      </c>
      <c r="BO118">
        <f t="shared" si="5"/>
        <v>16.72</v>
      </c>
      <c r="BP118" t="s">
        <v>82</v>
      </c>
      <c r="BQ118" t="s">
        <v>165</v>
      </c>
      <c r="BR118">
        <v>90</v>
      </c>
      <c r="BS118">
        <v>8</v>
      </c>
      <c r="BT118" s="5" t="s">
        <v>84</v>
      </c>
      <c r="BU118" t="s">
        <v>166</v>
      </c>
      <c r="BV118" t="s">
        <v>167</v>
      </c>
      <c r="BW118" t="s">
        <v>658</v>
      </c>
    </row>
    <row r="119" spans="1:75" x14ac:dyDescent="0.75">
      <c r="A119" t="s">
        <v>162</v>
      </c>
      <c r="B119" t="s">
        <v>145</v>
      </c>
      <c r="C119" t="s">
        <v>162</v>
      </c>
      <c r="D119" t="s">
        <v>163</v>
      </c>
      <c r="E119" t="s">
        <v>163</v>
      </c>
      <c r="F119">
        <v>100</v>
      </c>
      <c r="G119">
        <v>2</v>
      </c>
      <c r="H119" t="s">
        <v>78</v>
      </c>
      <c r="I119">
        <v>0.28000000000000003</v>
      </c>
      <c r="J119" s="4">
        <f t="shared" si="4"/>
        <v>0.14000000000000001</v>
      </c>
      <c r="L119">
        <v>-9.5</v>
      </c>
      <c r="M119">
        <v>-28</v>
      </c>
      <c r="Q119">
        <v>0</v>
      </c>
      <c r="R119" t="s">
        <v>79</v>
      </c>
      <c r="Y119">
        <v>6.7531940174890713E-7</v>
      </c>
      <c r="Z119">
        <v>1.3068315132448147E-6</v>
      </c>
      <c r="AA119">
        <v>2.364912191513727E-6</v>
      </c>
      <c r="AB119">
        <v>4.0409275767360901E-6</v>
      </c>
      <c r="AC119">
        <v>6.5711076095186057E-6</v>
      </c>
      <c r="AD119">
        <v>1.0235537390330343E-5</v>
      </c>
      <c r="AE119">
        <v>1.5354924415745007E-5</v>
      </c>
      <c r="AF119">
        <v>2.2285497310388814E-5</v>
      </c>
      <c r="AG119">
        <v>3.1412493889329231E-5</v>
      </c>
      <c r="AH119">
        <v>4.3142729305624086E-5</v>
      </c>
      <c r="AI119">
        <v>5.7896715034102609E-5</v>
      </c>
      <c r="AJ119">
        <v>7.6100744322266046E-5</v>
      </c>
      <c r="AK119">
        <v>9.8179285454582684E-5</v>
      </c>
      <c r="AL119">
        <v>1.5560717121317722E-4</v>
      </c>
      <c r="AV119">
        <v>3.6</v>
      </c>
      <c r="AW119">
        <v>1130.5999999999999</v>
      </c>
      <c r="AX119">
        <v>-59.5</v>
      </c>
      <c r="AY119" t="s">
        <v>164</v>
      </c>
      <c r="AZ119">
        <v>3.6</v>
      </c>
      <c r="BA119">
        <v>1130.5999999999999</v>
      </c>
      <c r="BB119">
        <v>-59.5</v>
      </c>
      <c r="BG119">
        <v>0.75</v>
      </c>
      <c r="BH119" s="5">
        <v>3100000</v>
      </c>
      <c r="BI119" t="s">
        <v>81</v>
      </c>
      <c r="BM119">
        <v>1.9</v>
      </c>
      <c r="BN119">
        <v>8.8000000000000007</v>
      </c>
      <c r="BO119">
        <f t="shared" si="5"/>
        <v>16.72</v>
      </c>
      <c r="BP119" t="s">
        <v>82</v>
      </c>
      <c r="BQ119" t="s">
        <v>165</v>
      </c>
      <c r="BR119">
        <v>90</v>
      </c>
      <c r="BS119">
        <v>8</v>
      </c>
      <c r="BT119" s="5" t="s">
        <v>84</v>
      </c>
      <c r="BU119" t="s">
        <v>166</v>
      </c>
      <c r="BV119" t="s">
        <v>167</v>
      </c>
      <c r="BW119" t="s">
        <v>658</v>
      </c>
    </row>
    <row r="120" spans="1:75" x14ac:dyDescent="0.75">
      <c r="A120" t="s">
        <v>168</v>
      </c>
      <c r="B120" t="s">
        <v>169</v>
      </c>
      <c r="C120" t="s">
        <v>168</v>
      </c>
      <c r="D120" t="s">
        <v>170</v>
      </c>
      <c r="E120" t="s">
        <v>170</v>
      </c>
      <c r="F120">
        <v>100</v>
      </c>
      <c r="G120">
        <v>3</v>
      </c>
      <c r="H120" t="s">
        <v>78</v>
      </c>
      <c r="I120">
        <v>0.02</v>
      </c>
      <c r="J120" s="4">
        <f t="shared" si="4"/>
        <v>6.6666666666666671E-3</v>
      </c>
      <c r="L120">
        <v>14</v>
      </c>
      <c r="M120">
        <v>12</v>
      </c>
      <c r="Q120">
        <v>0</v>
      </c>
      <c r="R120" t="s">
        <v>79</v>
      </c>
      <c r="Y120">
        <v>6.8406839121461853E-10</v>
      </c>
      <c r="Z120">
        <v>2.6785212260611817E-9</v>
      </c>
      <c r="AA120">
        <v>8.7555012453760668E-9</v>
      </c>
      <c r="AB120">
        <v>2.4705086046526507E-8</v>
      </c>
      <c r="AC120">
        <v>6.1739207658860665E-8</v>
      </c>
      <c r="AD120">
        <v>1.3941327209731007E-7</v>
      </c>
      <c r="AE120">
        <v>2.8900281167600354E-7</v>
      </c>
      <c r="AF120">
        <v>5.5702858481806702E-7</v>
      </c>
      <c r="AG120">
        <v>1.0085808925918176E-6</v>
      </c>
      <c r="AH120">
        <v>1.7301140464806621E-6</v>
      </c>
      <c r="AI120">
        <v>2.8314502474183864E-6</v>
      </c>
      <c r="AJ120">
        <v>4.4468272342120469E-6</v>
      </c>
      <c r="AK120">
        <v>6.7349252225955318E-6</v>
      </c>
      <c r="AL120">
        <v>1.4079522323663408E-5</v>
      </c>
      <c r="AV120">
        <v>3.5</v>
      </c>
      <c r="AW120">
        <v>1287</v>
      </c>
      <c r="AX120">
        <v>-36</v>
      </c>
      <c r="AY120" t="s">
        <v>164</v>
      </c>
      <c r="AZ120">
        <v>3.5</v>
      </c>
      <c r="BA120">
        <v>1287</v>
      </c>
      <c r="BB120">
        <v>-36</v>
      </c>
      <c r="BG120">
        <v>1.36</v>
      </c>
      <c r="BH120" s="5">
        <v>77800000000000</v>
      </c>
      <c r="BI120" t="s">
        <v>81</v>
      </c>
      <c r="BM120">
        <v>1.6</v>
      </c>
      <c r="BN120">
        <v>6.7</v>
      </c>
      <c r="BO120">
        <f t="shared" si="5"/>
        <v>10.72</v>
      </c>
      <c r="BP120" t="s">
        <v>82</v>
      </c>
      <c r="BQ120" t="s">
        <v>165</v>
      </c>
      <c r="BR120">
        <v>90</v>
      </c>
      <c r="BS120">
        <v>8</v>
      </c>
      <c r="BT120" s="5" t="s">
        <v>84</v>
      </c>
      <c r="BU120" t="s">
        <v>166</v>
      </c>
      <c r="BV120" t="s">
        <v>167</v>
      </c>
      <c r="BW120" t="s">
        <v>658</v>
      </c>
    </row>
    <row r="121" spans="1:75" x14ac:dyDescent="0.75">
      <c r="A121" t="s">
        <v>168</v>
      </c>
      <c r="B121" t="s">
        <v>169</v>
      </c>
      <c r="C121" t="s">
        <v>168</v>
      </c>
      <c r="D121" t="s">
        <v>170</v>
      </c>
      <c r="E121" t="s">
        <v>170</v>
      </c>
      <c r="F121">
        <v>100</v>
      </c>
      <c r="G121">
        <v>3</v>
      </c>
      <c r="H121" t="s">
        <v>78</v>
      </c>
      <c r="I121">
        <v>0.04</v>
      </c>
      <c r="J121" s="4">
        <f t="shared" si="4"/>
        <v>1.3333333333333334E-2</v>
      </c>
      <c r="L121" s="15">
        <v>15</v>
      </c>
      <c r="M121">
        <v>12</v>
      </c>
      <c r="Q121">
        <v>0</v>
      </c>
      <c r="R121" t="s">
        <v>79</v>
      </c>
      <c r="AY121" t="s">
        <v>164</v>
      </c>
      <c r="BM121">
        <v>1.6</v>
      </c>
      <c r="BN121">
        <v>6.7</v>
      </c>
      <c r="BO121">
        <f t="shared" si="5"/>
        <v>10.72</v>
      </c>
      <c r="BP121" t="s">
        <v>82</v>
      </c>
      <c r="BQ121" t="s">
        <v>165</v>
      </c>
      <c r="BR121">
        <v>90</v>
      </c>
      <c r="BS121">
        <v>8</v>
      </c>
      <c r="BT121" s="5" t="s">
        <v>84</v>
      </c>
      <c r="BU121" t="s">
        <v>166</v>
      </c>
      <c r="BV121" t="s">
        <v>167</v>
      </c>
      <c r="BW121" t="s">
        <v>658</v>
      </c>
    </row>
    <row r="122" spans="1:75" x14ac:dyDescent="0.75">
      <c r="A122" t="s">
        <v>168</v>
      </c>
      <c r="B122" t="s">
        <v>169</v>
      </c>
      <c r="C122" t="s">
        <v>168</v>
      </c>
      <c r="D122" t="s">
        <v>170</v>
      </c>
      <c r="E122" t="s">
        <v>170</v>
      </c>
      <c r="F122">
        <v>100</v>
      </c>
      <c r="G122">
        <v>3</v>
      </c>
      <c r="H122" t="s">
        <v>78</v>
      </c>
      <c r="I122">
        <v>0.08</v>
      </c>
      <c r="J122" s="4">
        <f t="shared" si="4"/>
        <v>2.6666666666666668E-2</v>
      </c>
      <c r="L122">
        <v>18.5</v>
      </c>
      <c r="M122">
        <v>12</v>
      </c>
      <c r="Q122">
        <v>0</v>
      </c>
      <c r="R122" t="s">
        <v>79</v>
      </c>
      <c r="Y122">
        <v>3.3182391179394272E-10</v>
      </c>
      <c r="Z122">
        <v>1.7083428408367382E-9</v>
      </c>
      <c r="AA122">
        <v>6.9866476624246103E-9</v>
      </c>
      <c r="AB122">
        <v>2.3746585130044671E-8</v>
      </c>
      <c r="AC122">
        <v>6.9401829808139739E-8</v>
      </c>
      <c r="AD122">
        <v>1.7904203116044064E-7</v>
      </c>
      <c r="AE122">
        <v>4.161436189312319E-7</v>
      </c>
      <c r="AF122">
        <v>8.8569213754487629E-7</v>
      </c>
      <c r="AG122">
        <v>1.7487670218493449E-6</v>
      </c>
      <c r="AH122">
        <v>3.2373245787625494E-6</v>
      </c>
      <c r="AI122">
        <v>5.6678281431707122E-6</v>
      </c>
      <c r="AJ122">
        <v>9.452500323670298E-6</v>
      </c>
      <c r="AK122">
        <v>1.5107252305885649E-5</v>
      </c>
      <c r="AL122">
        <v>3.4629092170110496E-5</v>
      </c>
      <c r="AV122">
        <v>18.8</v>
      </c>
      <c r="AW122">
        <v>1347</v>
      </c>
      <c r="AX122">
        <v>-31.5</v>
      </c>
      <c r="AY122" t="s">
        <v>164</v>
      </c>
      <c r="AZ122">
        <v>18.8</v>
      </c>
      <c r="BA122">
        <v>1347</v>
      </c>
      <c r="BB122">
        <v>-31.5</v>
      </c>
      <c r="BG122">
        <v>1.58</v>
      </c>
      <c r="BH122" s="5">
        <v>2E+17</v>
      </c>
      <c r="BI122" t="s">
        <v>81</v>
      </c>
      <c r="BM122">
        <v>1.6</v>
      </c>
      <c r="BN122">
        <v>6.7</v>
      </c>
      <c r="BO122">
        <f t="shared" si="5"/>
        <v>10.72</v>
      </c>
      <c r="BP122" t="s">
        <v>82</v>
      </c>
      <c r="BQ122" t="s">
        <v>165</v>
      </c>
      <c r="BR122">
        <v>90</v>
      </c>
      <c r="BS122">
        <v>8</v>
      </c>
      <c r="BT122" s="5" t="s">
        <v>84</v>
      </c>
      <c r="BU122" t="s">
        <v>166</v>
      </c>
      <c r="BV122" t="s">
        <v>167</v>
      </c>
      <c r="BW122" t="s">
        <v>658</v>
      </c>
    </row>
    <row r="123" spans="1:75" x14ac:dyDescent="0.75">
      <c r="A123" t="s">
        <v>168</v>
      </c>
      <c r="B123" t="s">
        <v>169</v>
      </c>
      <c r="C123" t="s">
        <v>168</v>
      </c>
      <c r="D123" t="s">
        <v>170</v>
      </c>
      <c r="E123" t="s">
        <v>170</v>
      </c>
      <c r="F123">
        <v>100</v>
      </c>
      <c r="G123">
        <v>3</v>
      </c>
      <c r="H123" t="s">
        <v>78</v>
      </c>
      <c r="I123">
        <v>0.12</v>
      </c>
      <c r="J123" s="4">
        <f t="shared" si="4"/>
        <v>0.04</v>
      </c>
      <c r="L123">
        <v>19</v>
      </c>
      <c r="M123">
        <v>12</v>
      </c>
      <c r="Q123">
        <v>0</v>
      </c>
      <c r="R123" t="s">
        <v>79</v>
      </c>
      <c r="Y123">
        <v>1.6515914926130738E-9</v>
      </c>
      <c r="Z123">
        <v>7.4052223981932892E-9</v>
      </c>
      <c r="AA123">
        <v>2.68504015691109E-8</v>
      </c>
      <c r="AB123">
        <v>8.2101674496722274E-8</v>
      </c>
      <c r="AC123">
        <v>2.1850236642935574E-7</v>
      </c>
      <c r="AD123">
        <v>5.1854663432686913E-7</v>
      </c>
      <c r="AE123">
        <v>1.118299905265686E-6</v>
      </c>
      <c r="AF123">
        <v>2.2246816069232287E-6</v>
      </c>
      <c r="AG123">
        <v>4.1317062786389372E-6</v>
      </c>
      <c r="AH123">
        <v>7.2338939026578757E-6</v>
      </c>
      <c r="AI123">
        <v>1.2035465020405582E-5</v>
      </c>
      <c r="AJ123">
        <v>1.9154493399023146E-5</v>
      </c>
      <c r="AK123">
        <v>2.9321768299889318E-5</v>
      </c>
      <c r="AL123">
        <v>6.2246382119389448E-5</v>
      </c>
      <c r="AV123">
        <v>12.8</v>
      </c>
      <c r="AW123">
        <v>1215</v>
      </c>
      <c r="AX123">
        <v>-31</v>
      </c>
      <c r="AY123" t="s">
        <v>164</v>
      </c>
      <c r="AZ123">
        <v>12.8</v>
      </c>
      <c r="BA123">
        <v>1215</v>
      </c>
      <c r="BB123">
        <v>-31</v>
      </c>
      <c r="BG123">
        <v>1.4</v>
      </c>
      <c r="BH123" s="5">
        <v>4400000000000000</v>
      </c>
      <c r="BI123" t="s">
        <v>81</v>
      </c>
      <c r="BM123">
        <v>1.6</v>
      </c>
      <c r="BN123">
        <v>6.7</v>
      </c>
      <c r="BO123">
        <f t="shared" si="5"/>
        <v>10.72</v>
      </c>
      <c r="BP123" t="s">
        <v>82</v>
      </c>
      <c r="BQ123" t="s">
        <v>165</v>
      </c>
      <c r="BR123">
        <v>90</v>
      </c>
      <c r="BS123">
        <v>8</v>
      </c>
      <c r="BT123" s="5" t="s">
        <v>84</v>
      </c>
      <c r="BU123" t="s">
        <v>166</v>
      </c>
      <c r="BV123" t="s">
        <v>167</v>
      </c>
      <c r="BW123" t="s">
        <v>658</v>
      </c>
    </row>
    <row r="124" spans="1:75" x14ac:dyDescent="0.75">
      <c r="A124" t="s">
        <v>168</v>
      </c>
      <c r="B124" t="s">
        <v>169</v>
      </c>
      <c r="C124" t="s">
        <v>168</v>
      </c>
      <c r="D124" t="s">
        <v>170</v>
      </c>
      <c r="E124" t="s">
        <v>170</v>
      </c>
      <c r="F124">
        <v>100</v>
      </c>
      <c r="G124">
        <v>3</v>
      </c>
      <c r="H124" t="s">
        <v>78</v>
      </c>
      <c r="I124">
        <v>0.16</v>
      </c>
      <c r="J124" s="4">
        <f t="shared" si="4"/>
        <v>5.3333333333333337E-2</v>
      </c>
      <c r="L124">
        <v>22</v>
      </c>
      <c r="M124">
        <v>12</v>
      </c>
      <c r="Q124">
        <v>0</v>
      </c>
      <c r="R124" t="s">
        <v>79</v>
      </c>
      <c r="Y124">
        <v>1.6304335635764769E-9</v>
      </c>
      <c r="Z124">
        <v>7.7224699348279852E-9</v>
      </c>
      <c r="AA124">
        <v>2.9067841608359519E-8</v>
      </c>
      <c r="AB124">
        <v>9.1156756400607067E-8</v>
      </c>
      <c r="AC124">
        <v>2.466832310394873E-7</v>
      </c>
      <c r="AD124">
        <v>5.9162152372615332E-7</v>
      </c>
      <c r="AE124">
        <v>1.2836567167496502E-6</v>
      </c>
      <c r="AF124">
        <v>2.5608084084702597E-6</v>
      </c>
      <c r="AG124">
        <v>4.7579268464687319E-6</v>
      </c>
      <c r="AH124">
        <v>8.3190673526407947E-6</v>
      </c>
      <c r="AI124">
        <v>1.3804390359227522E-5</v>
      </c>
      <c r="AJ124">
        <v>2.1890989455860438E-5</v>
      </c>
      <c r="AK124">
        <v>3.3367754128615993E-5</v>
      </c>
      <c r="AL124">
        <v>7.0139373943814662E-5</v>
      </c>
      <c r="AV124">
        <v>10.199999999999999</v>
      </c>
      <c r="AW124">
        <v>1142.5999999999999</v>
      </c>
      <c r="AX124">
        <v>-28</v>
      </c>
      <c r="AY124" t="s">
        <v>164</v>
      </c>
      <c r="AZ124">
        <v>10.199999999999999</v>
      </c>
      <c r="BA124">
        <v>1142.5999999999999</v>
      </c>
      <c r="BB124">
        <v>-28</v>
      </c>
      <c r="BG124">
        <v>1.46</v>
      </c>
      <c r="BH124" s="5">
        <v>8200000000000000</v>
      </c>
      <c r="BI124" t="s">
        <v>81</v>
      </c>
      <c r="BM124">
        <v>1.6</v>
      </c>
      <c r="BN124">
        <v>6.7</v>
      </c>
      <c r="BO124">
        <f t="shared" si="5"/>
        <v>10.72</v>
      </c>
      <c r="BP124" t="s">
        <v>82</v>
      </c>
      <c r="BQ124" t="s">
        <v>165</v>
      </c>
      <c r="BR124">
        <v>90</v>
      </c>
      <c r="BS124">
        <v>8</v>
      </c>
      <c r="BT124" s="5" t="s">
        <v>84</v>
      </c>
      <c r="BU124" t="s">
        <v>166</v>
      </c>
      <c r="BV124" t="s">
        <v>167</v>
      </c>
      <c r="BW124" t="s">
        <v>658</v>
      </c>
    </row>
    <row r="125" spans="1:75" x14ac:dyDescent="0.75">
      <c r="A125" t="s">
        <v>168</v>
      </c>
      <c r="B125" t="s">
        <v>169</v>
      </c>
      <c r="C125" t="s">
        <v>168</v>
      </c>
      <c r="D125" t="s">
        <v>170</v>
      </c>
      <c r="E125" t="s">
        <v>170</v>
      </c>
      <c r="F125">
        <v>100</v>
      </c>
      <c r="G125">
        <v>3</v>
      </c>
      <c r="H125" t="s">
        <v>78</v>
      </c>
      <c r="I125">
        <v>0.2</v>
      </c>
      <c r="J125" s="4">
        <f t="shared" si="4"/>
        <v>6.6666666666666666E-2</v>
      </c>
      <c r="L125">
        <v>26</v>
      </c>
      <c r="M125">
        <v>12</v>
      </c>
      <c r="Q125">
        <v>0</v>
      </c>
      <c r="R125" t="s">
        <v>79</v>
      </c>
      <c r="Y125">
        <v>1.0884944448608338E-9</v>
      </c>
      <c r="Z125">
        <v>5.7921028703926825E-9</v>
      </c>
      <c r="AA125">
        <v>2.370878928225125E-8</v>
      </c>
      <c r="AB125">
        <v>7.9036020638391329E-8</v>
      </c>
      <c r="AC125">
        <v>2.2369963753033046E-7</v>
      </c>
      <c r="AD125">
        <v>5.5454130591399584E-7</v>
      </c>
      <c r="AE125">
        <v>1.2328756663028267E-6</v>
      </c>
      <c r="AF125">
        <v>2.503787698705936E-6</v>
      </c>
      <c r="AG125">
        <v>4.7124564681401444E-6</v>
      </c>
      <c r="AH125">
        <v>8.3153196727210817E-6</v>
      </c>
      <c r="AI125">
        <v>1.3884771141503441E-5</v>
      </c>
      <c r="AJ125">
        <v>2.210703295158315E-5</v>
      </c>
      <c r="AK125">
        <v>3.3773661665370738E-5</v>
      </c>
      <c r="AL125">
        <v>7.1046043512249126E-5</v>
      </c>
      <c r="AV125">
        <v>7.7</v>
      </c>
      <c r="AW125">
        <v>1070.4000000000001</v>
      </c>
      <c r="AX125">
        <v>-24</v>
      </c>
      <c r="AY125" t="s">
        <v>164</v>
      </c>
      <c r="AZ125">
        <v>7.7</v>
      </c>
      <c r="BA125">
        <v>1070.4000000000001</v>
      </c>
      <c r="BB125">
        <v>-24</v>
      </c>
      <c r="BG125">
        <v>1.51</v>
      </c>
      <c r="BH125" s="5">
        <v>4.6E+16</v>
      </c>
      <c r="BI125" t="s">
        <v>81</v>
      </c>
      <c r="BM125">
        <v>1.6</v>
      </c>
      <c r="BN125">
        <v>6.7</v>
      </c>
      <c r="BO125">
        <f t="shared" si="5"/>
        <v>10.72</v>
      </c>
      <c r="BP125" t="s">
        <v>82</v>
      </c>
      <c r="BQ125" t="s">
        <v>165</v>
      </c>
      <c r="BR125">
        <v>90</v>
      </c>
      <c r="BS125">
        <v>8</v>
      </c>
      <c r="BT125" s="5" t="s">
        <v>84</v>
      </c>
      <c r="BU125" t="s">
        <v>166</v>
      </c>
      <c r="BV125" t="s">
        <v>167</v>
      </c>
      <c r="BW125" t="s">
        <v>658</v>
      </c>
    </row>
    <row r="126" spans="1:75" x14ac:dyDescent="0.75">
      <c r="A126" t="s">
        <v>168</v>
      </c>
      <c r="B126" t="s">
        <v>169</v>
      </c>
      <c r="C126" t="s">
        <v>168</v>
      </c>
      <c r="D126" t="s">
        <v>170</v>
      </c>
      <c r="E126" t="s">
        <v>170</v>
      </c>
      <c r="F126">
        <v>100</v>
      </c>
      <c r="G126">
        <v>3</v>
      </c>
      <c r="H126" t="s">
        <v>78</v>
      </c>
      <c r="I126">
        <v>0.24</v>
      </c>
      <c r="J126" s="4">
        <f t="shared" si="4"/>
        <v>0.08</v>
      </c>
      <c r="L126" s="15">
        <v>27.6</v>
      </c>
      <c r="M126">
        <v>12</v>
      </c>
      <c r="Q126">
        <v>0</v>
      </c>
      <c r="R126" t="s">
        <v>79</v>
      </c>
      <c r="AY126" t="s">
        <v>164</v>
      </c>
      <c r="BM126">
        <v>1.6</v>
      </c>
      <c r="BN126">
        <v>6.7</v>
      </c>
      <c r="BO126">
        <f t="shared" si="5"/>
        <v>10.72</v>
      </c>
      <c r="BP126" t="s">
        <v>82</v>
      </c>
      <c r="BQ126" t="s">
        <v>165</v>
      </c>
      <c r="BR126">
        <v>90</v>
      </c>
      <c r="BS126">
        <v>8</v>
      </c>
      <c r="BT126" s="5" t="s">
        <v>84</v>
      </c>
      <c r="BU126" t="s">
        <v>166</v>
      </c>
      <c r="BV126" t="s">
        <v>167</v>
      </c>
      <c r="BW126" t="s">
        <v>658</v>
      </c>
    </row>
    <row r="127" spans="1:75" x14ac:dyDescent="0.75">
      <c r="A127" t="s">
        <v>168</v>
      </c>
      <c r="B127" t="s">
        <v>169</v>
      </c>
      <c r="C127" t="s">
        <v>168</v>
      </c>
      <c r="D127" t="s">
        <v>170</v>
      </c>
      <c r="E127" t="s">
        <v>170</v>
      </c>
      <c r="F127">
        <v>100</v>
      </c>
      <c r="G127">
        <v>3</v>
      </c>
      <c r="H127" t="s">
        <v>78</v>
      </c>
      <c r="I127">
        <v>0.28000000000000003</v>
      </c>
      <c r="J127" s="4">
        <f t="shared" si="4"/>
        <v>9.3333333333333338E-2</v>
      </c>
      <c r="L127">
        <v>31</v>
      </c>
      <c r="M127">
        <v>12</v>
      </c>
      <c r="Q127">
        <v>0</v>
      </c>
      <c r="R127" t="s">
        <v>79</v>
      </c>
      <c r="Y127">
        <v>2.4976503349414834E-11</v>
      </c>
      <c r="Z127">
        <v>2.4596596321588272E-10</v>
      </c>
      <c r="AA127">
        <v>1.6417619953972448E-9</v>
      </c>
      <c r="AB127">
        <v>8.1364814467175931E-9</v>
      </c>
      <c r="AC127">
        <v>3.1942966098854448E-8</v>
      </c>
      <c r="AD127">
        <v>1.04146883420204E-7</v>
      </c>
      <c r="AE127">
        <v>2.9212900345923579E-7</v>
      </c>
      <c r="AF127">
        <v>7.241628924565325E-7</v>
      </c>
      <c r="AG127">
        <v>1.6198799268602761E-6</v>
      </c>
      <c r="AH127">
        <v>3.3238389359850923E-6</v>
      </c>
      <c r="AI127">
        <v>6.3386035998889075E-6</v>
      </c>
      <c r="AJ127">
        <v>1.1353661389534788E-5</v>
      </c>
      <c r="AK127">
        <v>1.9267104819086635E-5</v>
      </c>
      <c r="AL127">
        <v>4.8488448164577966E-5</v>
      </c>
      <c r="AV127">
        <v>25.4</v>
      </c>
      <c r="AW127">
        <v>1215</v>
      </c>
      <c r="AX127">
        <v>-19</v>
      </c>
      <c r="AY127" t="s">
        <v>164</v>
      </c>
      <c r="AZ127">
        <v>25.4</v>
      </c>
      <c r="BA127">
        <v>1215</v>
      </c>
      <c r="BB127">
        <v>-19</v>
      </c>
      <c r="BG127">
        <v>1.96</v>
      </c>
      <c r="BH127" s="5">
        <v>5.7999999999999996E+22</v>
      </c>
      <c r="BI127" t="s">
        <v>81</v>
      </c>
      <c r="BM127">
        <v>1.6</v>
      </c>
      <c r="BN127">
        <v>6.7</v>
      </c>
      <c r="BO127">
        <f t="shared" si="5"/>
        <v>10.72</v>
      </c>
      <c r="BP127" t="s">
        <v>82</v>
      </c>
      <c r="BQ127" t="s">
        <v>165</v>
      </c>
      <c r="BR127">
        <v>90</v>
      </c>
      <c r="BS127">
        <v>8</v>
      </c>
      <c r="BT127" s="5" t="s">
        <v>84</v>
      </c>
      <c r="BU127" t="s">
        <v>166</v>
      </c>
      <c r="BV127" t="s">
        <v>167</v>
      </c>
      <c r="BW127" t="s">
        <v>658</v>
      </c>
    </row>
    <row r="128" spans="1:75" x14ac:dyDescent="0.75">
      <c r="A128" t="s">
        <v>171</v>
      </c>
      <c r="B128" t="s">
        <v>169</v>
      </c>
      <c r="C128" t="s">
        <v>171</v>
      </c>
      <c r="D128" t="s">
        <v>172</v>
      </c>
      <c r="E128" t="s">
        <v>172</v>
      </c>
      <c r="F128">
        <v>100</v>
      </c>
      <c r="G128">
        <v>3</v>
      </c>
      <c r="H128" t="s">
        <v>78</v>
      </c>
      <c r="I128">
        <v>0.02</v>
      </c>
      <c r="J128" s="4">
        <f t="shared" si="4"/>
        <v>6.6666666666666671E-3</v>
      </c>
      <c r="L128">
        <v>-40</v>
      </c>
      <c r="M128">
        <v>-41</v>
      </c>
      <c r="Q128">
        <v>0</v>
      </c>
      <c r="R128" t="s">
        <v>79</v>
      </c>
      <c r="Y128">
        <v>1.4007546254840573E-6</v>
      </c>
      <c r="Z128">
        <v>1.9378588087742633E-6</v>
      </c>
      <c r="AA128">
        <v>2.6135032201985207E-6</v>
      </c>
      <c r="AB128">
        <v>3.4458639490090068E-6</v>
      </c>
      <c r="AC128">
        <v>4.4525044689805684E-6</v>
      </c>
      <c r="AD128">
        <v>5.6500563118198601E-6</v>
      </c>
      <c r="AE128">
        <v>7.0539564231170114E-6</v>
      </c>
      <c r="AF128">
        <v>8.6782422636258378E-6</v>
      </c>
      <c r="AG128">
        <v>1.053540261544151E-5</v>
      </c>
      <c r="AH128">
        <v>1.2636279915604847E-5</v>
      </c>
      <c r="AI128">
        <v>1.4990018618046392E-5</v>
      </c>
      <c r="AJ128">
        <v>1.7604053412458551E-5</v>
      </c>
      <c r="AK128">
        <v>2.0484130946578646E-5</v>
      </c>
      <c r="AL128">
        <v>2.7057276390094411E-5</v>
      </c>
      <c r="AV128">
        <v>0.1</v>
      </c>
      <c r="AW128">
        <v>998.3</v>
      </c>
      <c r="AX128">
        <v>-90</v>
      </c>
      <c r="AY128" t="s">
        <v>164</v>
      </c>
      <c r="AZ128">
        <v>0.1</v>
      </c>
      <c r="BA128">
        <v>998.3</v>
      </c>
      <c r="BB128">
        <v>-90</v>
      </c>
      <c r="BC128" s="15"/>
      <c r="BG128">
        <v>0.41</v>
      </c>
      <c r="BH128">
        <v>11.1</v>
      </c>
      <c r="BI128" t="s">
        <v>81</v>
      </c>
      <c r="BM128">
        <v>2</v>
      </c>
      <c r="BN128">
        <v>10.4</v>
      </c>
      <c r="BO128">
        <f t="shared" si="5"/>
        <v>20.8</v>
      </c>
      <c r="BP128" t="s">
        <v>173</v>
      </c>
      <c r="BQ128" t="s">
        <v>165</v>
      </c>
      <c r="BR128">
        <v>90</v>
      </c>
      <c r="BS128">
        <v>8</v>
      </c>
      <c r="BT128" s="5" t="s">
        <v>84</v>
      </c>
      <c r="BU128" t="s">
        <v>166</v>
      </c>
      <c r="BV128" t="s">
        <v>167</v>
      </c>
      <c r="BW128" t="s">
        <v>658</v>
      </c>
    </row>
    <row r="129" spans="1:75" x14ac:dyDescent="0.75">
      <c r="A129" t="s">
        <v>171</v>
      </c>
      <c r="B129" t="s">
        <v>169</v>
      </c>
      <c r="C129" t="s">
        <v>171</v>
      </c>
      <c r="D129" t="s">
        <v>172</v>
      </c>
      <c r="E129" t="s">
        <v>172</v>
      </c>
      <c r="F129">
        <v>100</v>
      </c>
      <c r="G129">
        <v>3</v>
      </c>
      <c r="H129" t="s">
        <v>78</v>
      </c>
      <c r="I129">
        <v>0.04</v>
      </c>
      <c r="J129" s="4">
        <f t="shared" si="4"/>
        <v>1.3333333333333334E-2</v>
      </c>
      <c r="L129" s="15">
        <v>-38.700000000000003</v>
      </c>
      <c r="M129">
        <v>-41</v>
      </c>
      <c r="Q129">
        <v>0</v>
      </c>
      <c r="R129" t="s">
        <v>79</v>
      </c>
      <c r="AY129" t="s">
        <v>164</v>
      </c>
      <c r="BM129">
        <v>2</v>
      </c>
      <c r="BN129">
        <v>10.4</v>
      </c>
      <c r="BO129">
        <f t="shared" si="5"/>
        <v>20.8</v>
      </c>
      <c r="BP129" t="s">
        <v>173</v>
      </c>
      <c r="BQ129" t="s">
        <v>165</v>
      </c>
      <c r="BR129">
        <v>90</v>
      </c>
      <c r="BS129">
        <v>8</v>
      </c>
      <c r="BT129" s="5" t="s">
        <v>84</v>
      </c>
      <c r="BU129" t="s">
        <v>166</v>
      </c>
      <c r="BV129" t="s">
        <v>167</v>
      </c>
      <c r="BW129" t="s">
        <v>658</v>
      </c>
    </row>
    <row r="130" spans="1:75" x14ac:dyDescent="0.75">
      <c r="A130" t="s">
        <v>171</v>
      </c>
      <c r="B130" t="s">
        <v>169</v>
      </c>
      <c r="C130" t="s">
        <v>171</v>
      </c>
      <c r="D130" t="s">
        <v>172</v>
      </c>
      <c r="E130" t="s">
        <v>172</v>
      </c>
      <c r="F130">
        <v>100</v>
      </c>
      <c r="G130">
        <v>3</v>
      </c>
      <c r="H130" t="s">
        <v>78</v>
      </c>
      <c r="I130">
        <v>0.08</v>
      </c>
      <c r="J130" s="4">
        <f t="shared" si="4"/>
        <v>2.6666666666666668E-2</v>
      </c>
      <c r="L130">
        <v>-35</v>
      </c>
      <c r="M130">
        <v>-41</v>
      </c>
      <c r="Q130">
        <v>0</v>
      </c>
      <c r="R130" t="s">
        <v>79</v>
      </c>
      <c r="Y130">
        <v>2.6362362423117071E-6</v>
      </c>
      <c r="Z130">
        <v>3.7705369331760551E-6</v>
      </c>
      <c r="AA130">
        <v>5.2379525024801969E-6</v>
      </c>
      <c r="AB130">
        <v>7.0912861635886617E-6</v>
      </c>
      <c r="AC130">
        <v>9.3830032841603377E-6</v>
      </c>
      <c r="AD130">
        <v>1.2164154670430569E-5</v>
      </c>
      <c r="AE130">
        <v>1.5483434532833266E-5</v>
      </c>
      <c r="AF130">
        <v>1.9386391693038888E-5</v>
      </c>
      <c r="AG130">
        <v>2.391480040482037E-5</v>
      </c>
      <c r="AH130">
        <v>2.910618784159648E-5</v>
      </c>
      <c r="AI130">
        <v>3.4993508669220123E-5</v>
      </c>
      <c r="AJ130">
        <v>4.1604952811585426E-5</v>
      </c>
      <c r="AK130">
        <v>4.89638700978815E-5</v>
      </c>
      <c r="AL130">
        <v>6.5993550971554151E-5</v>
      </c>
      <c r="AV130">
        <v>0.3</v>
      </c>
      <c r="AW130">
        <v>1010.28</v>
      </c>
      <c r="AX130">
        <v>-85</v>
      </c>
      <c r="AY130" t="s">
        <v>164</v>
      </c>
      <c r="AZ130">
        <v>0.3</v>
      </c>
      <c r="BA130">
        <v>1010.28</v>
      </c>
      <c r="BB130">
        <v>-85</v>
      </c>
      <c r="BG130">
        <v>0.45</v>
      </c>
      <c r="BH130">
        <v>84.3</v>
      </c>
      <c r="BI130" t="s">
        <v>81</v>
      </c>
      <c r="BM130">
        <v>2</v>
      </c>
      <c r="BN130">
        <v>10.4</v>
      </c>
      <c r="BO130">
        <f t="shared" si="5"/>
        <v>20.8</v>
      </c>
      <c r="BP130" t="s">
        <v>173</v>
      </c>
      <c r="BQ130" t="s">
        <v>165</v>
      </c>
      <c r="BR130">
        <v>90</v>
      </c>
      <c r="BS130">
        <v>8</v>
      </c>
      <c r="BT130" s="5" t="s">
        <v>84</v>
      </c>
      <c r="BU130" t="s">
        <v>166</v>
      </c>
      <c r="BV130" t="s">
        <v>167</v>
      </c>
      <c r="BW130" t="s">
        <v>658</v>
      </c>
    </row>
    <row r="131" spans="1:75" x14ac:dyDescent="0.75">
      <c r="A131" t="s">
        <v>171</v>
      </c>
      <c r="B131" t="s">
        <v>169</v>
      </c>
      <c r="C131" t="s">
        <v>171</v>
      </c>
      <c r="D131" t="s">
        <v>172</v>
      </c>
      <c r="E131" t="s">
        <v>172</v>
      </c>
      <c r="F131">
        <v>100</v>
      </c>
      <c r="G131">
        <v>3</v>
      </c>
      <c r="H131" t="s">
        <v>78</v>
      </c>
      <c r="I131">
        <v>0.12</v>
      </c>
      <c r="J131" s="4">
        <f t="shared" si="4"/>
        <v>0.04</v>
      </c>
      <c r="L131">
        <v>-34</v>
      </c>
      <c r="M131">
        <v>-41</v>
      </c>
      <c r="Q131">
        <v>0</v>
      </c>
      <c r="R131" t="s">
        <v>79</v>
      </c>
      <c r="Y131">
        <v>3.2008967876565624E-6</v>
      </c>
      <c r="Z131">
        <v>4.6895726662154544E-6</v>
      </c>
      <c r="AA131">
        <v>6.6587028634485329E-6</v>
      </c>
      <c r="AB131">
        <v>9.1966065877565982E-6</v>
      </c>
      <c r="AC131">
        <v>1.2393586512250115E-5</v>
      </c>
      <c r="AD131">
        <v>1.634004484992983E-5</v>
      </c>
      <c r="AE131">
        <v>2.1124728211915071E-5</v>
      </c>
      <c r="AF131">
        <v>2.6833157904322141E-5</v>
      </c>
      <c r="AG131">
        <v>3.35462806259779E-5</v>
      </c>
      <c r="AH131">
        <v>4.133935613269576E-5</v>
      </c>
      <c r="AI131">
        <v>5.0281083783343343E-5</v>
      </c>
      <c r="AJ131">
        <v>6.0432958918321409E-5</v>
      </c>
      <c r="AK131">
        <v>7.184884238186433E-5</v>
      </c>
      <c r="AL131">
        <v>9.8648639704333404E-5</v>
      </c>
      <c r="AV131">
        <v>0.6</v>
      </c>
      <c r="AW131">
        <v>1058.4000000000001</v>
      </c>
      <c r="AX131">
        <v>-84</v>
      </c>
      <c r="AY131" t="s">
        <v>164</v>
      </c>
      <c r="AZ131">
        <v>0.6</v>
      </c>
      <c r="BA131">
        <v>1058.4000000000001</v>
      </c>
      <c r="BB131">
        <v>-84</v>
      </c>
      <c r="BG131">
        <v>0.48</v>
      </c>
      <c r="BH131">
        <v>312.3</v>
      </c>
      <c r="BI131" t="s">
        <v>81</v>
      </c>
      <c r="BM131">
        <v>2</v>
      </c>
      <c r="BN131">
        <v>10.4</v>
      </c>
      <c r="BO131">
        <f t="shared" si="5"/>
        <v>20.8</v>
      </c>
      <c r="BP131" t="s">
        <v>173</v>
      </c>
      <c r="BQ131" t="s">
        <v>165</v>
      </c>
      <c r="BR131">
        <v>90</v>
      </c>
      <c r="BS131">
        <v>8</v>
      </c>
      <c r="BT131" s="5" t="s">
        <v>84</v>
      </c>
      <c r="BU131" t="s">
        <v>166</v>
      </c>
      <c r="BV131" t="s">
        <v>167</v>
      </c>
      <c r="BW131" t="s">
        <v>658</v>
      </c>
    </row>
    <row r="132" spans="1:75" x14ac:dyDescent="0.75">
      <c r="A132" t="s">
        <v>171</v>
      </c>
      <c r="B132" t="s">
        <v>169</v>
      </c>
      <c r="C132" t="s">
        <v>171</v>
      </c>
      <c r="D132" t="s">
        <v>172</v>
      </c>
      <c r="E132" t="s">
        <v>172</v>
      </c>
      <c r="F132">
        <v>100</v>
      </c>
      <c r="G132">
        <v>3</v>
      </c>
      <c r="H132" t="s">
        <v>78</v>
      </c>
      <c r="I132">
        <v>0.16</v>
      </c>
      <c r="J132" s="4">
        <f t="shared" si="4"/>
        <v>5.3333333333333337E-2</v>
      </c>
      <c r="L132">
        <v>-30</v>
      </c>
      <c r="M132">
        <v>-41</v>
      </c>
      <c r="Q132">
        <v>0</v>
      </c>
      <c r="R132" t="s">
        <v>79</v>
      </c>
      <c r="Y132">
        <v>4.2460517904725755E-6</v>
      </c>
      <c r="Z132">
        <v>6.3686849689383289E-6</v>
      </c>
      <c r="AA132">
        <v>9.2300352419674031E-6</v>
      </c>
      <c r="AB132">
        <v>1.2978975743791131E-5</v>
      </c>
      <c r="AC132">
        <v>1.7769657572645151E-5</v>
      </c>
      <c r="AD132">
        <v>2.3758132492264537E-5</v>
      </c>
      <c r="AE132">
        <v>3.1099133718388828E-5</v>
      </c>
      <c r="AF132">
        <v>3.9943138606397661E-5</v>
      </c>
      <c r="AG132">
        <v>5.0433795392651661E-5</v>
      </c>
      <c r="AH132">
        <v>6.2705759575062153E-5</v>
      </c>
      <c r="AI132">
        <v>7.68829555388844E-5</v>
      </c>
      <c r="AJ132">
        <v>9.3077255947400457E-5</v>
      </c>
      <c r="AK132">
        <v>1.1138755478766967E-4</v>
      </c>
      <c r="AL132">
        <v>1.546837368439297E-4</v>
      </c>
      <c r="AV132">
        <v>1</v>
      </c>
      <c r="AW132">
        <v>1046.4000000000001</v>
      </c>
      <c r="AX132">
        <v>-80</v>
      </c>
      <c r="AY132" t="s">
        <v>164</v>
      </c>
      <c r="AZ132">
        <v>1</v>
      </c>
      <c r="BA132">
        <v>1046.4000000000001</v>
      </c>
      <c r="BB132">
        <v>-80</v>
      </c>
      <c r="BG132">
        <v>0.5</v>
      </c>
      <c r="BH132">
        <v>1016.7</v>
      </c>
      <c r="BI132" t="s">
        <v>81</v>
      </c>
      <c r="BM132">
        <v>2</v>
      </c>
      <c r="BN132">
        <v>10.4</v>
      </c>
      <c r="BO132">
        <f t="shared" si="5"/>
        <v>20.8</v>
      </c>
      <c r="BP132" t="s">
        <v>173</v>
      </c>
      <c r="BQ132" t="s">
        <v>165</v>
      </c>
      <c r="BR132">
        <v>90</v>
      </c>
      <c r="BS132">
        <v>8</v>
      </c>
      <c r="BT132" s="5" t="s">
        <v>84</v>
      </c>
      <c r="BU132" t="s">
        <v>166</v>
      </c>
      <c r="BV132" t="s">
        <v>167</v>
      </c>
      <c r="BW132" t="s">
        <v>658</v>
      </c>
    </row>
    <row r="133" spans="1:75" x14ac:dyDescent="0.75">
      <c r="A133" t="s">
        <v>171</v>
      </c>
      <c r="B133" t="s">
        <v>169</v>
      </c>
      <c r="C133" t="s">
        <v>171</v>
      </c>
      <c r="D133" t="s">
        <v>172</v>
      </c>
      <c r="E133" t="s">
        <v>172</v>
      </c>
      <c r="F133">
        <v>100</v>
      </c>
      <c r="G133">
        <v>3</v>
      </c>
      <c r="H133" t="s">
        <v>78</v>
      </c>
      <c r="I133">
        <v>0.2</v>
      </c>
      <c r="J133" s="4">
        <f t="shared" si="4"/>
        <v>6.6666666666666666E-2</v>
      </c>
      <c r="L133">
        <v>-26</v>
      </c>
      <c r="M133">
        <v>-41</v>
      </c>
      <c r="Q133">
        <v>0</v>
      </c>
      <c r="R133" t="s">
        <v>79</v>
      </c>
      <c r="Y133">
        <v>4.0929620778060662E-6</v>
      </c>
      <c r="Z133">
        <v>6.2684154367400422E-6</v>
      </c>
      <c r="AA133">
        <v>9.248475321483811E-6</v>
      </c>
      <c r="AB133">
        <v>1.3206548351490995E-5</v>
      </c>
      <c r="AC133">
        <v>1.8323559893256189E-5</v>
      </c>
      <c r="AD133">
        <v>2.478376940834797E-5</v>
      </c>
      <c r="AE133">
        <v>3.2770736080918121E-5</v>
      </c>
      <c r="AF133">
        <v>4.2463607887447014E-5</v>
      </c>
      <c r="AG133">
        <v>5.4033851407373846E-5</v>
      </c>
      <c r="AH133">
        <v>6.7642489917645244E-5</v>
      </c>
      <c r="AI133">
        <v>8.3437876155151978E-5</v>
      </c>
      <c r="AJ133">
        <v>1.015539942509838E-4</v>
      </c>
      <c r="AK133">
        <v>1.2210926227708299E-4</v>
      </c>
      <c r="AL133">
        <v>1.7092904952438435E-4</v>
      </c>
      <c r="AV133">
        <v>1.1000000000000001</v>
      </c>
      <c r="AW133">
        <v>1022.3</v>
      </c>
      <c r="AX133">
        <v>-76</v>
      </c>
      <c r="AY133" t="s">
        <v>164</v>
      </c>
      <c r="AZ133">
        <v>1.1000000000000001</v>
      </c>
      <c r="BA133">
        <v>1022.3</v>
      </c>
      <c r="BB133">
        <v>-76</v>
      </c>
      <c r="BG133">
        <v>0.51800000000000002</v>
      </c>
      <c r="BH133">
        <v>2039</v>
      </c>
      <c r="BI133" t="s">
        <v>81</v>
      </c>
      <c r="BM133">
        <v>2</v>
      </c>
      <c r="BN133">
        <v>10.4</v>
      </c>
      <c r="BO133">
        <f t="shared" si="5"/>
        <v>20.8</v>
      </c>
      <c r="BP133" t="s">
        <v>173</v>
      </c>
      <c r="BQ133" t="s">
        <v>165</v>
      </c>
      <c r="BR133">
        <v>90</v>
      </c>
      <c r="BS133">
        <v>8</v>
      </c>
      <c r="BT133" s="5" t="s">
        <v>84</v>
      </c>
      <c r="BU133" t="s">
        <v>166</v>
      </c>
      <c r="BV133" t="s">
        <v>167</v>
      </c>
      <c r="BW133" t="s">
        <v>658</v>
      </c>
    </row>
    <row r="134" spans="1:75" x14ac:dyDescent="0.75">
      <c r="A134" t="s">
        <v>171</v>
      </c>
      <c r="B134" t="s">
        <v>169</v>
      </c>
      <c r="C134" t="s">
        <v>171</v>
      </c>
      <c r="D134" t="s">
        <v>172</v>
      </c>
      <c r="E134" t="s">
        <v>172</v>
      </c>
      <c r="F134">
        <v>100</v>
      </c>
      <c r="G134">
        <v>3</v>
      </c>
      <c r="H134" t="s">
        <v>78</v>
      </c>
      <c r="I134">
        <v>0.24</v>
      </c>
      <c r="J134" s="4">
        <f t="shared" si="4"/>
        <v>0.08</v>
      </c>
      <c r="L134" s="15">
        <v>-23.7</v>
      </c>
      <c r="M134">
        <v>-41</v>
      </c>
      <c r="Q134">
        <v>0</v>
      </c>
      <c r="R134" t="s">
        <v>79</v>
      </c>
      <c r="AY134" t="s">
        <v>164</v>
      </c>
      <c r="BM134">
        <v>2</v>
      </c>
      <c r="BN134">
        <v>10.4</v>
      </c>
      <c r="BO134">
        <f t="shared" si="5"/>
        <v>20.8</v>
      </c>
      <c r="BP134" t="s">
        <v>173</v>
      </c>
      <c r="BQ134" t="s">
        <v>165</v>
      </c>
      <c r="BR134">
        <v>90</v>
      </c>
      <c r="BS134">
        <v>8</v>
      </c>
      <c r="BT134" s="5" t="s">
        <v>84</v>
      </c>
      <c r="BU134" t="s">
        <v>166</v>
      </c>
      <c r="BV134" t="s">
        <v>167</v>
      </c>
      <c r="BW134" t="s">
        <v>658</v>
      </c>
    </row>
    <row r="135" spans="1:75" x14ac:dyDescent="0.75">
      <c r="A135" t="s">
        <v>171</v>
      </c>
      <c r="B135" t="s">
        <v>169</v>
      </c>
      <c r="C135" t="s">
        <v>171</v>
      </c>
      <c r="D135" t="s">
        <v>172</v>
      </c>
      <c r="E135" t="s">
        <v>172</v>
      </c>
      <c r="F135">
        <v>100</v>
      </c>
      <c r="G135">
        <v>3</v>
      </c>
      <c r="H135" t="s">
        <v>78</v>
      </c>
      <c r="I135">
        <v>0.28000000000000003</v>
      </c>
      <c r="J135" s="4">
        <f t="shared" si="4"/>
        <v>9.3333333333333338E-2</v>
      </c>
      <c r="L135">
        <v>-23</v>
      </c>
      <c r="M135">
        <v>-41</v>
      </c>
      <c r="Q135">
        <v>0</v>
      </c>
      <c r="R135" t="s">
        <v>79</v>
      </c>
      <c r="Y135">
        <v>2.4656365828258102E-6</v>
      </c>
      <c r="Z135">
        <v>3.9566632451544168E-6</v>
      </c>
      <c r="AA135">
        <v>6.0854813248068557E-6</v>
      </c>
      <c r="AB135">
        <v>9.0193530183296119E-6</v>
      </c>
      <c r="AC135">
        <v>1.2940084192872309E-5</v>
      </c>
      <c r="AD135">
        <v>1.8040113317210711E-5</v>
      </c>
      <c r="AE135">
        <v>2.4518357185707642E-5</v>
      </c>
      <c r="AF135">
        <v>3.2576055189088638E-5</v>
      </c>
      <c r="AG135">
        <v>4.2412807384447446E-5</v>
      </c>
      <c r="AH135">
        <v>5.4222951487642714E-5</v>
      </c>
      <c r="AI135">
        <v>6.8192375997756815E-5</v>
      </c>
      <c r="AJ135">
        <v>8.4495824461074332E-5</v>
      </c>
      <c r="AK135">
        <v>1.03294711057445E-4</v>
      </c>
      <c r="AL135">
        <v>1.4894820646893563E-4</v>
      </c>
      <c r="AV135">
        <v>1.4</v>
      </c>
      <c r="AW135">
        <v>1070.4000000000001</v>
      </c>
      <c r="AX135">
        <v>-73</v>
      </c>
      <c r="AY135" t="s">
        <v>164</v>
      </c>
      <c r="AZ135">
        <v>1.4</v>
      </c>
      <c r="BA135">
        <v>1070.4000000000001</v>
      </c>
      <c r="BB135">
        <v>-73</v>
      </c>
      <c r="BG135">
        <v>0.56999999999999995</v>
      </c>
      <c r="BH135">
        <v>8894</v>
      </c>
      <c r="BI135" t="s">
        <v>81</v>
      </c>
      <c r="BM135">
        <v>2</v>
      </c>
      <c r="BN135">
        <v>10.4</v>
      </c>
      <c r="BO135">
        <f t="shared" si="5"/>
        <v>20.8</v>
      </c>
      <c r="BP135" t="s">
        <v>173</v>
      </c>
      <c r="BQ135" t="s">
        <v>165</v>
      </c>
      <c r="BR135">
        <v>90</v>
      </c>
      <c r="BS135">
        <v>8</v>
      </c>
      <c r="BT135" s="5" t="s">
        <v>84</v>
      </c>
      <c r="BU135" t="s">
        <v>166</v>
      </c>
      <c r="BV135" t="s">
        <v>167</v>
      </c>
      <c r="BW135" t="s">
        <v>658</v>
      </c>
    </row>
    <row r="136" spans="1:75" x14ac:dyDescent="0.75">
      <c r="A136" t="s">
        <v>174</v>
      </c>
      <c r="B136" t="s">
        <v>169</v>
      </c>
      <c r="C136" t="s">
        <v>174</v>
      </c>
      <c r="D136" t="s">
        <v>175</v>
      </c>
      <c r="E136" t="s">
        <v>175</v>
      </c>
      <c r="F136">
        <v>100</v>
      </c>
      <c r="G136">
        <v>4</v>
      </c>
      <c r="H136" t="s">
        <v>78</v>
      </c>
      <c r="I136">
        <v>0.02</v>
      </c>
      <c r="J136" s="4">
        <f t="shared" si="4"/>
        <v>5.0000000000000001E-3</v>
      </c>
      <c r="L136">
        <v>-13</v>
      </c>
      <c r="M136">
        <v>-14</v>
      </c>
      <c r="Q136">
        <v>0</v>
      </c>
      <c r="R136" t="s">
        <v>79</v>
      </c>
      <c r="Y136">
        <v>3.7307167118321494E-7</v>
      </c>
      <c r="Z136">
        <v>6.5696690216997529E-7</v>
      </c>
      <c r="AA136">
        <v>1.0943283771105511E-6</v>
      </c>
      <c r="AB136">
        <v>1.7376594671989195E-6</v>
      </c>
      <c r="AC136">
        <v>2.6470338805444494E-6</v>
      </c>
      <c r="AD136">
        <v>3.8889134270839086E-6</v>
      </c>
      <c r="AE136">
        <v>5.5346935031894579E-6</v>
      </c>
      <c r="AF136">
        <v>7.6590940549480093E-6</v>
      </c>
      <c r="AG136">
        <v>1.0338503698984889E-5</v>
      </c>
      <c r="AH136">
        <v>1.3649367130259496E-5</v>
      </c>
      <c r="AI136">
        <v>1.7666685215935763E-5</v>
      </c>
      <c r="AJ136">
        <v>2.2462676368405056E-5</v>
      </c>
      <c r="AK136">
        <v>2.8105628881325155E-5</v>
      </c>
      <c r="AL136">
        <v>4.2180468422970476E-5</v>
      </c>
      <c r="AV136">
        <v>0.5</v>
      </c>
      <c r="AW136">
        <v>1046.4000000000001</v>
      </c>
      <c r="AX136">
        <v>-63</v>
      </c>
      <c r="AY136" t="s">
        <v>164</v>
      </c>
      <c r="AZ136">
        <v>0.5</v>
      </c>
      <c r="BA136">
        <v>1046.4000000000001</v>
      </c>
      <c r="BB136">
        <v>-63</v>
      </c>
      <c r="BG136">
        <v>0.65500000000000003</v>
      </c>
      <c r="BH136" s="5">
        <v>38000</v>
      </c>
      <c r="BI136" t="s">
        <v>81</v>
      </c>
      <c r="BM136">
        <v>1.5</v>
      </c>
      <c r="BN136">
        <v>8.9</v>
      </c>
      <c r="BO136">
        <f t="shared" si="5"/>
        <v>13.350000000000001</v>
      </c>
      <c r="BP136" t="s">
        <v>173</v>
      </c>
      <c r="BQ136" t="s">
        <v>165</v>
      </c>
      <c r="BR136">
        <v>90</v>
      </c>
      <c r="BS136">
        <v>8</v>
      </c>
      <c r="BT136" s="5" t="s">
        <v>84</v>
      </c>
      <c r="BU136" t="s">
        <v>166</v>
      </c>
      <c r="BV136" t="s">
        <v>167</v>
      </c>
      <c r="BW136" t="s">
        <v>658</v>
      </c>
    </row>
    <row r="137" spans="1:75" x14ac:dyDescent="0.75">
      <c r="A137" t="s">
        <v>174</v>
      </c>
      <c r="B137" t="s">
        <v>169</v>
      </c>
      <c r="C137" t="s">
        <v>174</v>
      </c>
      <c r="D137" t="s">
        <v>175</v>
      </c>
      <c r="E137" t="s">
        <v>175</v>
      </c>
      <c r="F137">
        <v>100</v>
      </c>
      <c r="G137">
        <v>4</v>
      </c>
      <c r="H137" t="s">
        <v>78</v>
      </c>
      <c r="I137">
        <v>0.04</v>
      </c>
      <c r="J137" s="4">
        <f t="shared" si="4"/>
        <v>0.01</v>
      </c>
      <c r="L137" s="15">
        <v>-11.7</v>
      </c>
      <c r="M137">
        <v>-14</v>
      </c>
      <c r="Q137">
        <v>0</v>
      </c>
      <c r="R137" t="s">
        <v>79</v>
      </c>
      <c r="AY137" t="s">
        <v>164</v>
      </c>
      <c r="BM137">
        <v>1.5</v>
      </c>
      <c r="BN137">
        <v>8.9</v>
      </c>
      <c r="BO137">
        <f t="shared" si="5"/>
        <v>13.350000000000001</v>
      </c>
      <c r="BP137" t="s">
        <v>173</v>
      </c>
      <c r="BQ137" t="s">
        <v>165</v>
      </c>
      <c r="BR137">
        <v>90</v>
      </c>
      <c r="BS137">
        <v>8</v>
      </c>
      <c r="BT137" s="5" t="s">
        <v>84</v>
      </c>
      <c r="BU137" t="s">
        <v>166</v>
      </c>
      <c r="BV137" t="s">
        <v>167</v>
      </c>
      <c r="BW137" t="s">
        <v>658</v>
      </c>
    </row>
    <row r="138" spans="1:75" x14ac:dyDescent="0.75">
      <c r="A138" t="s">
        <v>174</v>
      </c>
      <c r="B138" t="s">
        <v>169</v>
      </c>
      <c r="C138" t="s">
        <v>174</v>
      </c>
      <c r="D138" t="s">
        <v>175</v>
      </c>
      <c r="E138" t="s">
        <v>175</v>
      </c>
      <c r="F138">
        <v>100</v>
      </c>
      <c r="G138">
        <v>4</v>
      </c>
      <c r="H138" t="s">
        <v>78</v>
      </c>
      <c r="I138">
        <v>0.08</v>
      </c>
      <c r="J138" s="4">
        <f t="shared" si="4"/>
        <v>0.02</v>
      </c>
      <c r="L138">
        <v>-9</v>
      </c>
      <c r="M138">
        <v>-14</v>
      </c>
      <c r="Q138">
        <v>0</v>
      </c>
      <c r="R138" t="s">
        <v>79</v>
      </c>
      <c r="Y138">
        <v>3.9872608983712041E-7</v>
      </c>
      <c r="Z138">
        <v>8.2920942718873867E-7</v>
      </c>
      <c r="AA138">
        <v>1.6004127710183463E-6</v>
      </c>
      <c r="AB138">
        <v>2.8977481844288978E-6</v>
      </c>
      <c r="AC138">
        <v>4.9656183679980206E-6</v>
      </c>
      <c r="AD138">
        <v>8.1118954036534518E-6</v>
      </c>
      <c r="AE138">
        <v>1.2709542146922861E-5</v>
      </c>
      <c r="AF138">
        <v>1.9195311106325893E-5</v>
      </c>
      <c r="AG138">
        <v>2.8065714337480379E-5</v>
      </c>
      <c r="AH138">
        <v>3.9870647054109081E-5</v>
      </c>
      <c r="AI138">
        <v>5.5205162516395982E-5</v>
      </c>
      <c r="AJ138">
        <v>7.4699943373802779E-5</v>
      </c>
      <c r="AK138">
        <v>9.9011008385812286E-5</v>
      </c>
      <c r="AL138">
        <v>1.6476951905706306E-4</v>
      </c>
      <c r="AV138">
        <v>7.7</v>
      </c>
      <c r="AW138">
        <v>1238.8</v>
      </c>
      <c r="AX138">
        <v>-59</v>
      </c>
      <c r="AY138" t="s">
        <v>164</v>
      </c>
      <c r="AZ138">
        <v>7.7</v>
      </c>
      <c r="BA138">
        <v>1238.8</v>
      </c>
      <c r="BB138">
        <v>-59</v>
      </c>
      <c r="BG138">
        <v>0.83</v>
      </c>
      <c r="BH138" s="5">
        <v>43000000</v>
      </c>
      <c r="BI138" t="s">
        <v>81</v>
      </c>
      <c r="BM138">
        <v>1.5</v>
      </c>
      <c r="BN138">
        <v>8.9</v>
      </c>
      <c r="BO138">
        <f t="shared" si="5"/>
        <v>13.350000000000001</v>
      </c>
      <c r="BP138" t="s">
        <v>173</v>
      </c>
      <c r="BQ138" t="s">
        <v>165</v>
      </c>
      <c r="BR138">
        <v>90</v>
      </c>
      <c r="BS138">
        <v>8</v>
      </c>
      <c r="BT138" s="5" t="s">
        <v>84</v>
      </c>
      <c r="BU138" t="s">
        <v>166</v>
      </c>
      <c r="BV138" t="s">
        <v>167</v>
      </c>
      <c r="BW138" t="s">
        <v>658</v>
      </c>
    </row>
    <row r="139" spans="1:75" x14ac:dyDescent="0.75">
      <c r="A139" t="s">
        <v>174</v>
      </c>
      <c r="B139" t="s">
        <v>169</v>
      </c>
      <c r="C139" t="s">
        <v>174</v>
      </c>
      <c r="D139" t="s">
        <v>175</v>
      </c>
      <c r="E139" t="s">
        <v>175</v>
      </c>
      <c r="F139">
        <v>100</v>
      </c>
      <c r="G139">
        <v>4</v>
      </c>
      <c r="H139" t="s">
        <v>78</v>
      </c>
      <c r="I139">
        <v>0.12</v>
      </c>
      <c r="J139" s="4">
        <f t="shared" si="4"/>
        <v>0.03</v>
      </c>
      <c r="L139">
        <v>-6</v>
      </c>
      <c r="M139">
        <v>-14</v>
      </c>
      <c r="Q139">
        <v>0</v>
      </c>
      <c r="R139" t="s">
        <v>79</v>
      </c>
      <c r="Y139">
        <v>2.9570166561510901E-7</v>
      </c>
      <c r="Z139">
        <v>6.8295198893626508E-7</v>
      </c>
      <c r="AA139">
        <v>1.4445924763978962E-6</v>
      </c>
      <c r="AB139">
        <v>2.8352832624804068E-6</v>
      </c>
      <c r="AC139">
        <v>5.218542574856306E-6</v>
      </c>
      <c r="AD139">
        <v>9.086137923123188E-6</v>
      </c>
      <c r="AE139">
        <v>1.5073399129916829E-5</v>
      </c>
      <c r="AF139">
        <v>2.3969152941832878E-5</v>
      </c>
      <c r="AG139">
        <v>3.6719563222201047E-5</v>
      </c>
      <c r="AH139">
        <v>5.4425734980149802E-5</v>
      </c>
      <c r="AI139">
        <v>7.8335432309440634E-5</v>
      </c>
      <c r="AJ139">
        <v>1.0982963104444988E-4</v>
      </c>
      <c r="AK139">
        <v>1.5040486612518663E-4</v>
      </c>
      <c r="AL139">
        <v>2.6523565773824045E-4</v>
      </c>
      <c r="AV139">
        <v>24.7</v>
      </c>
      <c r="AW139">
        <v>1323</v>
      </c>
      <c r="AX139">
        <v>-56</v>
      </c>
      <c r="AY139" t="s">
        <v>164</v>
      </c>
      <c r="AZ139">
        <v>24.7</v>
      </c>
      <c r="BA139">
        <v>1323</v>
      </c>
      <c r="BB139">
        <v>-56</v>
      </c>
      <c r="BG139">
        <v>0.94</v>
      </c>
      <c r="BH139" s="5">
        <v>2000000000</v>
      </c>
      <c r="BI139" t="s">
        <v>81</v>
      </c>
      <c r="BM139">
        <v>1.5</v>
      </c>
      <c r="BN139">
        <v>8.9</v>
      </c>
      <c r="BO139">
        <f t="shared" si="5"/>
        <v>13.350000000000001</v>
      </c>
      <c r="BP139" t="s">
        <v>173</v>
      </c>
      <c r="BQ139" t="s">
        <v>165</v>
      </c>
      <c r="BR139">
        <v>90</v>
      </c>
      <c r="BS139">
        <v>8</v>
      </c>
      <c r="BT139" s="5" t="s">
        <v>84</v>
      </c>
      <c r="BU139" t="s">
        <v>166</v>
      </c>
      <c r="BV139" t="s">
        <v>167</v>
      </c>
      <c r="BW139" t="s">
        <v>658</v>
      </c>
    </row>
    <row r="140" spans="1:75" x14ac:dyDescent="0.75">
      <c r="A140" t="s">
        <v>174</v>
      </c>
      <c r="B140" t="s">
        <v>169</v>
      </c>
      <c r="C140" t="s">
        <v>174</v>
      </c>
      <c r="D140" t="s">
        <v>175</v>
      </c>
      <c r="E140" t="s">
        <v>175</v>
      </c>
      <c r="F140">
        <v>100</v>
      </c>
      <c r="G140">
        <v>4</v>
      </c>
      <c r="H140" t="s">
        <v>78</v>
      </c>
      <c r="I140">
        <v>0.16</v>
      </c>
      <c r="J140" s="4">
        <f t="shared" si="4"/>
        <v>0.04</v>
      </c>
      <c r="L140">
        <v>-3.5</v>
      </c>
      <c r="M140">
        <v>-14</v>
      </c>
      <c r="Q140">
        <v>0</v>
      </c>
      <c r="R140" t="s">
        <v>79</v>
      </c>
      <c r="Y140">
        <v>3.6535996060293901E-7</v>
      </c>
      <c r="Z140">
        <v>8.6561686457356073E-7</v>
      </c>
      <c r="AA140">
        <v>1.8687148600685329E-6</v>
      </c>
      <c r="AB140">
        <v>3.7284661731297879E-6</v>
      </c>
      <c r="AC140">
        <v>6.9543157268606576E-6</v>
      </c>
      <c r="AD140">
        <v>1.2239592793635686E-5</v>
      </c>
      <c r="AE140">
        <v>2.0483545733792578E-5</v>
      </c>
      <c r="AF140">
        <v>3.2805200385462348E-5</v>
      </c>
      <c r="AG140">
        <v>5.0548010097413612E-5</v>
      </c>
      <c r="AH140">
        <v>7.527516580669582E-5</v>
      </c>
      <c r="AI140">
        <v>1.0875619236033236E-4</v>
      </c>
      <c r="AJ140">
        <v>1.5294601403264643E-4</v>
      </c>
      <c r="AK140">
        <v>2.099580159558345E-4</v>
      </c>
      <c r="AL140">
        <v>3.7150415412811125E-4</v>
      </c>
      <c r="AV140">
        <v>31.4</v>
      </c>
      <c r="AW140">
        <v>1286.9000000000001</v>
      </c>
      <c r="AX140">
        <v>-53.5</v>
      </c>
      <c r="AY140" t="s">
        <v>164</v>
      </c>
      <c r="AZ140">
        <v>31.4</v>
      </c>
      <c r="BA140">
        <v>1286.9000000000001</v>
      </c>
      <c r="BB140">
        <v>-53.5</v>
      </c>
      <c r="BG140">
        <v>0.95699999999999996</v>
      </c>
      <c r="BH140" s="5">
        <v>4800000000</v>
      </c>
      <c r="BI140" t="s">
        <v>81</v>
      </c>
      <c r="BM140">
        <v>1.5</v>
      </c>
      <c r="BN140">
        <v>8.9</v>
      </c>
      <c r="BO140">
        <f t="shared" si="5"/>
        <v>13.350000000000001</v>
      </c>
      <c r="BP140" t="s">
        <v>173</v>
      </c>
      <c r="BQ140" t="s">
        <v>165</v>
      </c>
      <c r="BR140">
        <v>90</v>
      </c>
      <c r="BS140">
        <v>8</v>
      </c>
      <c r="BT140" s="5" t="s">
        <v>84</v>
      </c>
      <c r="BU140" t="s">
        <v>166</v>
      </c>
      <c r="BV140" t="s">
        <v>167</v>
      </c>
      <c r="BW140" t="s">
        <v>658</v>
      </c>
    </row>
    <row r="141" spans="1:75" x14ac:dyDescent="0.75">
      <c r="A141" t="s">
        <v>174</v>
      </c>
      <c r="B141" t="s">
        <v>169</v>
      </c>
      <c r="C141" t="s">
        <v>174</v>
      </c>
      <c r="D141" t="s">
        <v>175</v>
      </c>
      <c r="E141" t="s">
        <v>175</v>
      </c>
      <c r="F141">
        <v>100</v>
      </c>
      <c r="G141">
        <v>4</v>
      </c>
      <c r="H141" t="s">
        <v>78</v>
      </c>
      <c r="I141">
        <v>0.2</v>
      </c>
      <c r="J141" s="4">
        <f t="shared" si="4"/>
        <v>0.05</v>
      </c>
      <c r="L141">
        <v>0</v>
      </c>
      <c r="M141">
        <v>-14</v>
      </c>
      <c r="Q141">
        <v>0</v>
      </c>
      <c r="R141" t="s">
        <v>79</v>
      </c>
      <c r="Y141">
        <v>5.1436696479508433E-7</v>
      </c>
      <c r="Z141">
        <v>1.1924138658691439E-6</v>
      </c>
      <c r="AA141">
        <v>2.5157691289361585E-6</v>
      </c>
      <c r="AB141">
        <v>4.9031037779795802E-6</v>
      </c>
      <c r="AC141">
        <v>8.9330758407953585E-6</v>
      </c>
      <c r="AD141">
        <v>1.5362011532101764E-5</v>
      </c>
      <c r="AE141">
        <v>2.513264467558343E-5</v>
      </c>
      <c r="AF141">
        <v>3.9373246857413055E-5</v>
      </c>
      <c r="AG141">
        <v>5.9387530175444466E-5</v>
      </c>
      <c r="AH141">
        <v>8.6636499959844739E-5</v>
      </c>
      <c r="AI141">
        <v>1.2271393356074408E-4</v>
      </c>
      <c r="AJ141">
        <v>1.6931738248523938E-4</v>
      </c>
      <c r="AK141">
        <v>2.2821659220873753E-4</v>
      </c>
      <c r="AL141">
        <v>3.9014828949052594E-4</v>
      </c>
      <c r="AV141">
        <v>16.600000000000001</v>
      </c>
      <c r="AW141">
        <v>1154.5999999999999</v>
      </c>
      <c r="AX141">
        <v>-50</v>
      </c>
      <c r="AY141" t="s">
        <v>164</v>
      </c>
      <c r="AZ141">
        <v>16.600000000000001</v>
      </c>
      <c r="BA141">
        <v>1154.5999999999999</v>
      </c>
      <c r="BB141">
        <v>-50</v>
      </c>
      <c r="BG141">
        <v>0.91600000000000004</v>
      </c>
      <c r="BH141" s="5">
        <v>1390000000</v>
      </c>
      <c r="BI141" t="s">
        <v>81</v>
      </c>
      <c r="BM141">
        <v>1.5</v>
      </c>
      <c r="BN141">
        <v>8.9</v>
      </c>
      <c r="BO141">
        <f t="shared" si="5"/>
        <v>13.350000000000001</v>
      </c>
      <c r="BP141" t="s">
        <v>173</v>
      </c>
      <c r="BQ141" t="s">
        <v>165</v>
      </c>
      <c r="BR141">
        <v>90</v>
      </c>
      <c r="BS141">
        <v>8</v>
      </c>
      <c r="BT141" s="5" t="s">
        <v>84</v>
      </c>
      <c r="BU141" t="s">
        <v>166</v>
      </c>
      <c r="BV141" t="s">
        <v>167</v>
      </c>
      <c r="BW141" t="s">
        <v>658</v>
      </c>
    </row>
    <row r="142" spans="1:75" x14ac:dyDescent="0.75">
      <c r="A142" t="s">
        <v>174</v>
      </c>
      <c r="B142" t="s">
        <v>169</v>
      </c>
      <c r="C142" t="s">
        <v>174</v>
      </c>
      <c r="D142" t="s">
        <v>175</v>
      </c>
      <c r="E142" t="s">
        <v>175</v>
      </c>
      <c r="F142">
        <v>100</v>
      </c>
      <c r="G142">
        <v>4</v>
      </c>
      <c r="H142" t="s">
        <v>78</v>
      </c>
      <c r="I142">
        <v>0.24</v>
      </c>
      <c r="J142" s="4">
        <f t="shared" si="4"/>
        <v>0.06</v>
      </c>
      <c r="L142" s="15">
        <v>2.5</v>
      </c>
      <c r="M142">
        <v>-14</v>
      </c>
      <c r="Q142">
        <v>0</v>
      </c>
      <c r="R142" t="s">
        <v>79</v>
      </c>
      <c r="AY142" t="s">
        <v>164</v>
      </c>
      <c r="BM142">
        <v>1.5</v>
      </c>
      <c r="BN142">
        <v>8.9</v>
      </c>
      <c r="BO142">
        <f t="shared" si="5"/>
        <v>13.350000000000001</v>
      </c>
      <c r="BP142" t="s">
        <v>173</v>
      </c>
      <c r="BQ142" t="s">
        <v>165</v>
      </c>
      <c r="BR142">
        <v>90</v>
      </c>
      <c r="BS142">
        <v>8</v>
      </c>
      <c r="BT142" s="5" t="s">
        <v>84</v>
      </c>
      <c r="BU142" t="s">
        <v>166</v>
      </c>
      <c r="BV142" t="s">
        <v>167</v>
      </c>
      <c r="BW142" t="s">
        <v>658</v>
      </c>
    </row>
    <row r="143" spans="1:75" x14ac:dyDescent="0.75">
      <c r="A143" s="1" t="s">
        <v>174</v>
      </c>
      <c r="B143" t="s">
        <v>169</v>
      </c>
      <c r="C143" s="1" t="s">
        <v>174</v>
      </c>
      <c r="D143" t="s">
        <v>175</v>
      </c>
      <c r="E143" t="s">
        <v>175</v>
      </c>
      <c r="F143">
        <v>100</v>
      </c>
      <c r="G143" s="1">
        <v>4</v>
      </c>
      <c r="H143" s="1" t="s">
        <v>78</v>
      </c>
      <c r="I143" s="1">
        <v>0.28000000000000003</v>
      </c>
      <c r="J143" s="2">
        <f t="shared" si="4"/>
        <v>7.0000000000000007E-2</v>
      </c>
      <c r="K143" s="1"/>
      <c r="L143" s="1">
        <v>4</v>
      </c>
      <c r="M143" s="1">
        <v>-14</v>
      </c>
      <c r="N143" s="1"/>
      <c r="O143" s="1"/>
      <c r="P143" s="1"/>
      <c r="Q143" s="1">
        <v>0</v>
      </c>
      <c r="R143" s="1" t="s">
        <v>79</v>
      </c>
      <c r="S143" s="1"/>
      <c r="T143" s="1"/>
      <c r="U143" s="1"/>
      <c r="V143" s="1"/>
      <c r="W143" s="1"/>
      <c r="X143" s="1"/>
      <c r="Y143" s="1">
        <v>1.7506884417841956E-7</v>
      </c>
      <c r="Z143" s="1">
        <v>4.349601475373581E-7</v>
      </c>
      <c r="AA143" s="1">
        <v>9.7135052699784359E-7</v>
      </c>
      <c r="AB143" s="1">
        <v>1.9844045173489803E-6</v>
      </c>
      <c r="AC143" s="1">
        <v>3.7606387502313427E-6</v>
      </c>
      <c r="AD143" s="1">
        <v>6.6853092432661275E-6</v>
      </c>
      <c r="AE143" s="1">
        <v>1.1249820117561456E-5</v>
      </c>
      <c r="AF143" s="1">
        <v>1.8053450265596297E-5</v>
      </c>
      <c r="AG143" s="1">
        <v>2.7799392904872346E-5</v>
      </c>
      <c r="AH143" s="1">
        <v>4.1285665892861761E-5</v>
      </c>
      <c r="AI143" s="1">
        <v>5.9391829680021905E-5</v>
      </c>
      <c r="AJ143" s="1">
        <v>8.3062644637469204E-5</v>
      </c>
      <c r="AK143" s="1">
        <v>1.1328983897006606E-4</v>
      </c>
      <c r="AL143" s="1">
        <v>1.9750112245455265E-4</v>
      </c>
      <c r="AM143" s="1"/>
      <c r="AN143" s="1"/>
      <c r="AO143" s="1"/>
      <c r="AP143" s="1"/>
      <c r="AQ143" s="1"/>
      <c r="AR143" s="1"/>
      <c r="AS143" s="1"/>
      <c r="AT143" s="1"/>
      <c r="AU143" s="1"/>
      <c r="AV143" s="1">
        <v>8.8000000000000007</v>
      </c>
      <c r="AW143" s="1">
        <v>1130.5999999999999</v>
      </c>
      <c r="AX143" s="1">
        <v>-46</v>
      </c>
      <c r="AY143" t="s">
        <v>164</v>
      </c>
      <c r="AZ143">
        <v>8.8000000000000007</v>
      </c>
      <c r="BA143">
        <v>1130.5999999999999</v>
      </c>
      <c r="BB143" s="1">
        <v>-46</v>
      </c>
      <c r="BC143" s="1"/>
      <c r="BD143" s="1"/>
      <c r="BE143" s="1"/>
      <c r="BF143" s="1"/>
      <c r="BG143" s="1">
        <v>0.97</v>
      </c>
      <c r="BH143" s="3">
        <v>3900000000</v>
      </c>
      <c r="BI143" s="1" t="s">
        <v>81</v>
      </c>
      <c r="BJ143" s="1"/>
      <c r="BK143" s="1"/>
      <c r="BL143" s="1"/>
      <c r="BM143" s="1">
        <v>1.5</v>
      </c>
      <c r="BN143" s="1">
        <v>8.9</v>
      </c>
      <c r="BO143" s="1">
        <f t="shared" si="5"/>
        <v>13.350000000000001</v>
      </c>
      <c r="BP143" s="1" t="s">
        <v>173</v>
      </c>
      <c r="BQ143" s="1" t="s">
        <v>165</v>
      </c>
      <c r="BR143" s="1">
        <v>90</v>
      </c>
      <c r="BS143" s="1">
        <v>8</v>
      </c>
      <c r="BT143" s="3" t="s">
        <v>84</v>
      </c>
      <c r="BU143" s="1" t="s">
        <v>166</v>
      </c>
      <c r="BV143" t="s">
        <v>167</v>
      </c>
      <c r="BW143" t="s">
        <v>658</v>
      </c>
    </row>
    <row r="144" spans="1:75" x14ac:dyDescent="0.75">
      <c r="A144" t="s">
        <v>176</v>
      </c>
      <c r="B144" t="s">
        <v>95</v>
      </c>
      <c r="C144" t="s">
        <v>121</v>
      </c>
      <c r="D144" s="8" t="s">
        <v>122</v>
      </c>
      <c r="E144" s="8" t="s">
        <v>122</v>
      </c>
      <c r="F144">
        <v>100</v>
      </c>
      <c r="G144">
        <v>1</v>
      </c>
      <c r="H144" t="s">
        <v>91</v>
      </c>
      <c r="I144">
        <v>1</v>
      </c>
      <c r="J144">
        <v>1</v>
      </c>
      <c r="N144">
        <v>105</v>
      </c>
      <c r="O144">
        <v>100</v>
      </c>
      <c r="P144">
        <v>110</v>
      </c>
      <c r="R144" t="s">
        <v>84</v>
      </c>
      <c r="AC144" s="5">
        <v>3.4453659129760101E-7</v>
      </c>
      <c r="AD144" s="5">
        <v>6.5572091333135005E-7</v>
      </c>
      <c r="AE144" s="5">
        <v>1.2240906849885901E-6</v>
      </c>
      <c r="AF144" s="5">
        <v>2.2433196465333098E-6</v>
      </c>
      <c r="AG144" s="5">
        <v>4.0392634463155801E-6</v>
      </c>
      <c r="AH144" s="5">
        <v>7.4943707857492099E-6</v>
      </c>
      <c r="AI144" s="5">
        <v>2.7104128066452699E-5</v>
      </c>
      <c r="AJ144" s="5">
        <v>5.0481787168419003E-5</v>
      </c>
      <c r="AK144" s="5">
        <v>7.2724069586327806E-5</v>
      </c>
      <c r="AL144">
        <v>1.09221864955319E-4</v>
      </c>
      <c r="AV144" s="5">
        <v>7300000000000000</v>
      </c>
      <c r="AW144">
        <v>15706</v>
      </c>
      <c r="AX144">
        <v>-273</v>
      </c>
      <c r="AY144" t="s">
        <v>177</v>
      </c>
      <c r="BG144">
        <v>1.34</v>
      </c>
      <c r="BH144" s="5">
        <v>240000000000000</v>
      </c>
      <c r="BI144" t="s">
        <v>81</v>
      </c>
      <c r="BP144" t="s">
        <v>82</v>
      </c>
      <c r="BQ144" t="s">
        <v>178</v>
      </c>
      <c r="BR144">
        <v>70</v>
      </c>
      <c r="BS144">
        <v>48</v>
      </c>
      <c r="BT144" s="5" t="s">
        <v>149</v>
      </c>
      <c r="BU144" s="5" t="s">
        <v>179</v>
      </c>
      <c r="BV144" t="s">
        <v>180</v>
      </c>
      <c r="BW144" t="s">
        <v>659</v>
      </c>
    </row>
    <row r="145" spans="1:75" x14ac:dyDescent="0.75">
      <c r="A145" t="s">
        <v>181</v>
      </c>
      <c r="B145" t="s">
        <v>95</v>
      </c>
      <c r="C145" t="s">
        <v>121</v>
      </c>
      <c r="D145" s="8" t="s">
        <v>122</v>
      </c>
      <c r="E145" s="8" t="s">
        <v>122</v>
      </c>
      <c r="F145">
        <v>100</v>
      </c>
      <c r="G145">
        <v>1</v>
      </c>
      <c r="H145" t="s">
        <v>91</v>
      </c>
      <c r="I145">
        <v>0.5</v>
      </c>
      <c r="J145">
        <v>0.5</v>
      </c>
      <c r="N145">
        <v>105</v>
      </c>
      <c r="O145">
        <v>100</v>
      </c>
      <c r="P145">
        <v>110</v>
      </c>
      <c r="R145" t="s">
        <v>84</v>
      </c>
      <c r="AB145" s="5">
        <v>1.0040182291493E-7</v>
      </c>
      <c r="AC145" s="5">
        <v>2.4755060479667698E-7</v>
      </c>
      <c r="AD145" s="5">
        <v>5.9380382917968296E-7</v>
      </c>
      <c r="AE145" s="5">
        <v>1.38744684219178E-6</v>
      </c>
      <c r="AF145" s="5">
        <v>3.28526501987782E-6</v>
      </c>
      <c r="AG145" s="5">
        <v>4.7789679206128902E-6</v>
      </c>
      <c r="AH145" s="5">
        <v>6.87737519931348E-6</v>
      </c>
      <c r="AI145" s="5">
        <v>9.7956845840075802E-6</v>
      </c>
      <c r="AJ145" s="5">
        <v>1.3815220599864201E-5</v>
      </c>
      <c r="AK145" s="5">
        <v>1.93005183320635E-5</v>
      </c>
      <c r="AL145" s="5">
        <v>3.6670495931877697E-5</v>
      </c>
      <c r="AV145">
        <v>0.05</v>
      </c>
      <c r="AW145">
        <v>418</v>
      </c>
      <c r="AX145">
        <v>5</v>
      </c>
      <c r="AY145" t="s">
        <v>80</v>
      </c>
      <c r="BG145">
        <v>1.07</v>
      </c>
      <c r="BH145" s="5">
        <v>14000000000</v>
      </c>
      <c r="BI145" t="s">
        <v>182</v>
      </c>
      <c r="BP145" t="s">
        <v>82</v>
      </c>
      <c r="BQ145" t="s">
        <v>178</v>
      </c>
      <c r="BR145">
        <v>70</v>
      </c>
      <c r="BS145">
        <v>48</v>
      </c>
      <c r="BT145" s="5" t="s">
        <v>149</v>
      </c>
      <c r="BU145" s="5" t="s">
        <v>179</v>
      </c>
      <c r="BV145" t="s">
        <v>180</v>
      </c>
      <c r="BW145" t="s">
        <v>659</v>
      </c>
    </row>
    <row r="146" spans="1:75" x14ac:dyDescent="0.75">
      <c r="B146" t="s">
        <v>95</v>
      </c>
      <c r="C146" t="s">
        <v>121</v>
      </c>
      <c r="D146" s="8" t="s">
        <v>122</v>
      </c>
      <c r="E146" s="8" t="s">
        <v>122</v>
      </c>
      <c r="F146">
        <v>100</v>
      </c>
      <c r="G146">
        <v>1</v>
      </c>
      <c r="H146" t="s">
        <v>91</v>
      </c>
      <c r="I146">
        <v>0.2</v>
      </c>
      <c r="J146">
        <v>0.2</v>
      </c>
      <c r="R146" t="s">
        <v>84</v>
      </c>
      <c r="AA146" s="5">
        <v>5.9957380496522101E-10</v>
      </c>
      <c r="AB146" s="5">
        <v>1.10782557867374E-9</v>
      </c>
      <c r="AC146" s="5">
        <v>2.0083953087629098E-9</v>
      </c>
      <c r="AD146" s="5">
        <v>3.5756354693792598E-9</v>
      </c>
      <c r="AE146" s="5">
        <v>6.2565946419375599E-9</v>
      </c>
      <c r="AF146" s="5">
        <v>1.0768050661973599E-8</v>
      </c>
      <c r="AG146" s="5">
        <v>1.8241668471793999E-8</v>
      </c>
      <c r="AH146" s="5">
        <v>3.0438026133628903E-8</v>
      </c>
      <c r="AI146" s="5">
        <v>5.00578470127601E-8</v>
      </c>
      <c r="AJ146" s="5">
        <v>8.1188646343298099E-8</v>
      </c>
      <c r="AK146" s="5">
        <v>1.2993766640345001E-7</v>
      </c>
      <c r="AL146" s="5">
        <v>3.2047518015075901E-7</v>
      </c>
      <c r="AV146" s="5">
        <v>1700000000</v>
      </c>
      <c r="AW146">
        <v>12404</v>
      </c>
      <c r="AX146">
        <v>-273</v>
      </c>
      <c r="AY146" t="s">
        <v>80</v>
      </c>
      <c r="BG146">
        <v>1.05</v>
      </c>
      <c r="BH146" s="5">
        <v>55000000</v>
      </c>
      <c r="BI146" t="s">
        <v>81</v>
      </c>
      <c r="BP146" t="s">
        <v>82</v>
      </c>
      <c r="BQ146" t="s">
        <v>178</v>
      </c>
      <c r="BR146">
        <v>70</v>
      </c>
      <c r="BS146">
        <v>48</v>
      </c>
      <c r="BT146" s="5" t="s">
        <v>149</v>
      </c>
      <c r="BU146" s="5" t="s">
        <v>179</v>
      </c>
      <c r="BV146" t="s">
        <v>180</v>
      </c>
      <c r="BW146" t="s">
        <v>659</v>
      </c>
    </row>
    <row r="147" spans="1:75" x14ac:dyDescent="0.75">
      <c r="A147" s="1"/>
      <c r="B147" s="1" t="s">
        <v>95</v>
      </c>
      <c r="C147" s="1" t="s">
        <v>121</v>
      </c>
      <c r="D147" s="8" t="s">
        <v>122</v>
      </c>
      <c r="E147" s="8" t="s">
        <v>122</v>
      </c>
      <c r="F147" s="1">
        <v>100</v>
      </c>
      <c r="G147" s="1">
        <v>1</v>
      </c>
      <c r="H147" s="1" t="s">
        <v>91</v>
      </c>
      <c r="I147" s="1">
        <v>0.1</v>
      </c>
      <c r="J147" s="1">
        <v>0.1</v>
      </c>
      <c r="K147" s="1"/>
      <c r="L147" s="1"/>
      <c r="M147" s="1"/>
      <c r="N147" s="1"/>
      <c r="O147" s="1"/>
      <c r="P147" s="1"/>
      <c r="Q147" s="1"/>
      <c r="R147" s="1" t="s">
        <v>84</v>
      </c>
      <c r="S147" s="1"/>
      <c r="T147" s="1"/>
      <c r="U147" s="1"/>
      <c r="V147" s="1"/>
      <c r="W147" s="1"/>
      <c r="X147" s="1"/>
      <c r="Y147" s="1"/>
      <c r="Z147" s="1"/>
      <c r="AA147" s="1"/>
      <c r="AB147" s="1"/>
      <c r="AC147" s="3">
        <v>5.0459047970705502E-9</v>
      </c>
      <c r="AD147" s="3">
        <v>9.9308958364095206E-9</v>
      </c>
      <c r="AE147" s="3">
        <v>1.91518823568202E-8</v>
      </c>
      <c r="AF147" s="3">
        <v>3.6224274473331297E-8</v>
      </c>
      <c r="AG147" s="3">
        <v>6.7254573991694503E-8</v>
      </c>
      <c r="AH147" s="3">
        <v>1.2266633311100601E-7</v>
      </c>
      <c r="AI147" s="3">
        <v>2.1995721489931499E-7</v>
      </c>
      <c r="AJ147" s="3">
        <v>3.8803406261006598E-7</v>
      </c>
      <c r="AK147" s="3">
        <v>6.7392689658294403E-7</v>
      </c>
      <c r="AL147" s="3">
        <v>1.9445725207144399E-6</v>
      </c>
      <c r="AM147" s="1"/>
      <c r="AN147" s="1"/>
      <c r="AO147" s="1"/>
      <c r="AP147" s="1"/>
      <c r="AQ147" s="1"/>
      <c r="AR147" s="1"/>
      <c r="AS147" s="1"/>
      <c r="AT147" s="1"/>
      <c r="AU147" s="1"/>
      <c r="AV147" s="3">
        <v>100000</v>
      </c>
      <c r="AW147" s="1">
        <v>5085</v>
      </c>
      <c r="AX147" s="1">
        <v>-133</v>
      </c>
      <c r="AY147" s="1" t="s">
        <v>80</v>
      </c>
      <c r="AZ147" s="1"/>
      <c r="BA147" s="1"/>
      <c r="BB147" s="1"/>
      <c r="BC147" s="1"/>
      <c r="BD147" s="1"/>
      <c r="BE147" s="1"/>
      <c r="BF147" s="1"/>
      <c r="BG147" s="1">
        <v>1.24</v>
      </c>
      <c r="BH147" s="3">
        <v>100000000000</v>
      </c>
      <c r="BI147" s="1" t="s">
        <v>81</v>
      </c>
      <c r="BJ147" s="1"/>
      <c r="BK147" s="1"/>
      <c r="BL147" s="1"/>
      <c r="BM147" s="1"/>
      <c r="BN147" s="1"/>
      <c r="BO147" s="1"/>
      <c r="BP147" s="1" t="s">
        <v>82</v>
      </c>
      <c r="BQ147" s="1" t="s">
        <v>178</v>
      </c>
      <c r="BR147" s="1">
        <v>70</v>
      </c>
      <c r="BS147" s="1">
        <v>48</v>
      </c>
      <c r="BT147" s="5" t="s">
        <v>149</v>
      </c>
      <c r="BU147" s="3" t="s">
        <v>179</v>
      </c>
      <c r="BV147" t="s">
        <v>180</v>
      </c>
      <c r="BW147" t="s">
        <v>659</v>
      </c>
    </row>
    <row r="148" spans="1:75" x14ac:dyDescent="0.75">
      <c r="A148" t="s">
        <v>183</v>
      </c>
      <c r="B148" t="s">
        <v>145</v>
      </c>
      <c r="C148" t="s">
        <v>161</v>
      </c>
      <c r="D148" t="s">
        <v>136</v>
      </c>
      <c r="E148" t="s">
        <v>136</v>
      </c>
      <c r="F148">
        <v>100</v>
      </c>
      <c r="G148">
        <v>1</v>
      </c>
      <c r="H148" t="s">
        <v>90</v>
      </c>
      <c r="J148" s="4"/>
      <c r="K148">
        <v>2</v>
      </c>
      <c r="L148">
        <v>-63</v>
      </c>
      <c r="M148">
        <v>-65</v>
      </c>
      <c r="N148">
        <v>54</v>
      </c>
      <c r="O148">
        <v>41</v>
      </c>
      <c r="P148">
        <v>63</v>
      </c>
      <c r="R148" t="s">
        <v>84</v>
      </c>
      <c r="X148" s="16">
        <v>6.2039999999999997E-9</v>
      </c>
      <c r="BP148" t="s">
        <v>82</v>
      </c>
      <c r="BQ148" t="s">
        <v>148</v>
      </c>
      <c r="BR148">
        <v>25</v>
      </c>
      <c r="BS148">
        <v>72</v>
      </c>
      <c r="BT148" s="5" t="s">
        <v>149</v>
      </c>
      <c r="BV148" t="s">
        <v>184</v>
      </c>
      <c r="BW148" t="s">
        <v>660</v>
      </c>
    </row>
    <row r="149" spans="1:75" x14ac:dyDescent="0.75">
      <c r="B149" t="s">
        <v>145</v>
      </c>
      <c r="C149" t="s">
        <v>161</v>
      </c>
      <c r="D149" t="s">
        <v>136</v>
      </c>
      <c r="E149" t="s">
        <v>136</v>
      </c>
      <c r="F149">
        <v>100</v>
      </c>
      <c r="G149">
        <v>1</v>
      </c>
      <c r="H149" t="s">
        <v>90</v>
      </c>
      <c r="J149" s="4"/>
      <c r="K149">
        <v>6</v>
      </c>
      <c r="L149">
        <v>-56</v>
      </c>
      <c r="M149">
        <v>-65</v>
      </c>
      <c r="N149">
        <v>53</v>
      </c>
      <c r="O149">
        <v>36</v>
      </c>
      <c r="P149">
        <v>60</v>
      </c>
      <c r="R149" t="s">
        <v>84</v>
      </c>
      <c r="X149" s="5">
        <v>6.835E-7</v>
      </c>
      <c r="BP149" t="s">
        <v>82</v>
      </c>
      <c r="BQ149" t="s">
        <v>148</v>
      </c>
      <c r="BR149">
        <v>25</v>
      </c>
      <c r="BS149">
        <v>72</v>
      </c>
      <c r="BT149" s="5" t="s">
        <v>149</v>
      </c>
      <c r="BV149" t="s">
        <v>184</v>
      </c>
      <c r="BW149" t="s">
        <v>660</v>
      </c>
    </row>
    <row r="150" spans="1:75" x14ac:dyDescent="0.75">
      <c r="B150" t="s">
        <v>145</v>
      </c>
      <c r="C150" t="s">
        <v>161</v>
      </c>
      <c r="D150" t="s">
        <v>136</v>
      </c>
      <c r="E150" t="s">
        <v>136</v>
      </c>
      <c r="F150">
        <v>100</v>
      </c>
      <c r="G150">
        <v>1</v>
      </c>
      <c r="H150" t="s">
        <v>90</v>
      </c>
      <c r="J150" s="4"/>
      <c r="K150">
        <v>10</v>
      </c>
      <c r="L150">
        <v>-52</v>
      </c>
      <c r="M150">
        <v>-65</v>
      </c>
      <c r="N150">
        <v>51</v>
      </c>
      <c r="O150">
        <v>27</v>
      </c>
      <c r="P150">
        <v>63</v>
      </c>
      <c r="R150" t="s">
        <v>84</v>
      </c>
      <c r="X150" s="5">
        <v>1.2410000000000001E-6</v>
      </c>
      <c r="BP150" t="s">
        <v>82</v>
      </c>
      <c r="BQ150" t="s">
        <v>148</v>
      </c>
      <c r="BR150">
        <v>25</v>
      </c>
      <c r="BS150">
        <v>72</v>
      </c>
      <c r="BT150" s="5" t="s">
        <v>149</v>
      </c>
      <c r="BV150" t="s">
        <v>184</v>
      </c>
      <c r="BW150" t="s">
        <v>660</v>
      </c>
    </row>
    <row r="151" spans="1:75" x14ac:dyDescent="0.75">
      <c r="A151" s="1"/>
      <c r="B151" s="1" t="s">
        <v>145</v>
      </c>
      <c r="C151" s="1" t="s">
        <v>161</v>
      </c>
      <c r="D151" t="s">
        <v>136</v>
      </c>
      <c r="E151" t="s">
        <v>136</v>
      </c>
      <c r="F151" s="1">
        <v>100</v>
      </c>
      <c r="G151" s="1">
        <v>1</v>
      </c>
      <c r="H151" s="1" t="s">
        <v>90</v>
      </c>
      <c r="I151" s="1"/>
      <c r="J151" s="2"/>
      <c r="K151" s="1">
        <v>12</v>
      </c>
      <c r="L151" s="1">
        <v>-47</v>
      </c>
      <c r="M151" s="1">
        <v>-65</v>
      </c>
      <c r="N151" s="1">
        <v>48</v>
      </c>
      <c r="O151" s="1">
        <v>31</v>
      </c>
      <c r="P151" s="1">
        <v>59</v>
      </c>
      <c r="Q151" s="1"/>
      <c r="R151" s="1" t="s">
        <v>84</v>
      </c>
      <c r="S151" s="1"/>
      <c r="T151" s="1"/>
      <c r="U151" s="1"/>
      <c r="V151" s="1"/>
      <c r="W151" s="1"/>
      <c r="X151" s="3">
        <v>9.6160000000000003E-7</v>
      </c>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t="s">
        <v>82</v>
      </c>
      <c r="BQ151" s="1" t="s">
        <v>148</v>
      </c>
      <c r="BR151" s="1">
        <v>25</v>
      </c>
      <c r="BS151" s="1">
        <v>72</v>
      </c>
      <c r="BT151" s="5" t="s">
        <v>149</v>
      </c>
      <c r="BU151" s="1"/>
      <c r="BV151" t="s">
        <v>184</v>
      </c>
      <c r="BW151" t="s">
        <v>660</v>
      </c>
    </row>
    <row r="152" spans="1:75" x14ac:dyDescent="0.75">
      <c r="A152" t="s">
        <v>185</v>
      </c>
      <c r="B152" t="s">
        <v>145</v>
      </c>
      <c r="C152" t="s">
        <v>186</v>
      </c>
      <c r="D152" t="s">
        <v>187</v>
      </c>
      <c r="E152" t="s">
        <v>187</v>
      </c>
      <c r="F152">
        <v>100</v>
      </c>
      <c r="G152">
        <v>2</v>
      </c>
      <c r="H152" t="s">
        <v>188</v>
      </c>
      <c r="I152">
        <v>0.08</v>
      </c>
      <c r="J152" s="4">
        <f>I152/G152</f>
        <v>0.04</v>
      </c>
      <c r="L152">
        <v>-3</v>
      </c>
      <c r="M152">
        <v>-9</v>
      </c>
      <c r="N152">
        <v>103</v>
      </c>
      <c r="R152" t="s">
        <v>84</v>
      </c>
      <c r="Z152" s="5">
        <v>2.5167088788435898E-10</v>
      </c>
      <c r="AA152" s="5">
        <v>7.1698256559127696E-10</v>
      </c>
      <c r="AB152" s="5">
        <v>1.8552747508425501E-9</v>
      </c>
      <c r="AC152" s="5">
        <v>4.4157951152252697E-9</v>
      </c>
      <c r="AD152" s="5">
        <v>9.7694700240236003E-9</v>
      </c>
      <c r="AE152" s="5">
        <v>2.02685302695305E-8</v>
      </c>
      <c r="AF152" s="5">
        <v>3.9728230780550798E-8</v>
      </c>
      <c r="AG152" s="5">
        <v>7.4038417698173506E-8</v>
      </c>
      <c r="AH152" s="5">
        <v>1.31903437448078E-7</v>
      </c>
      <c r="AI152" s="5">
        <v>2.2569897810219099E-7</v>
      </c>
      <c r="AJ152" s="5">
        <v>3.72425047298607E-7</v>
      </c>
      <c r="AK152" s="5">
        <v>5.9472640964257505E-7</v>
      </c>
      <c r="AV152">
        <v>16.7</v>
      </c>
      <c r="AW152">
        <v>2195</v>
      </c>
      <c r="AX152">
        <v>-65</v>
      </c>
      <c r="AY152" t="s">
        <v>80</v>
      </c>
      <c r="AZ152">
        <v>3.2</v>
      </c>
      <c r="BA152">
        <v>1800</v>
      </c>
      <c r="BB152">
        <v>-53</v>
      </c>
      <c r="BG152">
        <v>1.3</v>
      </c>
      <c r="BH152" s="5">
        <v>3700000000000</v>
      </c>
      <c r="BI152" t="s">
        <v>81</v>
      </c>
      <c r="BM152">
        <v>2.59</v>
      </c>
      <c r="BN152" s="17">
        <v>23.4</v>
      </c>
      <c r="BO152" s="18">
        <f>BN152*BM152</f>
        <v>60.605999999999995</v>
      </c>
      <c r="BP152" t="s">
        <v>82</v>
      </c>
      <c r="BQ152" t="s">
        <v>125</v>
      </c>
      <c r="BR152">
        <v>120</v>
      </c>
      <c r="BT152" s="5" t="s">
        <v>189</v>
      </c>
      <c r="BV152" t="s">
        <v>190</v>
      </c>
      <c r="BW152" t="s">
        <v>661</v>
      </c>
    </row>
    <row r="153" spans="1:75" x14ac:dyDescent="0.75">
      <c r="A153" s="1"/>
      <c r="B153" s="1" t="s">
        <v>145</v>
      </c>
      <c r="C153" s="1" t="s">
        <v>191</v>
      </c>
      <c r="D153" s="1" t="s">
        <v>192</v>
      </c>
      <c r="E153" s="1" t="s">
        <v>192</v>
      </c>
      <c r="F153" s="1">
        <v>100</v>
      </c>
      <c r="G153" s="1">
        <v>2</v>
      </c>
      <c r="H153" s="1" t="s">
        <v>188</v>
      </c>
      <c r="I153" s="1">
        <v>0.08</v>
      </c>
      <c r="J153" s="2">
        <f>I153/G153</f>
        <v>0.04</v>
      </c>
      <c r="K153" s="1"/>
      <c r="L153" s="1">
        <v>-37</v>
      </c>
      <c r="M153" s="1">
        <v>-42</v>
      </c>
      <c r="N153" s="1">
        <v>79</v>
      </c>
      <c r="O153" s="1"/>
      <c r="P153" s="1"/>
      <c r="Q153" s="1"/>
      <c r="R153" s="1" t="s">
        <v>84</v>
      </c>
      <c r="S153" s="1"/>
      <c r="T153" s="1"/>
      <c r="U153" s="1"/>
      <c r="V153" s="1"/>
      <c r="W153" s="1"/>
      <c r="X153" s="1"/>
      <c r="Y153" s="3">
        <v>1.9169416478744398E-9</v>
      </c>
      <c r="Z153" s="3">
        <v>3.9736616265388701E-9</v>
      </c>
      <c r="AA153" s="3">
        <v>7.35019390043966E-9</v>
      </c>
      <c r="AB153" s="3">
        <v>1.2433707184956999E-8</v>
      </c>
      <c r="AC153" s="3">
        <v>1.9584171506976801E-8</v>
      </c>
      <c r="AD153" s="3">
        <v>2.91111757993907E-8</v>
      </c>
      <c r="AE153" s="3">
        <v>4.1260017151617603E-8</v>
      </c>
      <c r="AF153" s="3">
        <v>5.6206004762759603E-8</v>
      </c>
      <c r="AG153" s="3">
        <v>7.4055090741155595E-8</v>
      </c>
      <c r="AH153" s="1"/>
      <c r="AI153" s="1"/>
      <c r="AJ153" s="1"/>
      <c r="AK153" s="1"/>
      <c r="AL153" s="1"/>
      <c r="AM153" s="1"/>
      <c r="AN153" s="1"/>
      <c r="AO153" s="1"/>
      <c r="AP153" s="1"/>
      <c r="AQ153" s="1"/>
      <c r="AR153" s="1"/>
      <c r="AS153" s="1"/>
      <c r="AT153" s="1"/>
      <c r="AU153" s="1"/>
      <c r="AV153" s="1">
        <v>2.0000000000000001E-4</v>
      </c>
      <c r="AW153" s="1">
        <v>480</v>
      </c>
      <c r="AX153" s="1">
        <v>-25</v>
      </c>
      <c r="AY153" s="1" t="s">
        <v>80</v>
      </c>
      <c r="AZ153" s="1">
        <v>0.08</v>
      </c>
      <c r="BA153" s="1">
        <v>1696</v>
      </c>
      <c r="BB153" s="1">
        <v>-87</v>
      </c>
      <c r="BC153" s="1"/>
      <c r="BD153" s="1"/>
      <c r="BE153" s="1"/>
      <c r="BF153" s="1"/>
      <c r="BG153" s="1">
        <v>0.8</v>
      </c>
      <c r="BH153" s="3">
        <v>65000</v>
      </c>
      <c r="BI153" s="1" t="s">
        <v>81</v>
      </c>
      <c r="BJ153" s="1"/>
      <c r="BK153" s="1"/>
      <c r="BL153" s="1"/>
      <c r="BM153" s="1">
        <v>2.71</v>
      </c>
      <c r="BN153" s="19">
        <v>33</v>
      </c>
      <c r="BO153" s="19">
        <f>BN153*BM153</f>
        <v>89.429999999999993</v>
      </c>
      <c r="BP153" s="1" t="s">
        <v>82</v>
      </c>
      <c r="BQ153" s="1" t="s">
        <v>125</v>
      </c>
      <c r="BR153" s="1">
        <v>90</v>
      </c>
      <c r="BS153" s="1"/>
      <c r="BT153" s="3" t="s">
        <v>189</v>
      </c>
      <c r="BU153" s="1"/>
      <c r="BV153" t="s">
        <v>190</v>
      </c>
      <c r="BW153" t="s">
        <v>661</v>
      </c>
    </row>
    <row r="154" spans="1:75" x14ac:dyDescent="0.75">
      <c r="A154" s="20" t="s">
        <v>193</v>
      </c>
      <c r="B154" t="s">
        <v>194</v>
      </c>
      <c r="C154" t="s">
        <v>195</v>
      </c>
      <c r="D154" t="s">
        <v>196</v>
      </c>
      <c r="E154" t="s">
        <v>196</v>
      </c>
      <c r="F154">
        <v>100</v>
      </c>
      <c r="G154">
        <v>3</v>
      </c>
      <c r="H154" t="s">
        <v>78</v>
      </c>
      <c r="I154">
        <f>J154*G154</f>
        <v>3</v>
      </c>
      <c r="J154" s="4">
        <v>1</v>
      </c>
      <c r="L154">
        <v>24</v>
      </c>
      <c r="Q154">
        <v>0</v>
      </c>
      <c r="R154" t="s">
        <v>79</v>
      </c>
      <c r="S154">
        <v>1.5452544395384127E-8</v>
      </c>
      <c r="U154">
        <v>1.4256075936021868E-7</v>
      </c>
      <c r="Y154">
        <v>3.3728730865886828E-7</v>
      </c>
      <c r="AA154">
        <v>6.8391164728142821E-7</v>
      </c>
      <c r="AC154">
        <v>1.2618275345906688E-6</v>
      </c>
      <c r="AE154">
        <v>2.1978598727848216E-6</v>
      </c>
      <c r="AG154">
        <v>3.2809529311311839E-6</v>
      </c>
      <c r="AI154">
        <v>4.1209751909733019E-6</v>
      </c>
      <c r="AV154">
        <v>0.03</v>
      </c>
      <c r="AW154">
        <v>967</v>
      </c>
      <c r="AX154">
        <v>-82</v>
      </c>
      <c r="AY154" t="s">
        <v>80</v>
      </c>
      <c r="AZ154">
        <v>2.9999999999999997E-4</v>
      </c>
      <c r="BA154">
        <v>204</v>
      </c>
      <c r="BB154">
        <v>-26</v>
      </c>
      <c r="BG154">
        <v>0.57999999999999996</v>
      </c>
      <c r="BH154">
        <v>1360</v>
      </c>
      <c r="BI154" t="s">
        <v>81</v>
      </c>
      <c r="BN154" s="17">
        <v>47</v>
      </c>
      <c r="BO154" s="17"/>
      <c r="BP154" t="s">
        <v>82</v>
      </c>
      <c r="BQ154" t="s">
        <v>83</v>
      </c>
      <c r="BR154">
        <v>90</v>
      </c>
      <c r="BS154">
        <v>24</v>
      </c>
      <c r="BT154" s="5" t="s">
        <v>84</v>
      </c>
      <c r="BV154" t="s">
        <v>197</v>
      </c>
      <c r="BW154" t="s">
        <v>662</v>
      </c>
    </row>
    <row r="155" spans="1:75" x14ac:dyDescent="0.75">
      <c r="A155" s="20" t="s">
        <v>198</v>
      </c>
      <c r="B155" t="s">
        <v>194</v>
      </c>
      <c r="C155" t="s">
        <v>195</v>
      </c>
      <c r="D155" t="s">
        <v>196</v>
      </c>
      <c r="E155" t="s">
        <v>196</v>
      </c>
      <c r="F155">
        <v>100</v>
      </c>
      <c r="G155">
        <v>3</v>
      </c>
      <c r="H155" t="s">
        <v>78</v>
      </c>
      <c r="I155">
        <f>J155*G155</f>
        <v>2</v>
      </c>
      <c r="J155" s="4">
        <f>1/1.5</f>
        <v>0.66666666666666663</v>
      </c>
      <c r="L155">
        <v>35</v>
      </c>
      <c r="Q155">
        <v>0</v>
      </c>
      <c r="R155" t="s">
        <v>79</v>
      </c>
      <c r="S155">
        <v>1.9010782799232947E-9</v>
      </c>
      <c r="U155">
        <v>4.3251383103500869E-8</v>
      </c>
      <c r="Y155">
        <v>1.393156802945302E-7</v>
      </c>
      <c r="AA155">
        <v>3.9174187710778284E-7</v>
      </c>
      <c r="AC155">
        <v>9.4623716136579113E-7</v>
      </c>
      <c r="AE155">
        <v>2.0749135174549076E-6</v>
      </c>
      <c r="AG155">
        <v>4.2072662838444301E-6</v>
      </c>
      <c r="AI155">
        <v>8.2224264994707029E-6</v>
      </c>
      <c r="AV155">
        <v>11</v>
      </c>
      <c r="AW155">
        <v>2085</v>
      </c>
      <c r="AX155">
        <v>-106</v>
      </c>
      <c r="AY155" t="s">
        <v>80</v>
      </c>
      <c r="AZ155">
        <v>2.0000000000000001E-4</v>
      </c>
      <c r="BA155">
        <v>147</v>
      </c>
      <c r="BB155">
        <v>-15</v>
      </c>
      <c r="BG155">
        <v>0.86</v>
      </c>
      <c r="BH155" s="5">
        <v>18000000</v>
      </c>
      <c r="BI155" t="s">
        <v>81</v>
      </c>
      <c r="BN155" s="17">
        <v>47</v>
      </c>
      <c r="BO155" s="17"/>
      <c r="BP155" t="s">
        <v>82</v>
      </c>
      <c r="BQ155" t="s">
        <v>83</v>
      </c>
      <c r="BR155">
        <v>90</v>
      </c>
      <c r="BS155">
        <v>24</v>
      </c>
      <c r="BT155" s="5" t="s">
        <v>84</v>
      </c>
      <c r="BV155" t="s">
        <v>197</v>
      </c>
      <c r="BW155" t="s">
        <v>662</v>
      </c>
    </row>
    <row r="156" spans="1:75" x14ac:dyDescent="0.75">
      <c r="A156" s="20"/>
      <c r="B156" t="s">
        <v>194</v>
      </c>
      <c r="C156" t="s">
        <v>195</v>
      </c>
      <c r="D156" t="s">
        <v>196</v>
      </c>
      <c r="E156" t="s">
        <v>196</v>
      </c>
      <c r="F156">
        <v>100</v>
      </c>
      <c r="G156">
        <v>3</v>
      </c>
      <c r="H156" t="s">
        <v>78</v>
      </c>
      <c r="I156">
        <f>J156*G156</f>
        <v>1</v>
      </c>
      <c r="J156" s="4">
        <f>1/3</f>
        <v>0.33333333333333331</v>
      </c>
      <c r="L156">
        <v>32</v>
      </c>
      <c r="Q156">
        <v>0</v>
      </c>
      <c r="R156" t="s">
        <v>79</v>
      </c>
      <c r="S156">
        <v>1.3243415351946626E-8</v>
      </c>
      <c r="U156">
        <v>5.0699070827470331E-7</v>
      </c>
      <c r="Y156">
        <v>1.7947336268325217E-6</v>
      </c>
      <c r="AA156">
        <v>5.1522864458175575E-6</v>
      </c>
      <c r="AC156">
        <v>1.2189895989248662E-5</v>
      </c>
      <c r="AE156">
        <v>2.5703957827688621E-5</v>
      </c>
      <c r="AG156">
        <v>5.0234258952238572E-5</v>
      </c>
      <c r="AI156">
        <v>8.912509381337452E-5</v>
      </c>
      <c r="AV156">
        <v>5.5</v>
      </c>
      <c r="AW156">
        <v>1246</v>
      </c>
      <c r="AX156">
        <v>-73</v>
      </c>
      <c r="AY156" t="s">
        <v>80</v>
      </c>
      <c r="AZ156">
        <v>4.0000000000000001E-3</v>
      </c>
      <c r="BA156">
        <v>196</v>
      </c>
      <c r="BB156">
        <v>-18</v>
      </c>
      <c r="BG156">
        <v>0.98</v>
      </c>
      <c r="BH156" s="5">
        <v>680000000</v>
      </c>
      <c r="BI156" t="s">
        <v>81</v>
      </c>
      <c r="BN156" s="17">
        <v>47</v>
      </c>
      <c r="BO156" s="17"/>
      <c r="BP156" t="s">
        <v>82</v>
      </c>
      <c r="BQ156" t="s">
        <v>83</v>
      </c>
      <c r="BR156">
        <v>90</v>
      </c>
      <c r="BS156">
        <v>24</v>
      </c>
      <c r="BT156" s="5" t="s">
        <v>84</v>
      </c>
      <c r="BV156" t="s">
        <v>197</v>
      </c>
      <c r="BW156" t="s">
        <v>662</v>
      </c>
    </row>
    <row r="157" spans="1:75" x14ac:dyDescent="0.75">
      <c r="A157" s="21"/>
      <c r="B157" s="1" t="s">
        <v>194</v>
      </c>
      <c r="C157" s="1" t="s">
        <v>195</v>
      </c>
      <c r="D157" t="s">
        <v>196</v>
      </c>
      <c r="E157" t="s">
        <v>196</v>
      </c>
      <c r="F157" s="1">
        <v>100</v>
      </c>
      <c r="G157" s="1">
        <v>3</v>
      </c>
      <c r="H157" s="1" t="s">
        <v>78</v>
      </c>
      <c r="I157" s="1">
        <f>J157*G157</f>
        <v>0.33333333333333331</v>
      </c>
      <c r="J157" s="2">
        <f>1/9</f>
        <v>0.1111111111111111</v>
      </c>
      <c r="K157" s="1"/>
      <c r="L157" s="1">
        <v>39</v>
      </c>
      <c r="M157" s="1"/>
      <c r="N157" s="1"/>
      <c r="O157" s="1"/>
      <c r="P157" s="1"/>
      <c r="Q157" s="1">
        <v>0</v>
      </c>
      <c r="R157" s="1" t="s">
        <v>79</v>
      </c>
      <c r="S157" s="1"/>
      <c r="T157" s="1"/>
      <c r="U157" s="1">
        <v>7.3620709749473596E-10</v>
      </c>
      <c r="V157" s="1"/>
      <c r="W157" s="1"/>
      <c r="X157" s="1"/>
      <c r="Y157" s="1">
        <v>2.5061092530321045E-9</v>
      </c>
      <c r="Z157" s="1"/>
      <c r="AA157" s="1">
        <v>7.3282453313890375E-9</v>
      </c>
      <c r="AB157" s="1"/>
      <c r="AC157" s="1">
        <v>1.9498445997580434E-8</v>
      </c>
      <c r="AD157" s="1"/>
      <c r="AE157" s="1">
        <v>4.5289757990361903E-8</v>
      </c>
      <c r="AF157" s="1"/>
      <c r="AG157" s="1">
        <v>9.1833259648357941E-8</v>
      </c>
      <c r="AH157" s="1"/>
      <c r="AI157" s="1">
        <v>1.6292960326397203E-7</v>
      </c>
      <c r="AJ157" s="1"/>
      <c r="AK157" s="1"/>
      <c r="AL157" s="1"/>
      <c r="AM157" s="1"/>
      <c r="AN157" s="1"/>
      <c r="AO157" s="1"/>
      <c r="AP157" s="1"/>
      <c r="AQ157" s="1"/>
      <c r="AR157" s="1"/>
      <c r="AS157" s="1"/>
      <c r="AT157" s="1"/>
      <c r="AU157" s="1"/>
      <c r="AV157" s="1">
        <v>0.17</v>
      </c>
      <c r="AW157" s="1">
        <v>1937</v>
      </c>
      <c r="AX157" s="1">
        <v>-98</v>
      </c>
      <c r="AY157" s="1" t="s">
        <v>80</v>
      </c>
      <c r="AZ157" s="1">
        <v>1E-4</v>
      </c>
      <c r="BA157" s="1">
        <v>311</v>
      </c>
      <c r="BB157" s="1">
        <v>-11</v>
      </c>
      <c r="BC157" s="1"/>
      <c r="BD157" s="1"/>
      <c r="BE157" s="1"/>
      <c r="BF157" s="1"/>
      <c r="BG157" s="1">
        <v>0.81</v>
      </c>
      <c r="BH157" s="3">
        <v>68000</v>
      </c>
      <c r="BI157" s="1" t="s">
        <v>81</v>
      </c>
      <c r="BJ157" s="1"/>
      <c r="BK157" s="1"/>
      <c r="BL157" s="1"/>
      <c r="BM157" s="1"/>
      <c r="BN157" s="19">
        <v>47</v>
      </c>
      <c r="BO157" s="19"/>
      <c r="BP157" s="1" t="s">
        <v>82</v>
      </c>
      <c r="BQ157" s="1" t="s">
        <v>83</v>
      </c>
      <c r="BR157" s="1">
        <v>90</v>
      </c>
      <c r="BS157" s="1">
        <v>24</v>
      </c>
      <c r="BT157" s="3" t="s">
        <v>84</v>
      </c>
      <c r="BU157" s="1"/>
      <c r="BV157" t="s">
        <v>197</v>
      </c>
      <c r="BW157" t="s">
        <v>662</v>
      </c>
    </row>
    <row r="158" spans="1:75" x14ac:dyDescent="0.75">
      <c r="B158" t="s">
        <v>199</v>
      </c>
      <c r="C158" t="s">
        <v>200</v>
      </c>
      <c r="D158" t="s">
        <v>110</v>
      </c>
      <c r="E158" t="s">
        <v>110</v>
      </c>
      <c r="F158">
        <v>100</v>
      </c>
      <c r="G158">
        <v>1</v>
      </c>
      <c r="H158" t="s">
        <v>91</v>
      </c>
      <c r="J158" s="4"/>
      <c r="K158">
        <v>10</v>
      </c>
      <c r="R158" t="s">
        <v>79</v>
      </c>
      <c r="X158" s="11">
        <v>1.2445146117713822E-6</v>
      </c>
      <c r="BO158" s="17">
        <v>150</v>
      </c>
      <c r="BP158" t="s">
        <v>82</v>
      </c>
      <c r="BQ158" t="s">
        <v>178</v>
      </c>
      <c r="BR158">
        <v>80</v>
      </c>
      <c r="BS158">
        <v>24</v>
      </c>
      <c r="BT158" s="5" t="s">
        <v>84</v>
      </c>
      <c r="BV158" t="s">
        <v>201</v>
      </c>
      <c r="BW158" t="s">
        <v>663</v>
      </c>
    </row>
    <row r="159" spans="1:75" x14ac:dyDescent="0.75">
      <c r="B159" t="s">
        <v>199</v>
      </c>
      <c r="C159" t="s">
        <v>200</v>
      </c>
      <c r="D159" t="s">
        <v>110</v>
      </c>
      <c r="E159" t="s">
        <v>110</v>
      </c>
      <c r="F159">
        <v>100</v>
      </c>
      <c r="G159">
        <v>1</v>
      </c>
      <c r="H159" t="s">
        <v>91</v>
      </c>
      <c r="J159" s="4"/>
      <c r="K159">
        <v>20</v>
      </c>
      <c r="R159" t="s">
        <v>79</v>
      </c>
      <c r="X159">
        <v>2.1232444620002168E-6</v>
      </c>
      <c r="BO159">
        <v>150</v>
      </c>
      <c r="BP159" t="s">
        <v>82</v>
      </c>
      <c r="BQ159" t="s">
        <v>178</v>
      </c>
      <c r="BR159">
        <v>80</v>
      </c>
      <c r="BS159">
        <v>24</v>
      </c>
      <c r="BT159" t="s">
        <v>84</v>
      </c>
      <c r="BV159" t="s">
        <v>201</v>
      </c>
      <c r="BW159" t="s">
        <v>663</v>
      </c>
    </row>
    <row r="160" spans="1:75" x14ac:dyDescent="0.75">
      <c r="B160" t="s">
        <v>199</v>
      </c>
      <c r="C160" t="s">
        <v>200</v>
      </c>
      <c r="D160" t="s">
        <v>110</v>
      </c>
      <c r="E160" t="s">
        <v>110</v>
      </c>
      <c r="F160">
        <v>100</v>
      </c>
      <c r="G160">
        <v>1</v>
      </c>
      <c r="H160" t="s">
        <v>91</v>
      </c>
      <c r="J160" s="4"/>
      <c r="K160">
        <v>30</v>
      </c>
      <c r="R160" t="s">
        <v>84</v>
      </c>
      <c r="X160">
        <v>3.1188895840939328E-6</v>
      </c>
      <c r="BO160" s="17">
        <v>150</v>
      </c>
      <c r="BP160" t="s">
        <v>82</v>
      </c>
      <c r="BQ160" t="s">
        <v>178</v>
      </c>
      <c r="BR160">
        <v>80</v>
      </c>
      <c r="BS160">
        <v>24</v>
      </c>
      <c r="BT160" s="5" t="s">
        <v>84</v>
      </c>
      <c r="BV160" t="s">
        <v>201</v>
      </c>
      <c r="BW160" t="s">
        <v>663</v>
      </c>
    </row>
    <row r="161" spans="1:75" x14ac:dyDescent="0.75">
      <c r="B161" t="s">
        <v>199</v>
      </c>
      <c r="C161" t="s">
        <v>200</v>
      </c>
      <c r="D161" t="s">
        <v>110</v>
      </c>
      <c r="E161" t="s">
        <v>110</v>
      </c>
      <c r="F161">
        <v>100</v>
      </c>
      <c r="G161">
        <v>1</v>
      </c>
      <c r="H161" t="s">
        <v>91</v>
      </c>
      <c r="J161" s="4"/>
      <c r="K161">
        <v>40</v>
      </c>
      <c r="R161" t="s">
        <v>84</v>
      </c>
      <c r="X161">
        <v>4.775292736576902E-6</v>
      </c>
      <c r="BO161" s="17">
        <v>150</v>
      </c>
      <c r="BP161" t="s">
        <v>82</v>
      </c>
      <c r="BQ161" t="s">
        <v>178</v>
      </c>
      <c r="BR161">
        <v>80</v>
      </c>
      <c r="BS161">
        <v>24</v>
      </c>
      <c r="BT161" s="5" t="s">
        <v>84</v>
      </c>
      <c r="BV161" t="s">
        <v>201</v>
      </c>
      <c r="BW161" t="s">
        <v>663</v>
      </c>
    </row>
    <row r="162" spans="1:75" x14ac:dyDescent="0.75">
      <c r="B162" t="s">
        <v>199</v>
      </c>
      <c r="C162" t="s">
        <v>200</v>
      </c>
      <c r="D162" t="s">
        <v>110</v>
      </c>
      <c r="E162" t="s">
        <v>110</v>
      </c>
      <c r="F162">
        <v>100</v>
      </c>
      <c r="G162">
        <v>1</v>
      </c>
      <c r="H162" t="s">
        <v>91</v>
      </c>
      <c r="J162" s="4"/>
      <c r="K162">
        <v>50</v>
      </c>
      <c r="R162" t="s">
        <v>84</v>
      </c>
      <c r="X162">
        <v>5.3210825926679398E-6</v>
      </c>
      <c r="BO162" s="17">
        <v>150</v>
      </c>
      <c r="BP162" t="s">
        <v>82</v>
      </c>
      <c r="BQ162" t="s">
        <v>178</v>
      </c>
      <c r="BR162">
        <v>80</v>
      </c>
      <c r="BS162">
        <v>24</v>
      </c>
      <c r="BT162" s="5" t="s">
        <v>84</v>
      </c>
      <c r="BV162" t="s">
        <v>201</v>
      </c>
      <c r="BW162" t="s">
        <v>663</v>
      </c>
    </row>
    <row r="163" spans="1:75" x14ac:dyDescent="0.75">
      <c r="B163" t="s">
        <v>199</v>
      </c>
      <c r="C163" t="s">
        <v>200</v>
      </c>
      <c r="D163" t="s">
        <v>110</v>
      </c>
      <c r="E163" t="s">
        <v>110</v>
      </c>
      <c r="F163">
        <v>100</v>
      </c>
      <c r="G163">
        <v>1</v>
      </c>
      <c r="H163" t="s">
        <v>91</v>
      </c>
      <c r="J163" s="4"/>
      <c r="K163">
        <v>60</v>
      </c>
      <c r="R163" t="s">
        <v>84</v>
      </c>
      <c r="X163">
        <v>3.140508693876212E-5</v>
      </c>
      <c r="BO163" s="17">
        <v>150</v>
      </c>
      <c r="BP163" t="s">
        <v>82</v>
      </c>
      <c r="BQ163" t="s">
        <v>178</v>
      </c>
      <c r="BR163">
        <v>80</v>
      </c>
      <c r="BS163">
        <v>24</v>
      </c>
      <c r="BT163" s="5" t="s">
        <v>84</v>
      </c>
      <c r="BV163" t="s">
        <v>201</v>
      </c>
      <c r="BW163" t="s">
        <v>663</v>
      </c>
    </row>
    <row r="164" spans="1:75" x14ac:dyDescent="0.75">
      <c r="A164" s="1"/>
      <c r="B164" s="1" t="s">
        <v>199</v>
      </c>
      <c r="C164" s="1" t="s">
        <v>200</v>
      </c>
      <c r="D164" t="s">
        <v>110</v>
      </c>
      <c r="E164" t="s">
        <v>110</v>
      </c>
      <c r="F164" s="1">
        <v>100</v>
      </c>
      <c r="G164" s="1">
        <v>1</v>
      </c>
      <c r="H164" s="1" t="s">
        <v>91</v>
      </c>
      <c r="I164" s="1"/>
      <c r="J164" s="2"/>
      <c r="K164" s="1">
        <v>70</v>
      </c>
      <c r="L164" s="1"/>
      <c r="M164" s="1"/>
      <c r="N164" s="1"/>
      <c r="O164" s="1"/>
      <c r="P164" s="1"/>
      <c r="Q164" s="1"/>
      <c r="R164" s="1" t="s">
        <v>84</v>
      </c>
      <c r="S164" s="1"/>
      <c r="T164" s="1"/>
      <c r="U164" s="1"/>
      <c r="V164" s="1"/>
      <c r="W164" s="1"/>
      <c r="X164" s="1">
        <v>1.2971792709839554E-3</v>
      </c>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9">
        <v>150</v>
      </c>
      <c r="BP164" s="1" t="s">
        <v>82</v>
      </c>
      <c r="BQ164" s="1" t="s">
        <v>178</v>
      </c>
      <c r="BR164" s="1">
        <v>80</v>
      </c>
      <c r="BS164" s="1">
        <v>24</v>
      </c>
      <c r="BT164" s="3" t="s">
        <v>84</v>
      </c>
      <c r="BU164" s="1"/>
      <c r="BV164" t="s">
        <v>201</v>
      </c>
      <c r="BW164" t="s">
        <v>663</v>
      </c>
    </row>
    <row r="165" spans="1:75" x14ac:dyDescent="0.75">
      <c r="B165" t="s">
        <v>199</v>
      </c>
      <c r="C165" t="s">
        <v>200</v>
      </c>
      <c r="D165" t="s">
        <v>110</v>
      </c>
      <c r="E165" t="s">
        <v>110</v>
      </c>
      <c r="F165">
        <v>100</v>
      </c>
      <c r="G165">
        <v>1</v>
      </c>
      <c r="H165" t="s">
        <v>91</v>
      </c>
      <c r="J165" s="4">
        <f>1/12</f>
        <v>8.3333333333333329E-2</v>
      </c>
      <c r="R165" t="s">
        <v>622</v>
      </c>
      <c r="AL165" s="5">
        <v>2.5784041442974598E-10</v>
      </c>
      <c r="AM165" s="5">
        <v>9.0266449529513197E-10</v>
      </c>
      <c r="AN165" s="5">
        <v>5.25455482005318E-9</v>
      </c>
      <c r="AV165" s="5">
        <v>5900000000000</v>
      </c>
      <c r="AW165">
        <v>18106</v>
      </c>
      <c r="AX165">
        <v>-273.14999999999998</v>
      </c>
      <c r="AY165">
        <v>95</v>
      </c>
      <c r="BG165">
        <v>1.54</v>
      </c>
      <c r="BH165" s="5">
        <v>180000000000</v>
      </c>
      <c r="BI165" t="s">
        <v>202</v>
      </c>
      <c r="BP165" t="s">
        <v>82</v>
      </c>
      <c r="BQ165" t="s">
        <v>125</v>
      </c>
      <c r="BR165">
        <v>25</v>
      </c>
      <c r="BS165">
        <v>72</v>
      </c>
      <c r="BT165" s="5" t="s">
        <v>84</v>
      </c>
      <c r="BU165" t="s">
        <v>203</v>
      </c>
      <c r="BV165" t="s">
        <v>204</v>
      </c>
      <c r="BW165" t="s">
        <v>205</v>
      </c>
    </row>
    <row r="166" spans="1:75" x14ac:dyDescent="0.75">
      <c r="A166" t="s">
        <v>206</v>
      </c>
      <c r="B166" t="s">
        <v>199</v>
      </c>
      <c r="C166" t="s">
        <v>200</v>
      </c>
      <c r="D166" t="s">
        <v>110</v>
      </c>
      <c r="E166" t="s">
        <v>110</v>
      </c>
      <c r="F166">
        <v>100</v>
      </c>
      <c r="G166">
        <v>1</v>
      </c>
      <c r="H166" t="s">
        <v>91</v>
      </c>
      <c r="J166">
        <f>1/2</f>
        <v>0.5</v>
      </c>
      <c r="R166" t="s">
        <v>622</v>
      </c>
      <c r="AF166" s="5">
        <v>5.2887335246048104E-9</v>
      </c>
      <c r="AG166" s="5">
        <v>1.38748080845498E-8</v>
      </c>
      <c r="AH166" s="5">
        <v>3.3080674669367997E-8</v>
      </c>
      <c r="AI166" s="5">
        <v>7.2651878746114003E-8</v>
      </c>
      <c r="AJ166" s="5">
        <v>1.48609866178181E-7</v>
      </c>
      <c r="AK166" s="3">
        <v>2.8572966095645599E-7</v>
      </c>
      <c r="AL166" s="5">
        <v>9.0335901621400996E-7</v>
      </c>
      <c r="AM166" s="5">
        <v>2.4089193414879199E-6</v>
      </c>
      <c r="AV166">
        <v>13.7</v>
      </c>
      <c r="AW166">
        <v>1717</v>
      </c>
      <c r="AX166">
        <v>-26.5</v>
      </c>
      <c r="AY166">
        <v>65</v>
      </c>
      <c r="BG166">
        <v>1.48</v>
      </c>
      <c r="BH166" s="5">
        <v>74000000000000</v>
      </c>
      <c r="BI166" t="s">
        <v>207</v>
      </c>
      <c r="BP166" t="s">
        <v>82</v>
      </c>
      <c r="BQ166" t="s">
        <v>125</v>
      </c>
      <c r="BR166">
        <v>25</v>
      </c>
      <c r="BS166">
        <v>72</v>
      </c>
      <c r="BT166" s="5" t="s">
        <v>84</v>
      </c>
      <c r="BV166" t="s">
        <v>204</v>
      </c>
      <c r="BW166" t="s">
        <v>205</v>
      </c>
    </row>
    <row r="167" spans="1:75" x14ac:dyDescent="0.75">
      <c r="A167" s="1"/>
      <c r="B167" s="1" t="s">
        <v>199</v>
      </c>
      <c r="C167" s="1" t="s">
        <v>200</v>
      </c>
      <c r="D167" s="1" t="s">
        <v>110</v>
      </c>
      <c r="E167" s="1" t="s">
        <v>110</v>
      </c>
      <c r="F167" s="1">
        <v>100</v>
      </c>
      <c r="G167" s="1">
        <v>1</v>
      </c>
      <c r="H167" s="1" t="s">
        <v>91</v>
      </c>
      <c r="I167" s="1"/>
      <c r="J167" s="1">
        <f>1/1.2</f>
        <v>0.83333333333333337</v>
      </c>
      <c r="K167" s="1"/>
      <c r="L167" s="1"/>
      <c r="M167" s="1"/>
      <c r="N167" s="1"/>
      <c r="O167" s="1"/>
      <c r="P167" s="1"/>
      <c r="Q167" s="1"/>
      <c r="R167" s="1" t="s">
        <v>622</v>
      </c>
      <c r="S167" s="1"/>
      <c r="T167" s="1"/>
      <c r="U167" s="1"/>
      <c r="V167" s="1"/>
      <c r="W167" s="1"/>
      <c r="X167" s="1"/>
      <c r="Y167" s="3"/>
      <c r="Z167" s="3">
        <v>3.87443670114724E-8</v>
      </c>
      <c r="AA167" s="5">
        <v>8.7680044867119701E-8</v>
      </c>
      <c r="AB167" s="5">
        <v>1.82177666330566E-7</v>
      </c>
      <c r="AC167" s="5">
        <v>3.51953707434567E-7</v>
      </c>
      <c r="AD167" s="5">
        <v>6.3875308117023401E-7</v>
      </c>
      <c r="AE167" s="5">
        <v>1.09824055911719E-6</v>
      </c>
      <c r="AF167" s="5">
        <v>1.80139890990555E-6</v>
      </c>
      <c r="AG167" s="3">
        <v>2.8353176419865301E-6</v>
      </c>
      <c r="AH167" s="5">
        <v>4.3033208424829299E-6</v>
      </c>
      <c r="AI167" s="5">
        <v>6.3244424031447898E-6</v>
      </c>
      <c r="AJ167" s="5">
        <v>9.0323053683618795E-6</v>
      </c>
      <c r="AK167" s="3">
        <v>1.2573496332508501E-5</v>
      </c>
      <c r="AL167" s="3">
        <v>2.2794631630896301E-5</v>
      </c>
      <c r="AM167" s="1"/>
      <c r="AN167" s="1"/>
      <c r="AO167" s="1"/>
      <c r="AP167" s="1"/>
      <c r="AQ167" s="1"/>
      <c r="AR167" s="1"/>
      <c r="AS167" s="1"/>
      <c r="AT167" s="1"/>
      <c r="AU167" s="1"/>
      <c r="AV167" s="1">
        <v>2.4</v>
      </c>
      <c r="AW167" s="1">
        <v>1303</v>
      </c>
      <c r="AX167" s="1">
        <v>-51.4</v>
      </c>
      <c r="AY167" s="1">
        <v>35</v>
      </c>
      <c r="AZ167" s="1"/>
      <c r="BA167" s="1"/>
      <c r="BB167" s="1"/>
      <c r="BC167" s="1"/>
      <c r="BD167" s="1"/>
      <c r="BE167" s="1"/>
      <c r="BF167" s="1"/>
      <c r="BG167" s="1">
        <v>0.94</v>
      </c>
      <c r="BH167" s="3">
        <v>150000000</v>
      </c>
      <c r="BI167" s="1" t="s">
        <v>208</v>
      </c>
      <c r="BJ167" s="1"/>
      <c r="BK167" s="1"/>
      <c r="BL167" s="1"/>
      <c r="BM167" s="1"/>
      <c r="BN167" s="1"/>
      <c r="BO167" s="1"/>
      <c r="BP167" s="1" t="s">
        <v>82</v>
      </c>
      <c r="BQ167" s="1" t="s">
        <v>125</v>
      </c>
      <c r="BR167" s="1">
        <v>25</v>
      </c>
      <c r="BS167" s="1">
        <v>72</v>
      </c>
      <c r="BT167" s="3" t="s">
        <v>84</v>
      </c>
      <c r="BU167" s="1"/>
      <c r="BV167" s="1" t="s">
        <v>204</v>
      </c>
      <c r="BW167" t="s">
        <v>205</v>
      </c>
    </row>
    <row r="168" spans="1:75" x14ac:dyDescent="0.75">
      <c r="A168" t="s">
        <v>209</v>
      </c>
      <c r="B168" t="s">
        <v>199</v>
      </c>
      <c r="C168" t="s">
        <v>210</v>
      </c>
      <c r="D168" t="s">
        <v>211</v>
      </c>
      <c r="E168" t="s">
        <v>211</v>
      </c>
      <c r="F168">
        <v>100</v>
      </c>
      <c r="G168">
        <v>1</v>
      </c>
      <c r="H168" t="s">
        <v>78</v>
      </c>
      <c r="J168" s="4">
        <f>1/2</f>
        <v>0.5</v>
      </c>
      <c r="M168" s="15">
        <v>80</v>
      </c>
      <c r="R168" s="1" t="s">
        <v>622</v>
      </c>
      <c r="W168" s="5">
        <v>7.8852708563191304E-8</v>
      </c>
      <c r="Y168" s="5">
        <v>1.7599785009366101E-7</v>
      </c>
      <c r="Z168" s="5">
        <v>3.6654007500833301E-7</v>
      </c>
      <c r="AA168" s="3">
        <v>7.1839799908555702E-7</v>
      </c>
      <c r="AB168" s="5">
        <v>1.3346279227754201E-6</v>
      </c>
      <c r="AC168" s="5">
        <v>2.3645858879910899E-6</v>
      </c>
      <c r="AD168" s="5">
        <v>4.0161605255274098E-6</v>
      </c>
      <c r="AE168" s="3">
        <v>6.5685656375654096E-6</v>
      </c>
      <c r="AF168" s="5">
        <v>1.03851165114866E-5</v>
      </c>
      <c r="AG168" s="5">
        <v>1.5925400051285499E-5</v>
      </c>
      <c r="AH168" s="5">
        <v>2.3756281553697001E-5</v>
      </c>
      <c r="AI168" s="5">
        <v>3.4561261402595902E-5</v>
      </c>
      <c r="AJ168" s="5">
        <v>4.91477918637276E-5</v>
      </c>
      <c r="AK168" s="5">
        <v>6.8452275915862099E-5</v>
      </c>
      <c r="AV168">
        <v>104</v>
      </c>
      <c r="AW168">
        <v>1941</v>
      </c>
      <c r="AX168">
        <v>-82</v>
      </c>
      <c r="AY168">
        <v>23</v>
      </c>
      <c r="BG168">
        <v>0.94</v>
      </c>
      <c r="BH168" s="5">
        <v>1000000000</v>
      </c>
      <c r="BN168" s="15">
        <v>170</v>
      </c>
      <c r="BP168" t="s">
        <v>82</v>
      </c>
      <c r="BQ168" t="s">
        <v>212</v>
      </c>
      <c r="BT168" s="5" t="s">
        <v>84</v>
      </c>
      <c r="BU168" t="s">
        <v>213</v>
      </c>
      <c r="BV168" t="s">
        <v>214</v>
      </c>
      <c r="BW168" t="s">
        <v>664</v>
      </c>
    </row>
    <row r="169" spans="1:75" x14ac:dyDescent="0.75">
      <c r="B169" t="s">
        <v>199</v>
      </c>
      <c r="C169" t="s">
        <v>210</v>
      </c>
      <c r="D169" t="s">
        <v>211</v>
      </c>
      <c r="E169" t="s">
        <v>211</v>
      </c>
      <c r="F169">
        <v>100</v>
      </c>
      <c r="G169">
        <v>1</v>
      </c>
      <c r="H169" t="s">
        <v>78</v>
      </c>
      <c r="J169" s="4">
        <f>1/3</f>
        <v>0.33333333333333331</v>
      </c>
      <c r="M169" s="15">
        <v>80</v>
      </c>
      <c r="R169" s="1" t="s">
        <v>622</v>
      </c>
      <c r="X169" s="5"/>
      <c r="Y169" s="5"/>
      <c r="Z169" s="5">
        <v>6.4974094839998397E-9</v>
      </c>
      <c r="AA169" s="5">
        <v>1.3730393584124899E-8</v>
      </c>
      <c r="AB169" s="5">
        <v>2.7840677361444699E-8</v>
      </c>
      <c r="AC169" s="5">
        <v>5.4346229051880397E-8</v>
      </c>
      <c r="AD169" s="5">
        <v>1.02433253299862E-7</v>
      </c>
      <c r="AE169" s="3">
        <v>1.8691876829296399E-7</v>
      </c>
      <c r="AF169" s="5">
        <v>3.3101614704161003E-7</v>
      </c>
      <c r="AG169" s="5">
        <v>5.7012880272697104E-7</v>
      </c>
      <c r="AH169" s="5">
        <v>9.56926679007056E-7</v>
      </c>
      <c r="AI169" s="3">
        <v>1.56798506158144E-6</v>
      </c>
      <c r="AJ169" s="5">
        <v>2.51228353054117E-6</v>
      </c>
      <c r="AK169" s="5">
        <v>3.9418729434219902E-6</v>
      </c>
      <c r="AL169" s="5">
        <v>9.1621199651286408E-6</v>
      </c>
      <c r="AV169">
        <v>51705</v>
      </c>
      <c r="AW169">
        <v>4629</v>
      </c>
      <c r="AX169">
        <v>-137</v>
      </c>
      <c r="AY169">
        <v>37</v>
      </c>
      <c r="BG169">
        <v>1.1000000000000001</v>
      </c>
      <c r="BH169" s="5">
        <v>5300000000</v>
      </c>
      <c r="BN169" s="15">
        <v>170</v>
      </c>
      <c r="BP169" t="s">
        <v>82</v>
      </c>
      <c r="BQ169" t="s">
        <v>212</v>
      </c>
      <c r="BT169" s="5" t="s">
        <v>84</v>
      </c>
      <c r="BU169" t="s">
        <v>213</v>
      </c>
      <c r="BV169" t="s">
        <v>214</v>
      </c>
      <c r="BW169" t="s">
        <v>664</v>
      </c>
    </row>
    <row r="170" spans="1:75" x14ac:dyDescent="0.75">
      <c r="B170" t="s">
        <v>199</v>
      </c>
      <c r="C170" t="s">
        <v>210</v>
      </c>
      <c r="D170" t="s">
        <v>211</v>
      </c>
      <c r="E170" t="s">
        <v>211</v>
      </c>
      <c r="F170">
        <v>100</v>
      </c>
      <c r="G170">
        <v>1</v>
      </c>
      <c r="H170" t="s">
        <v>78</v>
      </c>
      <c r="J170" s="4">
        <f>1/6</f>
        <v>0.16666666666666666</v>
      </c>
      <c r="M170" s="15">
        <v>80</v>
      </c>
      <c r="R170" s="1" t="s">
        <v>622</v>
      </c>
      <c r="W170" s="5">
        <v>1.11592211421691E-9</v>
      </c>
      <c r="X170" s="5"/>
      <c r="Y170" s="5">
        <v>2.7022947294565299E-9</v>
      </c>
      <c r="Z170" s="5">
        <v>6.2007538454474201E-9</v>
      </c>
      <c r="AA170" s="5">
        <v>1.35466432085454E-8</v>
      </c>
      <c r="AB170" s="5">
        <v>2.82957652373862E-8</v>
      </c>
      <c r="AC170" s="5">
        <v>5.6720251483443001E-8</v>
      </c>
      <c r="AD170" s="5">
        <v>1.09479002882084E-7</v>
      </c>
      <c r="AE170" s="5">
        <v>2.0407800075183601E-7</v>
      </c>
      <c r="AF170" s="5">
        <v>3.6838172214949599E-7</v>
      </c>
      <c r="AG170" s="5">
        <v>6.4548191028718602E-7</v>
      </c>
      <c r="AH170" s="5">
        <v>1.1002710568184E-6</v>
      </c>
      <c r="AI170" s="5">
        <v>1.8281020766421499E-6</v>
      </c>
      <c r="AJ170" s="5">
        <v>2.9659399035870102E-6</v>
      </c>
      <c r="AK170" s="5">
        <v>4.7064226247685302E-6</v>
      </c>
      <c r="AL170" s="5">
        <v>1.1152278880771099E-5</v>
      </c>
      <c r="AV170">
        <v>52439</v>
      </c>
      <c r="AW170">
        <v>4448</v>
      </c>
      <c r="AX170">
        <v>-130</v>
      </c>
      <c r="AY170">
        <v>23</v>
      </c>
      <c r="BG170">
        <v>1.18</v>
      </c>
      <c r="BH170" s="5">
        <v>130000000000</v>
      </c>
      <c r="BN170" s="15">
        <v>170</v>
      </c>
      <c r="BP170" t="s">
        <v>82</v>
      </c>
      <c r="BQ170" t="s">
        <v>212</v>
      </c>
      <c r="BT170" s="5" t="s">
        <v>84</v>
      </c>
      <c r="BU170" t="s">
        <v>213</v>
      </c>
      <c r="BV170" t="s">
        <v>214</v>
      </c>
      <c r="BW170" t="s">
        <v>664</v>
      </c>
    </row>
    <row r="171" spans="1:75" x14ac:dyDescent="0.75">
      <c r="B171" t="s">
        <v>199</v>
      </c>
      <c r="C171" t="s">
        <v>210</v>
      </c>
      <c r="D171" t="s">
        <v>211</v>
      </c>
      <c r="E171" t="s">
        <v>211</v>
      </c>
      <c r="F171">
        <v>100</v>
      </c>
      <c r="G171">
        <v>1</v>
      </c>
      <c r="H171" t="s">
        <v>78</v>
      </c>
      <c r="J171" s="4">
        <f>1/8</f>
        <v>0.125</v>
      </c>
      <c r="M171" s="15">
        <v>80</v>
      </c>
      <c r="R171" s="1" t="s">
        <v>622</v>
      </c>
      <c r="X171" s="5"/>
      <c r="Y171" s="5"/>
      <c r="Z171" s="5">
        <v>3.1219114798771399E-8</v>
      </c>
      <c r="AA171" s="5">
        <v>5.8118691711514197E-8</v>
      </c>
      <c r="AB171" s="5">
        <v>1.0595793724820099E-7</v>
      </c>
      <c r="AC171" s="5">
        <v>1.8937471055874901E-7</v>
      </c>
      <c r="AD171" s="5">
        <v>3.32124312960453E-7</v>
      </c>
      <c r="AE171" s="5">
        <v>5.7208718769270799E-7</v>
      </c>
      <c r="AF171" s="5">
        <v>9.6866740240526509E-7</v>
      </c>
      <c r="AG171" s="5">
        <v>1.6135535534228499E-6</v>
      </c>
      <c r="AH171" s="5">
        <v>2.64613896329735E-6</v>
      </c>
      <c r="AI171" s="5">
        <v>4.2753077354842803E-6</v>
      </c>
      <c r="AJ171" s="5">
        <v>6.8098021711789001E-6</v>
      </c>
      <c r="AK171" s="5">
        <v>1.0700010903836699E-5</v>
      </c>
      <c r="AL171" s="5">
        <v>2.5417688458743601E-5</v>
      </c>
      <c r="AV171" s="5">
        <v>6800000000</v>
      </c>
      <c r="AW171">
        <v>10723</v>
      </c>
      <c r="AX171">
        <v>-254.3</v>
      </c>
      <c r="AY171">
        <v>35</v>
      </c>
      <c r="BG171">
        <v>1.02</v>
      </c>
      <c r="BH171" s="5">
        <v>1600000000</v>
      </c>
      <c r="BN171" s="15">
        <v>170</v>
      </c>
      <c r="BP171" t="s">
        <v>82</v>
      </c>
      <c r="BQ171" t="s">
        <v>212</v>
      </c>
      <c r="BT171" s="5" t="s">
        <v>84</v>
      </c>
      <c r="BU171" t="s">
        <v>213</v>
      </c>
      <c r="BV171" t="s">
        <v>214</v>
      </c>
      <c r="BW171" t="s">
        <v>664</v>
      </c>
    </row>
    <row r="172" spans="1:75" x14ac:dyDescent="0.75">
      <c r="B172" t="s">
        <v>199</v>
      </c>
      <c r="C172" t="s">
        <v>210</v>
      </c>
      <c r="D172" t="s">
        <v>211</v>
      </c>
      <c r="E172" t="s">
        <v>211</v>
      </c>
      <c r="F172">
        <v>100</v>
      </c>
      <c r="G172">
        <v>1</v>
      </c>
      <c r="H172" t="s">
        <v>78</v>
      </c>
      <c r="J172" s="4">
        <f>1/12</f>
        <v>8.3333333333333329E-2</v>
      </c>
      <c r="M172" s="15">
        <v>80</v>
      </c>
      <c r="R172" s="1" t="s">
        <v>622</v>
      </c>
      <c r="X172" s="5"/>
      <c r="Y172" s="5"/>
      <c r="AA172" s="5">
        <v>8.7713399036251906E-9</v>
      </c>
      <c r="AB172" s="5">
        <v>2.05740597868089E-8</v>
      </c>
      <c r="AC172" s="5">
        <v>4.5169366752916797E-8</v>
      </c>
      <c r="AD172" s="5">
        <v>9.3505803763112196E-8</v>
      </c>
      <c r="AE172" s="5">
        <v>1.83673437880854E-7</v>
      </c>
      <c r="AF172" s="5">
        <v>3.4421606123965903E-7</v>
      </c>
      <c r="AG172" s="5">
        <v>6.1835944398023198E-7</v>
      </c>
      <c r="AH172" s="5">
        <v>1.0692010378250699E-6</v>
      </c>
      <c r="AI172" s="5">
        <v>1.78585579476921E-6</v>
      </c>
      <c r="AJ172" s="5">
        <v>2.8904986593504599E-6</v>
      </c>
      <c r="AK172" s="5">
        <v>4.5461915740380097E-6</v>
      </c>
      <c r="AL172" s="5">
        <v>1.04185518140615E-5</v>
      </c>
      <c r="AV172">
        <v>331</v>
      </c>
      <c r="AW172">
        <v>2574</v>
      </c>
      <c r="AX172">
        <v>-80</v>
      </c>
      <c r="AY172">
        <v>41</v>
      </c>
      <c r="BG172">
        <v>1.1599999999999999</v>
      </c>
      <c r="BH172" s="5">
        <v>61000000000</v>
      </c>
      <c r="BN172" s="15">
        <v>170</v>
      </c>
      <c r="BP172" t="s">
        <v>82</v>
      </c>
      <c r="BQ172" t="s">
        <v>212</v>
      </c>
      <c r="BT172" s="5" t="s">
        <v>84</v>
      </c>
      <c r="BU172" t="s">
        <v>213</v>
      </c>
      <c r="BV172" t="s">
        <v>214</v>
      </c>
      <c r="BW172" t="s">
        <v>664</v>
      </c>
    </row>
    <row r="173" spans="1:75" x14ac:dyDescent="0.75">
      <c r="B173" t="s">
        <v>199</v>
      </c>
      <c r="C173" t="s">
        <v>210</v>
      </c>
      <c r="D173" t="s">
        <v>211</v>
      </c>
      <c r="E173" t="s">
        <v>211</v>
      </c>
      <c r="F173">
        <v>100</v>
      </c>
      <c r="G173">
        <v>1</v>
      </c>
      <c r="H173" t="s">
        <v>78</v>
      </c>
      <c r="J173" s="4">
        <f>1/16</f>
        <v>6.25E-2</v>
      </c>
      <c r="M173" s="15">
        <v>80</v>
      </c>
      <c r="R173" s="1" t="s">
        <v>622</v>
      </c>
      <c r="X173" s="5"/>
      <c r="Y173" s="5"/>
      <c r="AB173" s="5">
        <v>3.0739860372118101E-9</v>
      </c>
      <c r="AC173" s="5">
        <v>1.2875766640426E-8</v>
      </c>
      <c r="AD173" s="5">
        <v>4.0059707163052001E-8</v>
      </c>
      <c r="AE173" s="5">
        <v>1.0064298935868E-7</v>
      </c>
      <c r="AF173" s="5">
        <v>2.1570326617253399E-7</v>
      </c>
      <c r="AG173" s="5">
        <v>4.0950511324966802E-7</v>
      </c>
      <c r="AH173" s="5">
        <v>7.0721023740191899E-7</v>
      </c>
      <c r="AI173" s="5">
        <v>1.1327465274375701E-6</v>
      </c>
      <c r="AV173">
        <v>1.4999999999999999E-2</v>
      </c>
      <c r="AW173">
        <v>480</v>
      </c>
      <c r="AX173">
        <v>6.6</v>
      </c>
      <c r="AY173">
        <v>44</v>
      </c>
      <c r="BG173">
        <v>1.62</v>
      </c>
      <c r="BH173" s="5">
        <v>1.8E+17</v>
      </c>
      <c r="BN173" s="15">
        <v>170</v>
      </c>
      <c r="BP173" t="s">
        <v>82</v>
      </c>
      <c r="BQ173" t="s">
        <v>212</v>
      </c>
      <c r="BT173" s="5" t="s">
        <v>84</v>
      </c>
      <c r="BU173" t="s">
        <v>213</v>
      </c>
      <c r="BV173" t="s">
        <v>214</v>
      </c>
      <c r="BW173" t="s">
        <v>664</v>
      </c>
    </row>
    <row r="174" spans="1:75" x14ac:dyDescent="0.75">
      <c r="A174" s="1"/>
      <c r="B174" s="1" t="s">
        <v>199</v>
      </c>
      <c r="C174" s="1" t="s">
        <v>210</v>
      </c>
      <c r="D174" t="s">
        <v>211</v>
      </c>
      <c r="E174" t="s">
        <v>211</v>
      </c>
      <c r="F174" s="1">
        <v>100</v>
      </c>
      <c r="G174" s="1">
        <v>1</v>
      </c>
      <c r="H174" s="1" t="s">
        <v>78</v>
      </c>
      <c r="I174" s="1"/>
      <c r="J174" s="2">
        <f>1/30</f>
        <v>3.3333333333333333E-2</v>
      </c>
      <c r="K174" s="1"/>
      <c r="L174" s="1"/>
      <c r="M174" s="15">
        <v>80</v>
      </c>
      <c r="N174" s="1"/>
      <c r="O174" s="1"/>
      <c r="P174" s="1"/>
      <c r="Q174" s="1"/>
      <c r="R174" s="1" t="s">
        <v>622</v>
      </c>
      <c r="S174" s="1"/>
      <c r="T174" s="1"/>
      <c r="U174" s="1"/>
      <c r="V174" s="1"/>
      <c r="W174" s="1"/>
      <c r="X174" s="3"/>
      <c r="Y174" s="3"/>
      <c r="Z174" s="1"/>
      <c r="AA174" s="1"/>
      <c r="AB174" s="1"/>
      <c r="AC174" s="1"/>
      <c r="AD174" s="1"/>
      <c r="AE174" s="1"/>
      <c r="AF174" s="5">
        <v>1.8980483919490101E-9</v>
      </c>
      <c r="AG174" s="5">
        <v>6.9439941567050299E-9</v>
      </c>
      <c r="AH174" s="5">
        <v>2.13304362830099E-8</v>
      </c>
      <c r="AI174" s="5">
        <v>5.6858379745532999E-8</v>
      </c>
      <c r="AJ174" s="5">
        <v>1.3487272002216699E-7</v>
      </c>
      <c r="AK174" s="1"/>
      <c r="AL174" s="1"/>
      <c r="AM174" s="1"/>
      <c r="AN174" s="1"/>
      <c r="AO174" s="1"/>
      <c r="AP174" s="1"/>
      <c r="AQ174" s="1"/>
      <c r="AR174" s="1"/>
      <c r="AS174" s="1"/>
      <c r="AT174" s="1"/>
      <c r="AU174" s="1"/>
      <c r="AV174" s="1">
        <v>2.7</v>
      </c>
      <c r="AW174" s="1">
        <v>1172</v>
      </c>
      <c r="AX174" s="1">
        <v>0.42</v>
      </c>
      <c r="AY174" s="1">
        <v>67</v>
      </c>
      <c r="AZ174" s="1"/>
      <c r="BA174" s="1"/>
      <c r="BB174" s="1"/>
      <c r="BC174" s="1"/>
      <c r="BD174" s="1"/>
      <c r="BE174" s="1"/>
      <c r="BF174" s="1"/>
      <c r="BG174" s="1">
        <v>2.2000000000000002</v>
      </c>
      <c r="BH174" s="3">
        <v>7.3000000000000006E+23</v>
      </c>
      <c r="BI174" s="1"/>
      <c r="BJ174" s="1"/>
      <c r="BK174" s="1"/>
      <c r="BL174" s="1"/>
      <c r="BM174" s="1"/>
      <c r="BN174" s="15">
        <v>170</v>
      </c>
      <c r="BP174" t="s">
        <v>82</v>
      </c>
      <c r="BQ174" t="s">
        <v>212</v>
      </c>
      <c r="BT174" s="5" t="s">
        <v>84</v>
      </c>
      <c r="BU174" t="s">
        <v>213</v>
      </c>
      <c r="BV174" t="s">
        <v>214</v>
      </c>
      <c r="BW174" t="s">
        <v>664</v>
      </c>
    </row>
    <row r="175" spans="1:75" x14ac:dyDescent="0.75">
      <c r="B175" s="1" t="s">
        <v>199</v>
      </c>
      <c r="C175" t="s">
        <v>215</v>
      </c>
      <c r="D175" t="s">
        <v>216</v>
      </c>
      <c r="E175" t="s">
        <v>216</v>
      </c>
      <c r="F175">
        <v>100</v>
      </c>
      <c r="G175">
        <v>1</v>
      </c>
      <c r="H175" t="s">
        <v>91</v>
      </c>
      <c r="J175" s="4">
        <f>1/6</f>
        <v>0.16666666666666666</v>
      </c>
      <c r="M175" s="15">
        <v>-36</v>
      </c>
      <c r="R175" t="s">
        <v>79</v>
      </c>
      <c r="Y175" s="5">
        <v>4.2499999999999997E-8</v>
      </c>
      <c r="AI175" s="5"/>
      <c r="BO175">
        <v>190</v>
      </c>
      <c r="BP175" t="s">
        <v>82</v>
      </c>
      <c r="BQ175" t="s">
        <v>83</v>
      </c>
      <c r="BS175">
        <v>96</v>
      </c>
      <c r="BT175" s="5" t="s">
        <v>84</v>
      </c>
      <c r="BU175" t="s">
        <v>217</v>
      </c>
      <c r="BV175" t="s">
        <v>218</v>
      </c>
      <c r="BW175" t="s">
        <v>665</v>
      </c>
    </row>
    <row r="176" spans="1:75" x14ac:dyDescent="0.75">
      <c r="B176" s="1" t="s">
        <v>199</v>
      </c>
      <c r="C176" t="s">
        <v>215</v>
      </c>
      <c r="D176" t="s">
        <v>216</v>
      </c>
      <c r="E176" t="s">
        <v>216</v>
      </c>
      <c r="F176">
        <v>100</v>
      </c>
      <c r="G176">
        <v>1</v>
      </c>
      <c r="H176" t="s">
        <v>91</v>
      </c>
      <c r="J176" s="4">
        <f>1/10</f>
        <v>0.1</v>
      </c>
      <c r="M176" s="15">
        <v>-36</v>
      </c>
      <c r="R176" t="s">
        <v>79</v>
      </c>
      <c r="T176" s="5">
        <v>5.8088372689830398E-8</v>
      </c>
      <c r="U176" s="5">
        <v>1.2492064554751899E-7</v>
      </c>
      <c r="W176" s="5">
        <v>2.5674086960760398E-7</v>
      </c>
      <c r="X176" s="5"/>
      <c r="Y176" s="5">
        <v>5.0624330904699995E-7</v>
      </c>
      <c r="Z176" s="5">
        <v>9.6100900044418199E-7</v>
      </c>
      <c r="AA176" s="5">
        <v>1.7617236645400501E-6</v>
      </c>
      <c r="AB176" s="5">
        <v>3.1274316764067402E-6</v>
      </c>
      <c r="AC176" s="5">
        <v>5.3895484003888398E-6</v>
      </c>
      <c r="AD176" s="5">
        <v>9.0364698322354604E-6</v>
      </c>
      <c r="AE176" s="5">
        <v>1.47706687248112E-5</v>
      </c>
      <c r="AI176" s="5"/>
      <c r="AV176">
        <v>129000</v>
      </c>
      <c r="AW176">
        <v>4103</v>
      </c>
      <c r="AX176">
        <v>-145</v>
      </c>
      <c r="AY176">
        <v>10</v>
      </c>
      <c r="BG176">
        <v>1</v>
      </c>
      <c r="BH176" s="5">
        <v>68000000000</v>
      </c>
      <c r="BO176">
        <v>190</v>
      </c>
      <c r="BP176" t="s">
        <v>82</v>
      </c>
      <c r="BQ176" t="s">
        <v>83</v>
      </c>
      <c r="BS176">
        <v>96</v>
      </c>
      <c r="BT176" s="5" t="s">
        <v>84</v>
      </c>
      <c r="BU176" t="s">
        <v>217</v>
      </c>
      <c r="BV176" t="s">
        <v>218</v>
      </c>
      <c r="BW176" t="s">
        <v>665</v>
      </c>
    </row>
    <row r="177" spans="1:75" x14ac:dyDescent="0.75">
      <c r="B177" s="1" t="s">
        <v>199</v>
      </c>
      <c r="C177" t="s">
        <v>215</v>
      </c>
      <c r="D177" t="s">
        <v>216</v>
      </c>
      <c r="E177" t="s">
        <v>216</v>
      </c>
      <c r="F177">
        <v>100</v>
      </c>
      <c r="G177">
        <v>1</v>
      </c>
      <c r="H177" t="s">
        <v>91</v>
      </c>
      <c r="J177" s="4">
        <f>1/20</f>
        <v>0.05</v>
      </c>
      <c r="M177" s="15">
        <v>-36</v>
      </c>
      <c r="R177" t="s">
        <v>79</v>
      </c>
      <c r="Y177" s="5">
        <v>4.4500000000000001E-8</v>
      </c>
      <c r="AI177" s="5"/>
      <c r="BO177">
        <v>190</v>
      </c>
      <c r="BP177" t="s">
        <v>82</v>
      </c>
      <c r="BQ177" t="s">
        <v>83</v>
      </c>
      <c r="BS177">
        <v>96</v>
      </c>
      <c r="BT177" s="5" t="s">
        <v>84</v>
      </c>
      <c r="BU177" t="s">
        <v>217</v>
      </c>
      <c r="BV177" t="s">
        <v>218</v>
      </c>
      <c r="BW177" t="s">
        <v>665</v>
      </c>
    </row>
    <row r="178" spans="1:75" x14ac:dyDescent="0.75">
      <c r="B178" s="1" t="s">
        <v>199</v>
      </c>
      <c r="C178" t="s">
        <v>215</v>
      </c>
      <c r="D178" t="s">
        <v>216</v>
      </c>
      <c r="E178" t="s">
        <v>216</v>
      </c>
      <c r="F178">
        <v>100</v>
      </c>
      <c r="G178">
        <v>1</v>
      </c>
      <c r="H178" t="s">
        <v>91</v>
      </c>
      <c r="J178" s="4">
        <f>1/40</f>
        <v>2.5000000000000001E-2</v>
      </c>
      <c r="M178" s="15">
        <v>-36</v>
      </c>
      <c r="R178" t="s">
        <v>79</v>
      </c>
      <c r="Y178" s="5">
        <v>7.4499999999999999E-8</v>
      </c>
      <c r="AI178" s="5"/>
      <c r="BO178">
        <v>190</v>
      </c>
      <c r="BP178" t="s">
        <v>82</v>
      </c>
      <c r="BQ178" t="s">
        <v>83</v>
      </c>
      <c r="BS178">
        <v>96</v>
      </c>
      <c r="BT178" s="5" t="s">
        <v>84</v>
      </c>
      <c r="BU178" t="s">
        <v>217</v>
      </c>
      <c r="BV178" t="s">
        <v>218</v>
      </c>
      <c r="BW178" t="s">
        <v>665</v>
      </c>
    </row>
    <row r="179" spans="1:75" x14ac:dyDescent="0.75">
      <c r="A179" s="1"/>
      <c r="B179" s="1" t="s">
        <v>199</v>
      </c>
      <c r="C179" s="1" t="s">
        <v>215</v>
      </c>
      <c r="D179" s="1" t="s">
        <v>216</v>
      </c>
      <c r="E179" s="1" t="s">
        <v>216</v>
      </c>
      <c r="F179" s="1">
        <v>100</v>
      </c>
      <c r="G179" s="1">
        <v>1</v>
      </c>
      <c r="H179" s="1" t="s">
        <v>91</v>
      </c>
      <c r="I179" s="1"/>
      <c r="J179" s="2">
        <f>1/80</f>
        <v>1.2500000000000001E-2</v>
      </c>
      <c r="K179" s="1"/>
      <c r="L179" s="1"/>
      <c r="M179" s="22">
        <v>-36</v>
      </c>
      <c r="N179" s="1"/>
      <c r="O179" s="1"/>
      <c r="P179" s="1"/>
      <c r="Q179" s="1"/>
      <c r="R179" s="1" t="s">
        <v>79</v>
      </c>
      <c r="S179" s="1"/>
      <c r="T179" s="1"/>
      <c r="U179" s="1"/>
      <c r="V179" s="1"/>
      <c r="W179" s="1"/>
      <c r="X179" s="1"/>
      <c r="Y179" s="3">
        <v>9.1500000000000005E-8</v>
      </c>
      <c r="Z179" s="1"/>
      <c r="AA179" s="1"/>
      <c r="AB179" s="1"/>
      <c r="AC179" s="1"/>
      <c r="AD179" s="1"/>
      <c r="AE179" s="1"/>
      <c r="AF179" s="1"/>
      <c r="AG179" s="1"/>
      <c r="AH179" s="1"/>
      <c r="AI179" s="3"/>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v>190</v>
      </c>
      <c r="BP179" s="1" t="s">
        <v>82</v>
      </c>
      <c r="BQ179" s="1" t="s">
        <v>83</v>
      </c>
      <c r="BR179" s="1"/>
      <c r="BS179" s="1">
        <v>96</v>
      </c>
      <c r="BT179" s="3" t="s">
        <v>84</v>
      </c>
      <c r="BU179" s="1" t="s">
        <v>217</v>
      </c>
      <c r="BV179" s="1" t="s">
        <v>218</v>
      </c>
      <c r="BW179" t="s">
        <v>665</v>
      </c>
    </row>
    <row r="180" spans="1:75" x14ac:dyDescent="0.75">
      <c r="A180" s="15"/>
      <c r="B180" t="s">
        <v>219</v>
      </c>
      <c r="C180" t="s">
        <v>220</v>
      </c>
      <c r="D180" t="s">
        <v>221</v>
      </c>
      <c r="E180" t="s">
        <v>222</v>
      </c>
      <c r="F180">
        <v>88</v>
      </c>
      <c r="G180">
        <v>1</v>
      </c>
      <c r="H180" t="s">
        <v>91</v>
      </c>
      <c r="J180" s="4"/>
      <c r="K180">
        <v>33</v>
      </c>
      <c r="L180">
        <v>45</v>
      </c>
      <c r="M180" s="15">
        <v>67</v>
      </c>
      <c r="R180" t="s">
        <v>79</v>
      </c>
      <c r="X180" s="5"/>
      <c r="Z180" s="5"/>
      <c r="AA180" s="5">
        <v>2.5926334359520698E-10</v>
      </c>
      <c r="AB180" s="5">
        <v>1.04389758952854E-9</v>
      </c>
      <c r="AC180" s="5">
        <v>3.4643212403483001E-9</v>
      </c>
      <c r="AD180" s="5">
        <v>9.8378050936806702E-9</v>
      </c>
      <c r="AE180" s="5">
        <v>2.4593718300202801E-8</v>
      </c>
      <c r="AF180" s="5">
        <v>5.5322498162678399E-8</v>
      </c>
      <c r="AG180" s="5">
        <v>1.1391455700736899E-7</v>
      </c>
      <c r="AH180" s="3">
        <v>2.1765835909201201E-7</v>
      </c>
      <c r="AI180" s="5">
        <v>3.9016914482357302E-7</v>
      </c>
      <c r="AV180">
        <v>0.73</v>
      </c>
      <c r="AW180">
        <v>1179</v>
      </c>
      <c r="AX180">
        <v>-22</v>
      </c>
      <c r="AY180">
        <v>40</v>
      </c>
      <c r="AZ180">
        <v>0.03</v>
      </c>
      <c r="BA180">
        <v>704</v>
      </c>
      <c r="BB180">
        <v>-5</v>
      </c>
      <c r="BG180">
        <v>1.74</v>
      </c>
      <c r="BH180" s="5">
        <v>3.2E+18</v>
      </c>
      <c r="BP180" t="s">
        <v>82</v>
      </c>
      <c r="BQ180" t="s">
        <v>125</v>
      </c>
      <c r="BR180">
        <v>25</v>
      </c>
      <c r="BS180">
        <v>72</v>
      </c>
      <c r="BT180" s="5" t="s">
        <v>84</v>
      </c>
      <c r="BU180" t="s">
        <v>223</v>
      </c>
      <c r="BV180" t="s">
        <v>224</v>
      </c>
      <c r="BW180" t="s">
        <v>666</v>
      </c>
    </row>
    <row r="181" spans="1:75" x14ac:dyDescent="0.75">
      <c r="B181" t="s">
        <v>219</v>
      </c>
      <c r="C181" t="s">
        <v>220</v>
      </c>
      <c r="D181" t="s">
        <v>221</v>
      </c>
      <c r="E181" t="s">
        <v>222</v>
      </c>
      <c r="F181">
        <v>88</v>
      </c>
      <c r="G181">
        <v>1</v>
      </c>
      <c r="H181" t="s">
        <v>91</v>
      </c>
      <c r="J181" s="4"/>
      <c r="K181">
        <v>40</v>
      </c>
      <c r="L181" s="15">
        <v>40</v>
      </c>
      <c r="M181" s="15">
        <v>67</v>
      </c>
      <c r="R181" t="s">
        <v>79</v>
      </c>
      <c r="X181" s="5"/>
      <c r="Z181" s="5"/>
      <c r="AA181" s="5">
        <v>1.4448960241406799E-9</v>
      </c>
      <c r="AB181" s="5">
        <v>4.2961724687591399E-9</v>
      </c>
      <c r="AC181" s="5">
        <v>1.1416574951995199E-8</v>
      </c>
      <c r="AD181" s="5">
        <v>2.7563788002327401E-8</v>
      </c>
      <c r="AE181" s="5">
        <v>6.1277831974302199E-8</v>
      </c>
      <c r="AF181" s="5">
        <v>1.2682623135924501E-7</v>
      </c>
      <c r="AG181" s="5">
        <v>2.46616790217286E-7</v>
      </c>
      <c r="AH181" s="5">
        <v>4.54007890810158E-7</v>
      </c>
      <c r="AI181" s="3">
        <v>7.9639817159320104E-7</v>
      </c>
      <c r="AV181">
        <v>17</v>
      </c>
      <c r="AW181">
        <v>1780</v>
      </c>
      <c r="AX181">
        <v>-48</v>
      </c>
      <c r="AY181">
        <v>40</v>
      </c>
      <c r="BG181">
        <v>1.5</v>
      </c>
      <c r="BH181" s="5">
        <v>2500000000000000</v>
      </c>
      <c r="BP181" t="s">
        <v>82</v>
      </c>
      <c r="BQ181" t="s">
        <v>125</v>
      </c>
      <c r="BR181">
        <v>25</v>
      </c>
      <c r="BS181">
        <v>72</v>
      </c>
      <c r="BT181" s="5" t="s">
        <v>84</v>
      </c>
      <c r="BU181" t="s">
        <v>223</v>
      </c>
      <c r="BV181" t="s">
        <v>224</v>
      </c>
      <c r="BW181" t="s">
        <v>666</v>
      </c>
    </row>
    <row r="182" spans="1:75" x14ac:dyDescent="0.75">
      <c r="B182" t="s">
        <v>219</v>
      </c>
      <c r="C182" t="s">
        <v>220</v>
      </c>
      <c r="D182" t="s">
        <v>221</v>
      </c>
      <c r="E182" t="s">
        <v>222</v>
      </c>
      <c r="F182">
        <v>88</v>
      </c>
      <c r="G182">
        <v>1</v>
      </c>
      <c r="H182" t="s">
        <v>91</v>
      </c>
      <c r="J182" s="4"/>
      <c r="K182">
        <v>50</v>
      </c>
      <c r="L182">
        <v>33</v>
      </c>
      <c r="M182" s="15">
        <v>67</v>
      </c>
      <c r="R182" t="s">
        <v>79</v>
      </c>
      <c r="X182" s="5"/>
      <c r="Y182" s="5">
        <v>3.95849951001086E-10</v>
      </c>
      <c r="Z182" s="5">
        <v>1.0971608080989701E-9</v>
      </c>
      <c r="AA182" s="5">
        <v>2.8447127222722001E-9</v>
      </c>
      <c r="AB182" s="5">
        <v>6.9434640773426698E-9</v>
      </c>
      <c r="AC182" s="5">
        <v>1.6043158370425399E-8</v>
      </c>
      <c r="AD182" s="5">
        <v>3.5261466825427397E-8</v>
      </c>
      <c r="AE182" s="3">
        <v>7.4043061583416805E-8</v>
      </c>
      <c r="AF182" s="5">
        <v>1.4911056756781699E-7</v>
      </c>
      <c r="AG182" s="5">
        <v>2.8897322897766002E-7</v>
      </c>
      <c r="AH182" s="5">
        <v>5.4057946652506599E-7</v>
      </c>
      <c r="AI182" s="5">
        <v>9.7882422407473906E-7</v>
      </c>
      <c r="AV182">
        <v>130251</v>
      </c>
      <c r="AW182">
        <v>4394</v>
      </c>
      <c r="AX182">
        <v>-114</v>
      </c>
      <c r="AY182">
        <v>30</v>
      </c>
      <c r="AZ182">
        <v>1.7999999999999999E-2</v>
      </c>
      <c r="BA182">
        <v>714</v>
      </c>
      <c r="BB182">
        <v>-17</v>
      </c>
      <c r="BG182">
        <v>1.44</v>
      </c>
      <c r="BH182" s="5">
        <v>410000000000000</v>
      </c>
      <c r="BP182" t="s">
        <v>82</v>
      </c>
      <c r="BQ182" t="s">
        <v>125</v>
      </c>
      <c r="BR182">
        <v>25</v>
      </c>
      <c r="BS182">
        <v>72</v>
      </c>
      <c r="BT182" s="5" t="s">
        <v>84</v>
      </c>
      <c r="BU182" t="s">
        <v>223</v>
      </c>
      <c r="BV182" t="s">
        <v>224</v>
      </c>
      <c r="BW182" t="s">
        <v>666</v>
      </c>
    </row>
    <row r="183" spans="1:75" x14ac:dyDescent="0.75">
      <c r="B183" t="s">
        <v>219</v>
      </c>
      <c r="C183" t="s">
        <v>220</v>
      </c>
      <c r="D183" t="s">
        <v>221</v>
      </c>
      <c r="E183" t="s">
        <v>222</v>
      </c>
      <c r="F183">
        <v>88</v>
      </c>
      <c r="G183">
        <v>1</v>
      </c>
      <c r="H183" t="s">
        <v>91</v>
      </c>
      <c r="J183" s="4"/>
      <c r="K183">
        <v>55</v>
      </c>
      <c r="L183" s="15">
        <v>30</v>
      </c>
      <c r="M183" s="15">
        <v>67</v>
      </c>
      <c r="R183" t="s">
        <v>79</v>
      </c>
      <c r="X183" s="5"/>
      <c r="Z183" s="5"/>
      <c r="AA183" s="5">
        <v>8.0017011085638903E-8</v>
      </c>
      <c r="AB183" s="5">
        <v>1.5242106224849E-7</v>
      </c>
      <c r="AC183" s="5">
        <v>2.6465557447678201E-7</v>
      </c>
      <c r="AD183" s="5">
        <v>4.2668690590477202E-7</v>
      </c>
      <c r="AE183" s="5">
        <v>6.4766714526071197E-7</v>
      </c>
      <c r="AF183" s="3">
        <v>9.3544669400100305E-7</v>
      </c>
      <c r="AG183" s="5">
        <v>1.2962840602432001E-6</v>
      </c>
      <c r="AH183" s="5">
        <v>1.73472788027054E-6</v>
      </c>
      <c r="AI183" s="5">
        <v>2.2536325695928801E-6</v>
      </c>
      <c r="AV183">
        <v>7.0000000000000001E-3</v>
      </c>
      <c r="AW183">
        <v>514</v>
      </c>
      <c r="AX183">
        <v>-20</v>
      </c>
      <c r="AY183">
        <v>40</v>
      </c>
      <c r="BG183">
        <v>0.79</v>
      </c>
      <c r="BH183" s="5">
        <v>510000</v>
      </c>
      <c r="BP183" t="s">
        <v>82</v>
      </c>
      <c r="BQ183" t="s">
        <v>125</v>
      </c>
      <c r="BR183">
        <v>25</v>
      </c>
      <c r="BS183">
        <v>72</v>
      </c>
      <c r="BT183" s="5" t="s">
        <v>84</v>
      </c>
      <c r="BU183" t="s">
        <v>223</v>
      </c>
      <c r="BV183" t="s">
        <v>224</v>
      </c>
      <c r="BW183" t="s">
        <v>666</v>
      </c>
    </row>
    <row r="184" spans="1:75" x14ac:dyDescent="0.75">
      <c r="B184" t="s">
        <v>219</v>
      </c>
      <c r="C184" t="s">
        <v>220</v>
      </c>
      <c r="D184" t="s">
        <v>221</v>
      </c>
      <c r="E184" t="s">
        <v>222</v>
      </c>
      <c r="F184">
        <v>88</v>
      </c>
      <c r="G184">
        <v>1</v>
      </c>
      <c r="H184" t="s">
        <v>91</v>
      </c>
      <c r="J184" s="4"/>
      <c r="K184">
        <v>60</v>
      </c>
      <c r="L184">
        <v>27</v>
      </c>
      <c r="M184" s="15">
        <v>67</v>
      </c>
      <c r="R184" t="s">
        <v>79</v>
      </c>
      <c r="X184" s="5"/>
      <c r="Z184" s="5"/>
      <c r="AA184" s="5">
        <v>2.5522186288169E-7</v>
      </c>
      <c r="AB184" s="5">
        <v>3.5532513463517103E-7</v>
      </c>
      <c r="AC184" s="5">
        <v>4.8959173593735898E-7</v>
      </c>
      <c r="AD184" s="5">
        <v>6.6795748530148395E-7</v>
      </c>
      <c r="AE184" s="3">
        <v>9.0274321885683505E-7</v>
      </c>
      <c r="AF184" s="5">
        <v>1.2091018798822E-6</v>
      </c>
      <c r="AG184" s="5">
        <v>1.6055236958055601E-6</v>
      </c>
      <c r="AH184" s="5">
        <v>2.1144027866673198E-6</v>
      </c>
      <c r="AI184" s="5">
        <v>2.7626681963450301E-6</v>
      </c>
      <c r="AV184">
        <v>10419</v>
      </c>
      <c r="AW184">
        <v>6751</v>
      </c>
      <c r="AX184">
        <v>-273.14999999999998</v>
      </c>
      <c r="AY184">
        <v>40</v>
      </c>
      <c r="AZ184">
        <v>2E-3</v>
      </c>
      <c r="BA184">
        <v>393</v>
      </c>
      <c r="BB184">
        <v>-23</v>
      </c>
      <c r="BG184">
        <v>0.56999999999999995</v>
      </c>
      <c r="BH184">
        <v>347</v>
      </c>
      <c r="BP184" t="s">
        <v>82</v>
      </c>
      <c r="BQ184" t="s">
        <v>125</v>
      </c>
      <c r="BR184">
        <v>25</v>
      </c>
      <c r="BS184">
        <v>72</v>
      </c>
      <c r="BT184" s="5" t="s">
        <v>84</v>
      </c>
      <c r="BU184" t="s">
        <v>223</v>
      </c>
      <c r="BV184" t="s">
        <v>224</v>
      </c>
      <c r="BW184" t="s">
        <v>666</v>
      </c>
    </row>
    <row r="185" spans="1:75" x14ac:dyDescent="0.75">
      <c r="B185" t="s">
        <v>219</v>
      </c>
      <c r="C185" t="s">
        <v>220</v>
      </c>
      <c r="D185" t="s">
        <v>221</v>
      </c>
      <c r="E185" t="s">
        <v>222</v>
      </c>
      <c r="F185">
        <v>88</v>
      </c>
      <c r="G185">
        <v>1</v>
      </c>
      <c r="H185" t="s">
        <v>91</v>
      </c>
      <c r="J185" s="4"/>
      <c r="K185">
        <v>50</v>
      </c>
      <c r="M185">
        <v>67</v>
      </c>
      <c r="R185" t="s">
        <v>79</v>
      </c>
      <c r="X185" s="5"/>
      <c r="Y185" s="5">
        <v>1.3799150435440399E-7</v>
      </c>
      <c r="Z185" s="5">
        <v>2.6355523642440098E-7</v>
      </c>
      <c r="AA185" s="5">
        <v>4.9042882530703595E-7</v>
      </c>
      <c r="AB185" s="3">
        <v>8.90495820958579E-7</v>
      </c>
      <c r="AC185" s="5">
        <v>1.57999088983799E-6</v>
      </c>
      <c r="AD185" s="5">
        <v>2.74291833856023E-6</v>
      </c>
      <c r="AE185" s="5">
        <v>4.6648042731333801E-6</v>
      </c>
      <c r="AF185" s="5">
        <v>7.7804473591396804E-6</v>
      </c>
      <c r="AG185" s="5">
        <v>1.27403029075266E-5</v>
      </c>
      <c r="AH185" s="5">
        <v>2.0501262028078901E-5</v>
      </c>
      <c r="AI185" s="3">
        <v>3.24488733885501E-5</v>
      </c>
      <c r="AV185" s="5">
        <v>220000000</v>
      </c>
      <c r="AW185">
        <v>7721</v>
      </c>
      <c r="AX185">
        <v>-210</v>
      </c>
      <c r="AY185">
        <v>30</v>
      </c>
      <c r="BG185">
        <v>1</v>
      </c>
      <c r="BH185" s="5">
        <v>8000000000</v>
      </c>
      <c r="BP185" t="s">
        <v>82</v>
      </c>
      <c r="BQ185" t="s">
        <v>225</v>
      </c>
      <c r="BR185">
        <v>25</v>
      </c>
      <c r="BS185">
        <v>70</v>
      </c>
      <c r="BT185" s="5" t="s">
        <v>84</v>
      </c>
      <c r="BU185" t="s">
        <v>226</v>
      </c>
      <c r="BV185" t="s">
        <v>224</v>
      </c>
      <c r="BW185" t="s">
        <v>666</v>
      </c>
    </row>
    <row r="186" spans="1:75" x14ac:dyDescent="0.75">
      <c r="B186" t="s">
        <v>219</v>
      </c>
      <c r="C186" t="s">
        <v>227</v>
      </c>
      <c r="D186" t="s">
        <v>228</v>
      </c>
      <c r="E186" t="s">
        <v>228</v>
      </c>
      <c r="F186">
        <v>100</v>
      </c>
      <c r="G186">
        <v>2</v>
      </c>
      <c r="H186" t="s">
        <v>91</v>
      </c>
      <c r="I186">
        <v>0.374</v>
      </c>
      <c r="J186" s="4"/>
      <c r="L186">
        <v>40</v>
      </c>
      <c r="M186" s="15"/>
      <c r="R186" t="s">
        <v>79</v>
      </c>
      <c r="U186" s="5">
        <v>9.0060813014738795E-9</v>
      </c>
      <c r="W186" s="5">
        <v>1.0933163842395999E-8</v>
      </c>
      <c r="X186" s="5"/>
      <c r="Y186" s="5">
        <v>1.3186148184051201E-8</v>
      </c>
      <c r="Z186" s="5">
        <v>1.58048823231981E-8</v>
      </c>
      <c r="AA186" s="5">
        <v>1.8831980721481899E-8</v>
      </c>
      <c r="AB186" s="5">
        <v>2.23128035338978E-8</v>
      </c>
      <c r="AC186" s="5">
        <v>2.6295419133980501E-8</v>
      </c>
      <c r="AD186" s="5">
        <v>3.0830550545413298E-8</v>
      </c>
      <c r="AE186" s="3">
        <v>3.5971506541210902E-8</v>
      </c>
      <c r="AF186" s="3">
        <v>4.1774098300006999E-8</v>
      </c>
      <c r="AG186" s="3">
        <v>4.8296542614494E-8</v>
      </c>
      <c r="AI186" s="5"/>
      <c r="AV186">
        <v>0.03</v>
      </c>
      <c r="AW186">
        <v>3537</v>
      </c>
      <c r="AX186">
        <v>-273.14999999999998</v>
      </c>
      <c r="AY186">
        <v>20</v>
      </c>
      <c r="BG186">
        <v>0.28999999999999998</v>
      </c>
      <c r="BH186">
        <v>8.9999999999999998E-4</v>
      </c>
      <c r="BP186" t="s">
        <v>229</v>
      </c>
      <c r="BQ186" t="s">
        <v>125</v>
      </c>
      <c r="BR186">
        <v>25</v>
      </c>
      <c r="BS186">
        <v>72</v>
      </c>
      <c r="BT186" s="5" t="s">
        <v>84</v>
      </c>
      <c r="BU186" t="s">
        <v>230</v>
      </c>
      <c r="BV186" t="s">
        <v>224</v>
      </c>
      <c r="BW186" t="s">
        <v>666</v>
      </c>
    </row>
    <row r="187" spans="1:75" x14ac:dyDescent="0.75">
      <c r="A187" s="1"/>
      <c r="B187" s="1" t="s">
        <v>219</v>
      </c>
      <c r="C187" s="1" t="s">
        <v>231</v>
      </c>
      <c r="D187" s="1" t="s">
        <v>232</v>
      </c>
      <c r="E187" s="1" t="s">
        <v>232</v>
      </c>
      <c r="F187" s="1">
        <v>100</v>
      </c>
      <c r="G187" s="1">
        <v>2</v>
      </c>
      <c r="H187" s="1" t="s">
        <v>91</v>
      </c>
      <c r="I187" s="1">
        <v>0.374</v>
      </c>
      <c r="J187" s="2"/>
      <c r="K187" s="1"/>
      <c r="L187" s="1">
        <v>30</v>
      </c>
      <c r="M187" s="1"/>
      <c r="N187" s="1"/>
      <c r="O187" s="1"/>
      <c r="P187" s="1"/>
      <c r="Q187" s="1"/>
      <c r="R187" s="1" t="s">
        <v>79</v>
      </c>
      <c r="S187" s="1"/>
      <c r="T187" s="1"/>
      <c r="U187" s="1"/>
      <c r="V187" s="1"/>
      <c r="W187" s="3"/>
      <c r="X187" s="3"/>
      <c r="Y187" s="1"/>
      <c r="Z187" s="3"/>
      <c r="AA187" s="3">
        <v>2.7761416738383402E-7</v>
      </c>
      <c r="AB187" s="3">
        <v>4.6888816663638102E-7</v>
      </c>
      <c r="AC187" s="3">
        <v>7.7911235268682895E-7</v>
      </c>
      <c r="AD187" s="3">
        <v>1.2745570645351399E-6</v>
      </c>
      <c r="AE187" s="3">
        <v>2.0542463074810301E-6</v>
      </c>
      <c r="AF187" s="3">
        <v>3.2641291933690202E-6</v>
      </c>
      <c r="AG187" s="3">
        <v>5.1165183418883203E-6</v>
      </c>
      <c r="AH187" s="1"/>
      <c r="AI187" s="1"/>
      <c r="AJ187" s="1"/>
      <c r="AK187" s="1"/>
      <c r="AL187" s="1"/>
      <c r="AM187" s="1"/>
      <c r="AN187" s="1"/>
      <c r="AO187" s="1"/>
      <c r="AP187" s="1"/>
      <c r="AQ187" s="1"/>
      <c r="AR187" s="1"/>
      <c r="AS187" s="1"/>
      <c r="AT187" s="1"/>
      <c r="AU187" s="1"/>
      <c r="AV187" s="3">
        <v>2500000000</v>
      </c>
      <c r="AW187" s="1">
        <v>10602</v>
      </c>
      <c r="AX187" s="1">
        <v>-273.14999999999998</v>
      </c>
      <c r="AY187" s="1">
        <v>40</v>
      </c>
      <c r="AZ187" s="1">
        <v>0.03</v>
      </c>
      <c r="BA187" s="1">
        <v>528</v>
      </c>
      <c r="BB187" s="1">
        <v>-20</v>
      </c>
      <c r="BC187" s="1"/>
      <c r="BD187" s="1"/>
      <c r="BE187" s="1"/>
      <c r="BF187" s="1"/>
      <c r="BG187" s="1">
        <v>0.9</v>
      </c>
      <c r="BH187" s="3">
        <v>83000000</v>
      </c>
      <c r="BI187" s="1"/>
      <c r="BJ187" s="1"/>
      <c r="BK187" s="1"/>
      <c r="BL187" s="1"/>
      <c r="BM187" s="1"/>
      <c r="BN187" s="1"/>
      <c r="BO187" s="1"/>
      <c r="BP187" s="1" t="s">
        <v>229</v>
      </c>
      <c r="BQ187" s="1" t="s">
        <v>125</v>
      </c>
      <c r="BR187" s="1">
        <v>25</v>
      </c>
      <c r="BS187" s="1">
        <v>72</v>
      </c>
      <c r="BT187" s="3" t="s">
        <v>84</v>
      </c>
      <c r="BU187" s="1" t="s">
        <v>230</v>
      </c>
      <c r="BV187" s="1" t="s">
        <v>224</v>
      </c>
      <c r="BW187" t="s">
        <v>666</v>
      </c>
    </row>
    <row r="188" spans="1:75" x14ac:dyDescent="0.75">
      <c r="B188" t="s">
        <v>219</v>
      </c>
      <c r="C188" s="11" t="s">
        <v>220</v>
      </c>
      <c r="D188" s="11" t="s">
        <v>221</v>
      </c>
      <c r="E188" t="s">
        <v>222</v>
      </c>
      <c r="F188">
        <v>98</v>
      </c>
      <c r="G188">
        <v>1</v>
      </c>
      <c r="H188" t="s">
        <v>78</v>
      </c>
      <c r="J188" s="4">
        <v>0.25</v>
      </c>
      <c r="R188" t="s">
        <v>79</v>
      </c>
      <c r="U188" s="5">
        <v>5.0329098599214201E-5</v>
      </c>
      <c r="W188" s="5">
        <v>7.7957706455875406E-5</v>
      </c>
      <c r="X188" s="5"/>
      <c r="Y188" s="5">
        <v>1.13548312256346E-4</v>
      </c>
      <c r="Z188" s="5">
        <v>1.57389625919881E-4</v>
      </c>
      <c r="AA188" s="5">
        <v>2.09496033083271E-4</v>
      </c>
      <c r="AB188" s="3">
        <v>2.6965585282752701E-4</v>
      </c>
      <c r="AC188" s="3">
        <v>3.3748283852636402E-4</v>
      </c>
      <c r="AD188" s="3">
        <v>4.1246473638463499E-4</v>
      </c>
      <c r="AE188" s="5">
        <v>4.94005748343816E-4</v>
      </c>
      <c r="AF188" s="5">
        <v>5.8146174145443596E-4</v>
      </c>
      <c r="AG188" s="5">
        <v>6.7416823333151801E-4</v>
      </c>
      <c r="AH188">
        <v>7.7146181061091897E-4</v>
      </c>
      <c r="AI188">
        <v>8.7269590712446305E-4</v>
      </c>
      <c r="AJ188">
        <v>9.7725192685140308E-4</v>
      </c>
      <c r="AK188">
        <v>1.0845466407640701E-3</v>
      </c>
      <c r="AL188">
        <v>1.30522079893368E-3</v>
      </c>
      <c r="AM188">
        <v>1.53087961175838E-3</v>
      </c>
      <c r="AV188">
        <v>0.35</v>
      </c>
      <c r="AW188">
        <v>374</v>
      </c>
      <c r="AX188">
        <v>-42</v>
      </c>
      <c r="AY188">
        <v>20</v>
      </c>
      <c r="BG188">
        <v>0.36</v>
      </c>
      <c r="BH188">
        <v>110</v>
      </c>
      <c r="BO188">
        <v>125000</v>
      </c>
      <c r="BP188" t="s">
        <v>82</v>
      </c>
      <c r="BQ188" t="s">
        <v>225</v>
      </c>
      <c r="BS188">
        <f t="shared" ref="BS188:BS193" si="6">24*5</f>
        <v>120</v>
      </c>
      <c r="BT188" s="5" t="s">
        <v>84</v>
      </c>
      <c r="BU188" t="s">
        <v>233</v>
      </c>
      <c r="BV188" t="s">
        <v>234</v>
      </c>
      <c r="BW188" t="s">
        <v>667</v>
      </c>
    </row>
    <row r="189" spans="1:75" x14ac:dyDescent="0.75">
      <c r="B189" t="s">
        <v>219</v>
      </c>
      <c r="C189" t="s">
        <v>220</v>
      </c>
      <c r="D189" t="s">
        <v>221</v>
      </c>
      <c r="E189" t="s">
        <v>222</v>
      </c>
      <c r="F189">
        <v>98</v>
      </c>
      <c r="G189">
        <v>1</v>
      </c>
      <c r="H189" t="s">
        <v>91</v>
      </c>
      <c r="J189" s="4">
        <v>0.25</v>
      </c>
      <c r="R189" t="s">
        <v>79</v>
      </c>
      <c r="W189" s="5"/>
      <c r="X189" s="5"/>
      <c r="Y189" s="5">
        <v>3.7600784607470097E-8</v>
      </c>
      <c r="Z189" s="5">
        <v>1.2399481939833E-7</v>
      </c>
      <c r="AA189" s="5">
        <v>3.3488538764072198E-7</v>
      </c>
      <c r="AB189" s="5">
        <v>7.7563441686279903E-7</v>
      </c>
      <c r="AC189" s="5">
        <v>1.59209633875215E-6</v>
      </c>
      <c r="AD189" s="3">
        <v>2.9669729145079101E-6</v>
      </c>
      <c r="AE189" s="3">
        <v>5.11156797745034E-6</v>
      </c>
      <c r="AF189" s="3">
        <v>8.2548174969050302E-6</v>
      </c>
      <c r="AG189" s="5">
        <v>1.26314940164216E-5</v>
      </c>
      <c r="AH189" s="5">
        <v>1.8471093982737899E-5</v>
      </c>
      <c r="AI189" s="5">
        <v>2.5988386110715899E-5</v>
      </c>
      <c r="AJ189" s="5">
        <v>3.5376102952735802E-5</v>
      </c>
      <c r="AK189" s="5">
        <v>4.6799875251502497E-5</v>
      </c>
      <c r="AL189" s="5">
        <v>7.6266532714148501E-5</v>
      </c>
      <c r="AM189">
        <v>1.15100264525611E-4</v>
      </c>
      <c r="AV189">
        <v>0.37</v>
      </c>
      <c r="AW189">
        <v>664</v>
      </c>
      <c r="AX189">
        <v>-20</v>
      </c>
      <c r="AY189">
        <v>30</v>
      </c>
      <c r="BG189">
        <v>0.96</v>
      </c>
      <c r="BH189" s="5">
        <v>970000000</v>
      </c>
      <c r="BO189">
        <v>125000</v>
      </c>
      <c r="BP189" t="s">
        <v>82</v>
      </c>
      <c r="BQ189" t="s">
        <v>225</v>
      </c>
      <c r="BS189">
        <f t="shared" si="6"/>
        <v>120</v>
      </c>
      <c r="BT189" s="5" t="s">
        <v>84</v>
      </c>
      <c r="BU189" t="s">
        <v>233</v>
      </c>
      <c r="BV189" t="s">
        <v>234</v>
      </c>
      <c r="BW189" t="s">
        <v>667</v>
      </c>
    </row>
    <row r="190" spans="1:75" x14ac:dyDescent="0.75">
      <c r="B190" t="s">
        <v>219</v>
      </c>
      <c r="C190" t="s">
        <v>220</v>
      </c>
      <c r="D190" t="s">
        <v>221</v>
      </c>
      <c r="E190" t="s">
        <v>222</v>
      </c>
      <c r="F190">
        <v>98</v>
      </c>
      <c r="G190">
        <v>1</v>
      </c>
      <c r="H190" t="s">
        <v>90</v>
      </c>
      <c r="J190" s="4">
        <v>0.25</v>
      </c>
      <c r="R190" t="s">
        <v>79</v>
      </c>
      <c r="W190" s="5"/>
      <c r="X190" s="5"/>
      <c r="Y190" s="5">
        <v>2.1413551372440599E-7</v>
      </c>
      <c r="Z190" s="5">
        <v>6.3065829964224302E-7</v>
      </c>
      <c r="AA190" s="5">
        <v>1.5995567955486101E-6</v>
      </c>
      <c r="AB190" s="3">
        <v>3.59611093296667E-6</v>
      </c>
      <c r="AC190" s="3">
        <v>7.32477730754602E-6</v>
      </c>
      <c r="AD190" s="3">
        <v>1.37473362675588E-5</v>
      </c>
      <c r="AE190" s="5">
        <v>2.4091212383476102E-5</v>
      </c>
      <c r="AF190" s="5">
        <v>3.9837375064857703E-5</v>
      </c>
      <c r="AG190" s="5">
        <v>6.2690237592319501E-5</v>
      </c>
      <c r="AH190" s="5">
        <v>9.4533842145455595E-5</v>
      </c>
      <c r="AI190" s="5">
        <v>1.3737936087041799E-4</v>
      </c>
      <c r="AJ190">
        <v>1.9330881070772301E-4</v>
      </c>
      <c r="AK190">
        <v>2.6441919280894899E-4</v>
      </c>
      <c r="AV190">
        <v>9.5</v>
      </c>
      <c r="AW190">
        <v>926</v>
      </c>
      <c r="AX190">
        <v>-33</v>
      </c>
      <c r="AY190">
        <v>30</v>
      </c>
      <c r="BG190">
        <v>1</v>
      </c>
      <c r="BH190" s="5">
        <v>32000000000</v>
      </c>
      <c r="BO190">
        <v>125000</v>
      </c>
      <c r="BP190" t="s">
        <v>82</v>
      </c>
      <c r="BQ190" t="s">
        <v>225</v>
      </c>
      <c r="BS190">
        <f t="shared" si="6"/>
        <v>120</v>
      </c>
      <c r="BT190" s="5" t="s">
        <v>84</v>
      </c>
      <c r="BU190" t="s">
        <v>233</v>
      </c>
      <c r="BV190" t="s">
        <v>234</v>
      </c>
      <c r="BW190" t="s">
        <v>667</v>
      </c>
    </row>
    <row r="191" spans="1:75" x14ac:dyDescent="0.75">
      <c r="B191" t="s">
        <v>219</v>
      </c>
      <c r="C191" t="s">
        <v>220</v>
      </c>
      <c r="D191" t="s">
        <v>221</v>
      </c>
      <c r="E191" t="s">
        <v>222</v>
      </c>
      <c r="F191">
        <v>98</v>
      </c>
      <c r="G191">
        <v>1</v>
      </c>
      <c r="H191" t="s">
        <v>78</v>
      </c>
      <c r="J191" s="4">
        <v>0.25</v>
      </c>
      <c r="L191">
        <v>58</v>
      </c>
      <c r="R191" t="s">
        <v>79</v>
      </c>
      <c r="W191" s="5">
        <v>1.89865460861754E-9</v>
      </c>
      <c r="X191" s="5"/>
      <c r="Y191" s="5">
        <v>4.3901134638290699E-9</v>
      </c>
      <c r="Z191" s="5">
        <v>9.8772037077543105E-9</v>
      </c>
      <c r="AA191" s="3">
        <v>2.16516173530833E-8</v>
      </c>
      <c r="AB191" s="3">
        <v>4.6299732863447101E-8</v>
      </c>
      <c r="AC191" s="3">
        <v>9.6693909237983601E-8</v>
      </c>
      <c r="AD191" s="5">
        <v>1.9743419994032799E-7</v>
      </c>
      <c r="AE191" s="5">
        <v>3.9453921342637102E-7</v>
      </c>
      <c r="AF191" s="5">
        <v>7.72357242435057E-7</v>
      </c>
      <c r="AG191" s="5">
        <v>1.4825113022851E-6</v>
      </c>
      <c r="AH191" s="5">
        <v>2.79253430008219E-6</v>
      </c>
      <c r="AI191" s="5">
        <v>5.1661592609257001E-6</v>
      </c>
      <c r="AJ191" s="5">
        <v>9.3936513856789906E-6</v>
      </c>
      <c r="AK191" s="5">
        <v>1.6799987173350801E-5</v>
      </c>
      <c r="AL191" s="5">
        <v>5.1267274660262499E-5</v>
      </c>
      <c r="AM191">
        <v>1.47546062584623E-4</v>
      </c>
      <c r="AV191" s="5">
        <v>640000000000000</v>
      </c>
      <c r="AW191">
        <v>15300</v>
      </c>
      <c r="AX191">
        <v>-273.14999999999998</v>
      </c>
      <c r="AY191">
        <v>27</v>
      </c>
      <c r="BG191">
        <v>1.3</v>
      </c>
      <c r="BH191" s="5">
        <v>21000000000000</v>
      </c>
      <c r="BO191">
        <v>125000</v>
      </c>
      <c r="BP191" t="s">
        <v>82</v>
      </c>
      <c r="BQ191" t="s">
        <v>235</v>
      </c>
      <c r="BS191">
        <f t="shared" si="6"/>
        <v>120</v>
      </c>
      <c r="BT191" s="5" t="s">
        <v>84</v>
      </c>
      <c r="BU191" t="s">
        <v>236</v>
      </c>
      <c r="BV191" t="s">
        <v>234</v>
      </c>
      <c r="BW191" t="s">
        <v>667</v>
      </c>
    </row>
    <row r="192" spans="1:75" x14ac:dyDescent="0.75">
      <c r="B192" t="s">
        <v>219</v>
      </c>
      <c r="C192" t="s">
        <v>220</v>
      </c>
      <c r="D192" t="s">
        <v>221</v>
      </c>
      <c r="E192" t="s">
        <v>222</v>
      </c>
      <c r="F192">
        <v>98</v>
      </c>
      <c r="G192">
        <v>1</v>
      </c>
      <c r="H192" t="s">
        <v>91</v>
      </c>
      <c r="J192" s="4">
        <v>0.25</v>
      </c>
      <c r="L192">
        <v>67</v>
      </c>
      <c r="R192" t="s">
        <v>79</v>
      </c>
      <c r="W192" s="5"/>
      <c r="X192" s="5"/>
      <c r="Y192" s="5">
        <v>8.0834650000000003E-10</v>
      </c>
      <c r="Z192" s="5"/>
      <c r="AA192" s="5">
        <v>2.13349253636633E-9</v>
      </c>
      <c r="AB192" s="5">
        <v>5.0601508588029003E-9</v>
      </c>
      <c r="AC192" s="5">
        <v>1.16835880729161E-8</v>
      </c>
      <c r="AD192" s="5">
        <v>2.6294397060903599E-8</v>
      </c>
      <c r="AE192" s="5">
        <v>5.7746558861480198E-8</v>
      </c>
      <c r="AF192" s="5">
        <v>1.23890191322198E-7</v>
      </c>
      <c r="AG192" s="5">
        <v>2.59920261721224E-7</v>
      </c>
      <c r="AH192" s="5">
        <v>5.3377062372817403E-7</v>
      </c>
      <c r="AI192" s="5">
        <v>1.07392932447773E-6</v>
      </c>
      <c r="AJ192" s="5">
        <v>2.1187334690168601E-6</v>
      </c>
      <c r="AK192" s="5">
        <v>4.1021267419166603E-6</v>
      </c>
      <c r="AL192" s="5">
        <v>1.45776156768419E-5</v>
      </c>
      <c r="AM192" s="5">
        <v>4.8469358241249998E-5</v>
      </c>
      <c r="AV192" s="5">
        <v>4.6E+16</v>
      </c>
      <c r="AW192">
        <v>17366</v>
      </c>
      <c r="AX192">
        <v>-273.14999999999998</v>
      </c>
      <c r="AY192">
        <v>30</v>
      </c>
      <c r="BG192">
        <v>1.5</v>
      </c>
      <c r="BH192" s="5">
        <v>1500000000000000</v>
      </c>
      <c r="BO192">
        <v>125000</v>
      </c>
      <c r="BP192" t="s">
        <v>82</v>
      </c>
      <c r="BQ192" t="s">
        <v>235</v>
      </c>
      <c r="BS192">
        <f t="shared" si="6"/>
        <v>120</v>
      </c>
      <c r="BT192" s="5" t="s">
        <v>84</v>
      </c>
      <c r="BU192" t="s">
        <v>236</v>
      </c>
      <c r="BV192" t="s">
        <v>234</v>
      </c>
      <c r="BW192" t="s">
        <v>667</v>
      </c>
    </row>
    <row r="193" spans="1:75" x14ac:dyDescent="0.75">
      <c r="B193" t="s">
        <v>219</v>
      </c>
      <c r="C193" t="s">
        <v>220</v>
      </c>
      <c r="D193" t="s">
        <v>221</v>
      </c>
      <c r="E193" t="s">
        <v>222</v>
      </c>
      <c r="F193">
        <v>98</v>
      </c>
      <c r="G193">
        <v>1</v>
      </c>
      <c r="H193" t="s">
        <v>90</v>
      </c>
      <c r="J193" s="4">
        <v>0.25</v>
      </c>
      <c r="L193">
        <v>41</v>
      </c>
      <c r="R193" t="s">
        <v>79</v>
      </c>
      <c r="W193" s="5">
        <v>1.29317187615673E-10</v>
      </c>
      <c r="X193" s="5"/>
      <c r="Y193" s="5">
        <v>3.1123967993265997E-10</v>
      </c>
      <c r="Z193" s="5">
        <v>7.2794268901245301E-10</v>
      </c>
      <c r="AA193" s="5">
        <v>1.6567599125094699E-9</v>
      </c>
      <c r="AB193" s="5">
        <v>3.67401759650488E-9</v>
      </c>
      <c r="AC193" s="5">
        <v>7.9481604473827395E-9</v>
      </c>
      <c r="AD193" s="5">
        <v>1.6792998179468E-8</v>
      </c>
      <c r="AE193" s="5">
        <v>3.4688775639581699E-8</v>
      </c>
      <c r="AF193" s="5">
        <v>7.01268464811901E-8</v>
      </c>
      <c r="AG193" s="5">
        <v>1.3887508717130199E-7</v>
      </c>
      <c r="AH193" s="5">
        <v>2.6964699625794598E-7</v>
      </c>
      <c r="AI193" s="5">
        <v>5.1376278055406303E-7</v>
      </c>
      <c r="AJ193" s="5">
        <v>9.6132386562043604E-7</v>
      </c>
      <c r="AK193" s="5">
        <v>1.7678364839937599E-6</v>
      </c>
      <c r="AL193" s="5">
        <v>5.6911028340619803E-6</v>
      </c>
      <c r="AM193" s="5">
        <v>1.7230371243923599E-5</v>
      </c>
      <c r="AV193" s="5">
        <v>490000000000000</v>
      </c>
      <c r="AW193">
        <v>16027</v>
      </c>
      <c r="AX193">
        <v>-273.14999999999998</v>
      </c>
      <c r="AY193">
        <v>26</v>
      </c>
      <c r="BG193">
        <v>1.37</v>
      </c>
      <c r="BH193" s="5">
        <v>16000000000000</v>
      </c>
      <c r="BO193">
        <v>125000</v>
      </c>
      <c r="BP193" t="s">
        <v>82</v>
      </c>
      <c r="BQ193" t="s">
        <v>235</v>
      </c>
      <c r="BS193">
        <f t="shared" si="6"/>
        <v>120</v>
      </c>
      <c r="BT193" s="5" t="s">
        <v>84</v>
      </c>
      <c r="BU193" t="s">
        <v>236</v>
      </c>
      <c r="BV193" t="s">
        <v>234</v>
      </c>
      <c r="BW193" t="s">
        <v>667</v>
      </c>
    </row>
    <row r="194" spans="1:75" x14ac:dyDescent="0.75">
      <c r="B194" t="s">
        <v>219</v>
      </c>
      <c r="C194" t="s">
        <v>220</v>
      </c>
      <c r="D194" t="s">
        <v>221</v>
      </c>
      <c r="E194" t="s">
        <v>222</v>
      </c>
      <c r="F194">
        <v>98</v>
      </c>
      <c r="G194">
        <v>1</v>
      </c>
      <c r="H194" t="s">
        <v>78</v>
      </c>
      <c r="J194" s="4">
        <v>0.25</v>
      </c>
      <c r="L194">
        <v>59</v>
      </c>
      <c r="R194" t="s">
        <v>79</v>
      </c>
      <c r="W194" s="5"/>
      <c r="X194" s="5"/>
      <c r="Y194" s="5">
        <v>8.9541548650824695E-10</v>
      </c>
      <c r="Z194" s="5">
        <v>1.9958225255713699E-9</v>
      </c>
      <c r="AA194" s="5">
        <v>4.33557781762843E-9</v>
      </c>
      <c r="AB194" s="5">
        <v>9.1902521533187198E-9</v>
      </c>
      <c r="AC194" s="5">
        <v>1.9030850215949E-8</v>
      </c>
      <c r="AD194" s="5">
        <v>3.85393185866908E-8</v>
      </c>
      <c r="AE194" s="5">
        <v>7.6401481253174794E-8</v>
      </c>
      <c r="AF194" s="5">
        <v>1.4840973950973399E-7</v>
      </c>
      <c r="AG194" s="5">
        <v>2.8273065576728002E-7</v>
      </c>
      <c r="AH194" s="5">
        <v>5.2868625104652795E-7</v>
      </c>
      <c r="AI194" s="5">
        <v>9.7113994812046394E-7</v>
      </c>
      <c r="AJ194" s="5">
        <v>1.75367514506206E-6</v>
      </c>
      <c r="AK194" s="5">
        <v>3.1153505995832998E-6</v>
      </c>
      <c r="AL194" s="5">
        <v>9.3851073987823697E-6</v>
      </c>
      <c r="AM194" s="5">
        <v>2.6682095635550599E-5</v>
      </c>
      <c r="AV194" s="5">
        <v>73000000000000</v>
      </c>
      <c r="AW194">
        <v>15128</v>
      </c>
      <c r="AX194">
        <v>-273.14999999999998</v>
      </c>
      <c r="AY194">
        <v>28</v>
      </c>
      <c r="BG194">
        <v>1.3</v>
      </c>
      <c r="BH194" s="5">
        <v>2400000000000</v>
      </c>
      <c r="BO194">
        <v>125000</v>
      </c>
      <c r="BP194" t="s">
        <v>82</v>
      </c>
      <c r="BQ194" t="s">
        <v>125</v>
      </c>
      <c r="BR194">
        <v>200</v>
      </c>
      <c r="BS194">
        <v>0.1</v>
      </c>
      <c r="BT194" s="5" t="s">
        <v>125</v>
      </c>
      <c r="BU194" t="s">
        <v>237</v>
      </c>
      <c r="BV194" t="s">
        <v>234</v>
      </c>
      <c r="BW194" t="s">
        <v>667</v>
      </c>
    </row>
    <row r="195" spans="1:75" x14ac:dyDescent="0.75">
      <c r="B195" t="s">
        <v>219</v>
      </c>
      <c r="C195" t="s">
        <v>220</v>
      </c>
      <c r="D195" t="s">
        <v>221</v>
      </c>
      <c r="E195" t="s">
        <v>222</v>
      </c>
      <c r="F195">
        <v>98</v>
      </c>
      <c r="G195">
        <v>1</v>
      </c>
      <c r="H195" t="s">
        <v>91</v>
      </c>
      <c r="J195" s="4">
        <v>0.25</v>
      </c>
      <c r="L195">
        <v>82</v>
      </c>
      <c r="R195" t="s">
        <v>79</v>
      </c>
      <c r="W195" s="5"/>
      <c r="X195" s="5"/>
      <c r="Y195" s="5"/>
      <c r="Z195" s="5"/>
      <c r="AA195" s="5"/>
      <c r="BO195">
        <v>125000</v>
      </c>
      <c r="BP195" t="s">
        <v>82</v>
      </c>
      <c r="BQ195" t="s">
        <v>125</v>
      </c>
      <c r="BR195">
        <v>200</v>
      </c>
      <c r="BS195">
        <v>0.1</v>
      </c>
      <c r="BT195" s="5" t="s">
        <v>125</v>
      </c>
      <c r="BU195" t="s">
        <v>237</v>
      </c>
      <c r="BV195" t="s">
        <v>234</v>
      </c>
      <c r="BW195" t="s">
        <v>667</v>
      </c>
    </row>
    <row r="196" spans="1:75" x14ac:dyDescent="0.75">
      <c r="A196" s="1"/>
      <c r="B196" s="1" t="s">
        <v>219</v>
      </c>
      <c r="C196" s="1" t="s">
        <v>220</v>
      </c>
      <c r="D196" s="1" t="s">
        <v>221</v>
      </c>
      <c r="E196" s="1" t="s">
        <v>222</v>
      </c>
      <c r="F196" s="1">
        <v>98</v>
      </c>
      <c r="G196" s="1">
        <v>1</v>
      </c>
      <c r="H196" s="1" t="s">
        <v>90</v>
      </c>
      <c r="I196" s="1"/>
      <c r="J196" s="2">
        <v>0.25</v>
      </c>
      <c r="K196" s="1"/>
      <c r="L196" s="1">
        <v>40</v>
      </c>
      <c r="M196" s="1"/>
      <c r="N196" s="1"/>
      <c r="O196" s="1"/>
      <c r="P196" s="1"/>
      <c r="Q196" s="1"/>
      <c r="R196" s="1" t="s">
        <v>79</v>
      </c>
      <c r="S196" s="1"/>
      <c r="T196" s="1"/>
      <c r="U196" s="1"/>
      <c r="V196" s="1"/>
      <c r="W196" s="3"/>
      <c r="X196" s="3"/>
      <c r="Y196" s="3"/>
      <c r="Z196" s="3"/>
      <c r="AA196" s="3"/>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v>125000</v>
      </c>
      <c r="BP196" s="1" t="s">
        <v>82</v>
      </c>
      <c r="BQ196" s="1" t="s">
        <v>125</v>
      </c>
      <c r="BR196" s="1">
        <v>200</v>
      </c>
      <c r="BS196" s="1">
        <v>0.1</v>
      </c>
      <c r="BT196" s="3" t="s">
        <v>125</v>
      </c>
      <c r="BU196" s="1" t="s">
        <v>237</v>
      </c>
      <c r="BV196" s="1" t="s">
        <v>234</v>
      </c>
      <c r="BW196" t="s">
        <v>667</v>
      </c>
    </row>
    <row r="197" spans="1:75" x14ac:dyDescent="0.75">
      <c r="B197" t="s">
        <v>238</v>
      </c>
      <c r="C197" t="s">
        <v>239</v>
      </c>
      <c r="D197" t="s">
        <v>240</v>
      </c>
      <c r="E197" t="s">
        <v>240</v>
      </c>
      <c r="F197">
        <v>100</v>
      </c>
      <c r="G197">
        <v>1</v>
      </c>
      <c r="H197" t="s">
        <v>91</v>
      </c>
      <c r="J197" s="4">
        <f>1/15</f>
        <v>6.6666666666666666E-2</v>
      </c>
      <c r="L197">
        <v>-17.328918322295699</v>
      </c>
      <c r="M197">
        <v>-23</v>
      </c>
      <c r="N197">
        <v>55</v>
      </c>
      <c r="R197" t="s">
        <v>84</v>
      </c>
      <c r="W197" s="5"/>
      <c r="X197" s="5"/>
      <c r="Y197" s="5"/>
      <c r="AB197" s="5">
        <v>8.0349767834883099E-7</v>
      </c>
      <c r="AC197" s="5">
        <v>1.2681219260259401E-6</v>
      </c>
      <c r="AD197" s="5">
        <v>1.9374888798970601E-6</v>
      </c>
      <c r="AE197" s="5">
        <v>2.8751281645933901E-6</v>
      </c>
      <c r="AF197" s="5">
        <v>4.1558910719326601E-6</v>
      </c>
      <c r="AG197" s="5">
        <v>5.8661130390487502E-6</v>
      </c>
      <c r="AH197" s="5">
        <v>8.1034887389047007E-6</v>
      </c>
      <c r="AI197" s="5">
        <v>1.09766720378343E-5</v>
      </c>
      <c r="AJ197" s="5">
        <v>1.46046243955598E-5</v>
      </c>
      <c r="AV197" s="5">
        <v>5</v>
      </c>
      <c r="AW197">
        <v>1690</v>
      </c>
      <c r="AX197">
        <v>-87</v>
      </c>
      <c r="AY197">
        <v>45</v>
      </c>
      <c r="AZ197">
        <v>1.1000000000000001</v>
      </c>
      <c r="BA197">
        <v>1262</v>
      </c>
      <c r="BB197">
        <v>-67</v>
      </c>
      <c r="BG197">
        <v>0.71</v>
      </c>
      <c r="BH197" s="5">
        <v>140000</v>
      </c>
      <c r="BN197">
        <v>122664</v>
      </c>
      <c r="BP197" t="s">
        <v>82</v>
      </c>
      <c r="BQ197" t="s">
        <v>241</v>
      </c>
      <c r="BR197">
        <v>130</v>
      </c>
      <c r="BS197">
        <v>12</v>
      </c>
      <c r="BT197" s="5" t="s">
        <v>84</v>
      </c>
      <c r="BU197" t="s">
        <v>242</v>
      </c>
      <c r="BV197" t="s">
        <v>243</v>
      </c>
      <c r="BW197" t="s">
        <v>668</v>
      </c>
    </row>
    <row r="198" spans="1:75" x14ac:dyDescent="0.75">
      <c r="B198" t="s">
        <v>238</v>
      </c>
      <c r="C198" t="s">
        <v>239</v>
      </c>
      <c r="D198" t="s">
        <v>240</v>
      </c>
      <c r="E198" t="s">
        <v>240</v>
      </c>
      <c r="F198">
        <v>100</v>
      </c>
      <c r="G198">
        <v>1</v>
      </c>
      <c r="H198" t="s">
        <v>91</v>
      </c>
      <c r="J198" s="4">
        <f>1/10</f>
        <v>0.1</v>
      </c>
      <c r="L198">
        <v>-10.2465047829286</v>
      </c>
      <c r="M198">
        <v>-23</v>
      </c>
      <c r="N198">
        <v>55</v>
      </c>
      <c r="R198" t="s">
        <v>84</v>
      </c>
      <c r="W198" s="5"/>
      <c r="X198" s="5"/>
      <c r="Y198" s="5">
        <v>3.8663973817923299E-8</v>
      </c>
      <c r="Z198" s="5">
        <v>7.2613821630459596E-8</v>
      </c>
      <c r="AA198" s="5">
        <v>1.3097428505860999E-7</v>
      </c>
      <c r="AB198" s="5">
        <v>2.2773497751773001E-7</v>
      </c>
      <c r="AC198" s="5">
        <v>3.82983009146223E-7</v>
      </c>
      <c r="AD198" s="5">
        <v>6.2473903586669201E-7</v>
      </c>
      <c r="AE198" s="5">
        <v>9.9107837134062194E-7</v>
      </c>
      <c r="AF198" s="5">
        <v>1.5325176890012901E-6</v>
      </c>
      <c r="AG198" s="5">
        <v>2.3146350413673199E-6</v>
      </c>
      <c r="AH198" s="5">
        <v>3.42087948387416E-6</v>
      </c>
      <c r="AI198" s="5">
        <v>4.9555171585431404E-6</v>
      </c>
      <c r="AJ198" s="5">
        <v>7.0466537091672597E-6</v>
      </c>
      <c r="AK198" s="5">
        <v>9.8492685916337805E-6</v>
      </c>
      <c r="AL198" s="5">
        <v>1.8360982020504299E-5</v>
      </c>
      <c r="AV198" s="5">
        <v>193</v>
      </c>
      <c r="AW198">
        <v>2872</v>
      </c>
      <c r="AX198">
        <v>-118</v>
      </c>
      <c r="AY198">
        <v>32</v>
      </c>
      <c r="AZ198">
        <v>1.1000000000000001</v>
      </c>
      <c r="BA198">
        <v>1308</v>
      </c>
      <c r="BB198">
        <v>-60</v>
      </c>
      <c r="BG198">
        <v>0.85</v>
      </c>
      <c r="BH198" s="5">
        <v>6000000</v>
      </c>
      <c r="BN198">
        <v>122664</v>
      </c>
      <c r="BP198" t="s">
        <v>82</v>
      </c>
      <c r="BQ198" t="s">
        <v>241</v>
      </c>
      <c r="BR198">
        <v>130</v>
      </c>
      <c r="BS198">
        <v>12</v>
      </c>
      <c r="BT198" s="5" t="s">
        <v>84</v>
      </c>
      <c r="BU198" t="s">
        <v>244</v>
      </c>
      <c r="BV198" t="s">
        <v>243</v>
      </c>
      <c r="BW198" t="s">
        <v>668</v>
      </c>
    </row>
    <row r="199" spans="1:75" x14ac:dyDescent="0.75">
      <c r="B199" t="s">
        <v>238</v>
      </c>
      <c r="C199" t="s">
        <v>239</v>
      </c>
      <c r="D199" t="s">
        <v>240</v>
      </c>
      <c r="E199" t="s">
        <v>240</v>
      </c>
      <c r="F199">
        <v>100</v>
      </c>
      <c r="G199">
        <v>1</v>
      </c>
      <c r="H199" t="s">
        <v>91</v>
      </c>
      <c r="J199" s="4">
        <f>1/6</f>
        <v>0.16666666666666666</v>
      </c>
      <c r="L199">
        <v>11.828550404709301</v>
      </c>
      <c r="M199">
        <v>-23</v>
      </c>
      <c r="R199" t="s">
        <v>79</v>
      </c>
      <c r="W199" s="5"/>
      <c r="X199" s="5"/>
      <c r="Y199" s="5"/>
      <c r="AA199" s="5"/>
      <c r="BN199">
        <v>122664</v>
      </c>
      <c r="BP199" t="s">
        <v>82</v>
      </c>
      <c r="BQ199" t="s">
        <v>241</v>
      </c>
      <c r="BR199">
        <v>130</v>
      </c>
      <c r="BS199">
        <v>12</v>
      </c>
      <c r="BT199" s="5" t="s">
        <v>84</v>
      </c>
      <c r="BU199" t="s">
        <v>245</v>
      </c>
      <c r="BV199" t="s">
        <v>243</v>
      </c>
      <c r="BW199" t="s">
        <v>668</v>
      </c>
    </row>
    <row r="200" spans="1:75" x14ac:dyDescent="0.75">
      <c r="B200" t="s">
        <v>238</v>
      </c>
      <c r="C200" t="s">
        <v>239</v>
      </c>
      <c r="D200" t="s">
        <v>240</v>
      </c>
      <c r="E200" t="s">
        <v>240</v>
      </c>
      <c r="F200">
        <v>100</v>
      </c>
      <c r="G200">
        <v>1</v>
      </c>
      <c r="H200" t="s">
        <v>91</v>
      </c>
      <c r="J200" s="4">
        <f>1/4</f>
        <v>0.25</v>
      </c>
      <c r="L200">
        <v>25.349521707137601</v>
      </c>
      <c r="M200">
        <v>-23</v>
      </c>
      <c r="R200" t="s">
        <v>79</v>
      </c>
      <c r="W200" s="5"/>
      <c r="X200" s="5"/>
      <c r="Y200" s="5"/>
      <c r="AA200" s="5"/>
      <c r="AG200" s="5"/>
      <c r="AH200" s="5">
        <v>1.2906718195377399E-8</v>
      </c>
      <c r="AI200" s="5">
        <v>2.5997984851668901E-8</v>
      </c>
      <c r="AJ200" s="5">
        <v>4.9676702412941697E-8</v>
      </c>
      <c r="AK200" s="5">
        <v>9.0559451056029898E-8</v>
      </c>
      <c r="AL200" s="5">
        <v>2.6634753135951301E-7</v>
      </c>
      <c r="AM200" s="5">
        <v>6.8294345214068299E-7</v>
      </c>
      <c r="AV200">
        <v>20</v>
      </c>
      <c r="AW200">
        <v>2257</v>
      </c>
      <c r="AX200">
        <v>-49</v>
      </c>
      <c r="AY200">
        <v>75</v>
      </c>
      <c r="AZ200">
        <v>1.4</v>
      </c>
      <c r="BA200">
        <v>1563</v>
      </c>
      <c r="BB200">
        <v>-25</v>
      </c>
      <c r="BG200">
        <v>1.3</v>
      </c>
      <c r="BH200" s="5">
        <v>31000000000</v>
      </c>
      <c r="BN200">
        <v>122664</v>
      </c>
      <c r="BP200" t="s">
        <v>82</v>
      </c>
      <c r="BQ200" t="s">
        <v>241</v>
      </c>
      <c r="BR200">
        <v>130</v>
      </c>
      <c r="BS200">
        <v>12</v>
      </c>
      <c r="BT200" s="5" t="s">
        <v>84</v>
      </c>
      <c r="BU200" t="s">
        <v>246</v>
      </c>
      <c r="BV200" t="s">
        <v>243</v>
      </c>
      <c r="BW200" t="s">
        <v>668</v>
      </c>
    </row>
    <row r="201" spans="1:75" x14ac:dyDescent="0.75">
      <c r="B201" t="s">
        <v>238</v>
      </c>
      <c r="C201" t="s">
        <v>239</v>
      </c>
      <c r="D201" t="s">
        <v>240</v>
      </c>
      <c r="E201" t="s">
        <v>240</v>
      </c>
      <c r="F201">
        <v>100</v>
      </c>
      <c r="G201">
        <v>1</v>
      </c>
      <c r="H201" t="s">
        <v>90</v>
      </c>
      <c r="J201" s="4">
        <f>1/15</f>
        <v>6.6666666666666666E-2</v>
      </c>
      <c r="L201">
        <v>-15.397350993377399</v>
      </c>
      <c r="M201">
        <v>-23</v>
      </c>
      <c r="N201">
        <v>55</v>
      </c>
      <c r="R201" t="s">
        <v>84</v>
      </c>
      <c r="W201" s="5"/>
      <c r="X201" s="5"/>
      <c r="Y201" s="5"/>
      <c r="AA201" s="5"/>
      <c r="AB201" s="5">
        <v>6.2608576615674499E-7</v>
      </c>
      <c r="AC201" s="5">
        <v>9.9568656107330298E-7</v>
      </c>
      <c r="AD201" s="5">
        <v>1.5408718166149201E-6</v>
      </c>
      <c r="AE201" s="5">
        <v>2.3257920854630901E-6</v>
      </c>
      <c r="AF201" s="5">
        <v>3.4310793965439602E-6</v>
      </c>
      <c r="AG201" s="5">
        <v>4.9561613242267702E-6</v>
      </c>
      <c r="AH201" s="5">
        <v>7.0215164160597699E-6</v>
      </c>
      <c r="AI201" s="5">
        <v>9.7708094232968102E-6</v>
      </c>
      <c r="AJ201" s="5">
        <v>1.3372849013397401E-5</v>
      </c>
      <c r="AK201" s="5">
        <v>1.80233170217314E-5</v>
      </c>
      <c r="AV201">
        <v>79</v>
      </c>
      <c r="AW201">
        <v>2559</v>
      </c>
      <c r="AX201">
        <v>-117</v>
      </c>
      <c r="AY201">
        <v>45</v>
      </c>
      <c r="AZ201">
        <v>1.3</v>
      </c>
      <c r="BA201">
        <v>1290</v>
      </c>
      <c r="BB201">
        <v>-65</v>
      </c>
      <c r="BG201">
        <v>0.75</v>
      </c>
      <c r="BH201" s="5">
        <v>470000</v>
      </c>
      <c r="BN201">
        <v>122664</v>
      </c>
      <c r="BP201" t="s">
        <v>82</v>
      </c>
      <c r="BQ201" t="s">
        <v>241</v>
      </c>
      <c r="BR201">
        <v>130</v>
      </c>
      <c r="BS201">
        <v>12</v>
      </c>
      <c r="BT201" s="5" t="s">
        <v>84</v>
      </c>
      <c r="BU201" t="s">
        <v>247</v>
      </c>
      <c r="BV201" t="s">
        <v>243</v>
      </c>
      <c r="BW201" t="s">
        <v>668</v>
      </c>
    </row>
    <row r="202" spans="1:75" x14ac:dyDescent="0.75">
      <c r="B202" t="s">
        <v>238</v>
      </c>
      <c r="C202" t="s">
        <v>239</v>
      </c>
      <c r="D202" t="s">
        <v>240</v>
      </c>
      <c r="E202" t="s">
        <v>240</v>
      </c>
      <c r="F202">
        <v>100</v>
      </c>
      <c r="G202">
        <v>1</v>
      </c>
      <c r="H202" t="s">
        <v>90</v>
      </c>
      <c r="J202" s="4">
        <f>1/10</f>
        <v>0.1</v>
      </c>
      <c r="L202">
        <v>-0.128771155261205</v>
      </c>
      <c r="M202">
        <v>-23</v>
      </c>
      <c r="N202">
        <v>55</v>
      </c>
      <c r="R202" t="s">
        <v>84</v>
      </c>
      <c r="W202" s="5"/>
      <c r="X202" s="5"/>
      <c r="Y202" s="5"/>
      <c r="Z202" s="5">
        <v>1.8285101414730999E-8</v>
      </c>
      <c r="AA202" s="5">
        <v>3.81609554241352E-8</v>
      </c>
      <c r="AB202" s="5">
        <v>7.4857403505966898E-8</v>
      </c>
      <c r="AC202" s="5">
        <v>1.3905373073184199E-7</v>
      </c>
      <c r="AD202" s="5">
        <v>2.4615145941041702E-7</v>
      </c>
      <c r="AE202" s="5">
        <v>4.1747163916576002E-7</v>
      </c>
      <c r="AF202" s="5">
        <v>6.8148350747384098E-7</v>
      </c>
      <c r="AG202" s="5">
        <v>1.0750045790405101E-6</v>
      </c>
      <c r="AH202" s="5">
        <v>1.64431310870668E-6</v>
      </c>
      <c r="AI202" s="5">
        <v>2.44611941042556E-6</v>
      </c>
      <c r="AJ202" s="5">
        <v>3.5483515447210899E-6</v>
      </c>
      <c r="AK202" s="5">
        <v>5.0307221024915399E-6</v>
      </c>
      <c r="AL202" s="5">
        <v>9.5153628838912503E-6</v>
      </c>
      <c r="AM202" s="5">
        <v>1.6779645960264899E-5</v>
      </c>
      <c r="AV202">
        <v>8.4</v>
      </c>
      <c r="AW202">
        <v>1875</v>
      </c>
      <c r="AX202">
        <v>-75</v>
      </c>
      <c r="AY202">
        <v>35</v>
      </c>
      <c r="AZ202">
        <v>0.81</v>
      </c>
      <c r="BA202">
        <v>1265</v>
      </c>
      <c r="BB202">
        <v>-50</v>
      </c>
      <c r="BG202">
        <v>0.91</v>
      </c>
      <c r="BH202" s="5">
        <v>21000000</v>
      </c>
      <c r="BN202">
        <v>122664</v>
      </c>
      <c r="BP202" t="s">
        <v>82</v>
      </c>
      <c r="BQ202" t="s">
        <v>241</v>
      </c>
      <c r="BR202">
        <v>130</v>
      </c>
      <c r="BS202">
        <v>12</v>
      </c>
      <c r="BT202" s="5" t="s">
        <v>84</v>
      </c>
      <c r="BU202" t="s">
        <v>248</v>
      </c>
      <c r="BV202" t="s">
        <v>243</v>
      </c>
      <c r="BW202" t="s">
        <v>668</v>
      </c>
    </row>
    <row r="203" spans="1:75" x14ac:dyDescent="0.75">
      <c r="B203" t="s">
        <v>238</v>
      </c>
      <c r="C203" t="s">
        <v>239</v>
      </c>
      <c r="D203" t="s">
        <v>240</v>
      </c>
      <c r="E203" t="s">
        <v>240</v>
      </c>
      <c r="F203">
        <v>100</v>
      </c>
      <c r="G203">
        <v>1</v>
      </c>
      <c r="H203" t="s">
        <v>90</v>
      </c>
      <c r="J203" s="4">
        <f>1/6</f>
        <v>0.16666666666666666</v>
      </c>
      <c r="L203">
        <v>25.349521707137601</v>
      </c>
      <c r="M203">
        <v>-23</v>
      </c>
      <c r="R203" t="s">
        <v>79</v>
      </c>
      <c r="W203" s="5"/>
      <c r="X203" s="5"/>
      <c r="Y203" s="5"/>
      <c r="AA203" s="5"/>
      <c r="AG203" s="5"/>
      <c r="BN203">
        <v>122664</v>
      </c>
      <c r="BP203" t="s">
        <v>82</v>
      </c>
      <c r="BQ203" t="s">
        <v>241</v>
      </c>
      <c r="BR203">
        <v>130</v>
      </c>
      <c r="BS203">
        <v>12</v>
      </c>
      <c r="BT203" s="5" t="s">
        <v>84</v>
      </c>
      <c r="BU203" t="s">
        <v>249</v>
      </c>
      <c r="BV203" t="s">
        <v>243</v>
      </c>
      <c r="BW203" t="s">
        <v>668</v>
      </c>
    </row>
    <row r="204" spans="1:75" x14ac:dyDescent="0.75">
      <c r="B204" t="s">
        <v>238</v>
      </c>
      <c r="C204" t="s">
        <v>239</v>
      </c>
      <c r="D204" t="s">
        <v>240</v>
      </c>
      <c r="E204" t="s">
        <v>240</v>
      </c>
      <c r="F204">
        <v>100</v>
      </c>
      <c r="G204">
        <v>1</v>
      </c>
      <c r="H204" t="s">
        <v>90</v>
      </c>
      <c r="J204" s="4">
        <f>1/4</f>
        <v>0.25</v>
      </c>
      <c r="L204">
        <v>43.745401030169198</v>
      </c>
      <c r="M204">
        <v>-23</v>
      </c>
      <c r="R204" t="s">
        <v>79</v>
      </c>
      <c r="W204" s="5"/>
      <c r="X204" s="5"/>
      <c r="Y204" s="5"/>
      <c r="AA204" s="5"/>
      <c r="AJ204" s="5">
        <v>2.7611436937694099E-9</v>
      </c>
      <c r="AK204" s="5">
        <v>5.7526758811747601E-9</v>
      </c>
      <c r="AL204" s="5">
        <v>2.1952167281989399E-8</v>
      </c>
      <c r="AM204" s="5">
        <v>7.2232699256981103E-8</v>
      </c>
      <c r="AN204" s="5">
        <v>3.4309543611695202E-7</v>
      </c>
      <c r="AV204">
        <v>1426</v>
      </c>
      <c r="AW204">
        <v>3776</v>
      </c>
      <c r="AX204">
        <v>-72</v>
      </c>
      <c r="AY204">
        <v>85</v>
      </c>
      <c r="AZ204">
        <v>0.53</v>
      </c>
      <c r="BA204">
        <v>1480</v>
      </c>
      <c r="BB204">
        <v>-6</v>
      </c>
      <c r="BG204">
        <v>1.45</v>
      </c>
      <c r="BH204" s="5">
        <v>780000000000</v>
      </c>
      <c r="BN204">
        <v>122664</v>
      </c>
      <c r="BP204" t="s">
        <v>82</v>
      </c>
      <c r="BQ204" t="s">
        <v>241</v>
      </c>
      <c r="BR204">
        <v>130</v>
      </c>
      <c r="BS204">
        <v>12</v>
      </c>
      <c r="BT204" s="5" t="s">
        <v>84</v>
      </c>
      <c r="BU204" t="s">
        <v>250</v>
      </c>
      <c r="BV204" t="s">
        <v>243</v>
      </c>
      <c r="BW204" t="s">
        <v>668</v>
      </c>
    </row>
    <row r="205" spans="1:75" x14ac:dyDescent="0.75">
      <c r="B205" t="s">
        <v>238</v>
      </c>
      <c r="C205" t="s">
        <v>251</v>
      </c>
      <c r="D205" t="s">
        <v>252</v>
      </c>
      <c r="E205" t="s">
        <v>252</v>
      </c>
      <c r="F205">
        <v>100</v>
      </c>
      <c r="G205">
        <v>1</v>
      </c>
      <c r="H205" t="s">
        <v>91</v>
      </c>
      <c r="J205" s="4">
        <f>1/16</f>
        <v>6.25E-2</v>
      </c>
      <c r="L205">
        <v>-42.071376011773303</v>
      </c>
      <c r="M205">
        <v>-88</v>
      </c>
      <c r="R205" t="s">
        <v>79</v>
      </c>
      <c r="W205" s="5"/>
      <c r="X205" s="5"/>
      <c r="Y205" s="5"/>
      <c r="Z205" s="5">
        <v>1.79545151834136E-7</v>
      </c>
      <c r="AA205" s="5">
        <v>2.6198200252744401E-7</v>
      </c>
      <c r="AB205" s="5">
        <v>3.7356895493567102E-7</v>
      </c>
      <c r="AC205" s="5">
        <v>5.2161281949322499E-7</v>
      </c>
      <c r="AD205" s="5">
        <v>7.1446534624245796E-7</v>
      </c>
      <c r="AE205" s="5">
        <v>9.6152620742962306E-7</v>
      </c>
      <c r="AF205" s="5">
        <v>1.2732261497053801E-6</v>
      </c>
      <c r="AG205" s="5">
        <v>1.6609912912484201E-6</v>
      </c>
      <c r="AH205" s="5">
        <v>2.13719010257553E-6</v>
      </c>
      <c r="AI205" s="5">
        <v>2.7150650315033599E-6</v>
      </c>
      <c r="AJ205" s="5">
        <v>3.4086510168568901E-6</v>
      </c>
      <c r="AK205" s="5">
        <v>4.2326832936428603E-6</v>
      </c>
      <c r="AL205" s="5">
        <v>6.3339205788698202E-6</v>
      </c>
      <c r="AV205">
        <v>0.83</v>
      </c>
      <c r="AW205">
        <v>1955</v>
      </c>
      <c r="AX205">
        <v>-122</v>
      </c>
      <c r="AY205">
        <v>35</v>
      </c>
      <c r="AZ205">
        <v>0.15</v>
      </c>
      <c r="BA205">
        <v>1375</v>
      </c>
      <c r="BB205">
        <v>-92</v>
      </c>
      <c r="BG205">
        <v>0.54</v>
      </c>
      <c r="BH205">
        <v>138</v>
      </c>
      <c r="BN205">
        <v>162707</v>
      </c>
      <c r="BP205" t="s">
        <v>82</v>
      </c>
      <c r="BQ205" t="s">
        <v>241</v>
      </c>
      <c r="BR205">
        <v>130</v>
      </c>
      <c r="BS205">
        <v>12</v>
      </c>
      <c r="BT205" s="5" t="s">
        <v>84</v>
      </c>
      <c r="BU205" t="s">
        <v>253</v>
      </c>
      <c r="BV205" t="s">
        <v>243</v>
      </c>
      <c r="BW205" t="s">
        <v>668</v>
      </c>
    </row>
    <row r="206" spans="1:75" x14ac:dyDescent="0.75">
      <c r="B206" t="s">
        <v>238</v>
      </c>
      <c r="C206" t="s">
        <v>251</v>
      </c>
      <c r="D206" t="s">
        <v>252</v>
      </c>
      <c r="E206" t="s">
        <v>252</v>
      </c>
      <c r="F206">
        <v>100</v>
      </c>
      <c r="G206">
        <v>1</v>
      </c>
      <c r="H206" t="s">
        <v>91</v>
      </c>
      <c r="J206" s="4">
        <f>1/10</f>
        <v>0.1</v>
      </c>
      <c r="L206">
        <v>-33.793230316409101</v>
      </c>
      <c r="M206">
        <v>-88</v>
      </c>
      <c r="R206" t="s">
        <v>79</v>
      </c>
      <c r="W206" s="5"/>
      <c r="X206" s="5"/>
      <c r="Y206" s="5"/>
      <c r="Z206" s="5">
        <v>1.4282137710682599E-7</v>
      </c>
      <c r="AA206" s="5">
        <v>2.2518122211713901E-7</v>
      </c>
      <c r="AB206" s="5">
        <v>3.4485625972015801E-7</v>
      </c>
      <c r="AC206" s="5">
        <v>5.14366522816409E-7</v>
      </c>
      <c r="AD206" s="5">
        <v>7.4896175659007303E-7</v>
      </c>
      <c r="AE206" s="5">
        <v>1.06685310031517E-6</v>
      </c>
      <c r="AF206" s="5">
        <v>1.4894014799323999E-6</v>
      </c>
      <c r="AG206" s="5">
        <v>2.0412564062278098E-6</v>
      </c>
      <c r="AH206" s="5">
        <v>2.7504410582660399E-6</v>
      </c>
      <c r="AI206" s="5">
        <v>3.6483816865588299E-6</v>
      </c>
      <c r="AJ206" s="5">
        <v>4.7698813768550798E-6</v>
      </c>
      <c r="AK206" s="5">
        <v>6.1530399890318598E-6</v>
      </c>
      <c r="AL206" s="5">
        <v>9.87238775149696E-6</v>
      </c>
      <c r="AV206">
        <v>3.8</v>
      </c>
      <c r="AW206">
        <v>2115</v>
      </c>
      <c r="AX206">
        <v>-114</v>
      </c>
      <c r="AY206">
        <v>35</v>
      </c>
      <c r="AZ206">
        <v>0.52</v>
      </c>
      <c r="BA206">
        <v>1462</v>
      </c>
      <c r="BB206">
        <v>-84</v>
      </c>
      <c r="BG206">
        <v>0.64</v>
      </c>
      <c r="BH206">
        <v>5272</v>
      </c>
      <c r="BN206">
        <v>162707</v>
      </c>
      <c r="BP206" t="s">
        <v>82</v>
      </c>
      <c r="BQ206" t="s">
        <v>241</v>
      </c>
      <c r="BR206">
        <v>130</v>
      </c>
      <c r="BS206">
        <v>12</v>
      </c>
      <c r="BT206" s="5" t="s">
        <v>84</v>
      </c>
      <c r="BU206" t="s">
        <v>254</v>
      </c>
      <c r="BV206" t="s">
        <v>243</v>
      </c>
      <c r="BW206" t="s">
        <v>668</v>
      </c>
    </row>
    <row r="207" spans="1:75" x14ac:dyDescent="0.75">
      <c r="B207" t="s">
        <v>238</v>
      </c>
      <c r="C207" t="s">
        <v>251</v>
      </c>
      <c r="D207" t="s">
        <v>252</v>
      </c>
      <c r="E207" t="s">
        <v>252</v>
      </c>
      <c r="F207">
        <v>100</v>
      </c>
      <c r="G207">
        <v>1</v>
      </c>
      <c r="H207" t="s">
        <v>91</v>
      </c>
      <c r="J207" s="4">
        <f>1/5.9</f>
        <v>0.16949152542372881</v>
      </c>
      <c r="L207">
        <v>4.1942604856512196</v>
      </c>
      <c r="M207">
        <v>-88</v>
      </c>
      <c r="R207" t="s">
        <v>79</v>
      </c>
      <c r="W207" s="5"/>
      <c r="X207" s="5"/>
      <c r="Y207" s="5"/>
      <c r="AA207" s="5"/>
      <c r="AB207" s="5">
        <v>1.7302836683118199E-8</v>
      </c>
      <c r="AC207" s="5">
        <v>3.1405037163273003E-8</v>
      </c>
      <c r="AD207" s="5">
        <v>5.5013262312882802E-8</v>
      </c>
      <c r="AE207" s="5">
        <v>9.3292955519433104E-8</v>
      </c>
      <c r="AF207" s="5">
        <v>1.5357588291353299E-7</v>
      </c>
      <c r="AG207" s="5">
        <v>2.46003549713035E-7</v>
      </c>
      <c r="AH207" s="5">
        <v>3.8427697365366801E-7</v>
      </c>
      <c r="AI207" s="5">
        <v>5.8651035976264402E-7</v>
      </c>
      <c r="AJ207" s="5">
        <v>8.7618220666936398E-7</v>
      </c>
      <c r="AK207" s="5">
        <v>1.28317350939223E-6</v>
      </c>
      <c r="AL207" s="5">
        <v>2.6073760829108298E-6</v>
      </c>
      <c r="AM207" s="5">
        <v>4.9697065449159197E-6</v>
      </c>
      <c r="AV207">
        <v>132</v>
      </c>
      <c r="AW207">
        <v>3172</v>
      </c>
      <c r="AX207">
        <v>-115</v>
      </c>
      <c r="AY207">
        <v>45</v>
      </c>
      <c r="AZ207">
        <v>0.35</v>
      </c>
      <c r="BA207">
        <v>1289</v>
      </c>
      <c r="BB207">
        <v>-45.8</v>
      </c>
      <c r="BG207">
        <v>0.89</v>
      </c>
      <c r="BH207" s="5">
        <v>2800000</v>
      </c>
      <c r="BN207">
        <v>162707</v>
      </c>
      <c r="BP207" t="s">
        <v>82</v>
      </c>
      <c r="BQ207" t="s">
        <v>241</v>
      </c>
      <c r="BR207">
        <v>130</v>
      </c>
      <c r="BS207">
        <v>12</v>
      </c>
      <c r="BT207" s="5" t="s">
        <v>84</v>
      </c>
      <c r="BU207" t="s">
        <v>255</v>
      </c>
      <c r="BV207" t="s">
        <v>243</v>
      </c>
      <c r="BW207" t="s">
        <v>668</v>
      </c>
    </row>
    <row r="208" spans="1:75" x14ac:dyDescent="0.75">
      <c r="B208" t="s">
        <v>238</v>
      </c>
      <c r="C208" t="s">
        <v>251</v>
      </c>
      <c r="D208" t="s">
        <v>252</v>
      </c>
      <c r="E208" t="s">
        <v>252</v>
      </c>
      <c r="F208">
        <v>100</v>
      </c>
      <c r="G208">
        <v>1</v>
      </c>
      <c r="H208" t="s">
        <v>91</v>
      </c>
      <c r="J208" s="4">
        <f>1/4.1</f>
        <v>0.24390243902439027</v>
      </c>
      <c r="L208">
        <v>23.785871964679899</v>
      </c>
      <c r="M208">
        <v>-88</v>
      </c>
      <c r="R208" t="s">
        <v>79</v>
      </c>
      <c r="W208" s="5"/>
      <c r="X208" s="5"/>
      <c r="Y208" s="5"/>
      <c r="AA208" s="5"/>
      <c r="AI208" s="5">
        <v>1.8168367098040201E-8</v>
      </c>
      <c r="AJ208" s="5">
        <v>3.3001741780436802E-8</v>
      </c>
      <c r="AK208" s="5">
        <v>5.7421957445008901E-8</v>
      </c>
      <c r="AL208" s="5">
        <v>1.5545356018804899E-7</v>
      </c>
      <c r="AM208" s="5">
        <v>3.7111336879454103E-7</v>
      </c>
      <c r="AV208">
        <v>4.2</v>
      </c>
      <c r="AW208">
        <v>2123</v>
      </c>
      <c r="AX208">
        <v>-50</v>
      </c>
      <c r="AY208">
        <v>80</v>
      </c>
      <c r="AZ208">
        <v>0.4</v>
      </c>
      <c r="BA208">
        <v>1485</v>
      </c>
      <c r="BB208">
        <v>-26</v>
      </c>
      <c r="BG208">
        <v>1.1000000000000001</v>
      </c>
      <c r="BH208" s="5">
        <v>270000000</v>
      </c>
      <c r="BN208">
        <v>162707</v>
      </c>
      <c r="BP208" t="s">
        <v>82</v>
      </c>
      <c r="BQ208" t="s">
        <v>241</v>
      </c>
      <c r="BR208">
        <v>130</v>
      </c>
      <c r="BS208">
        <v>12</v>
      </c>
      <c r="BT208" s="5" t="s">
        <v>84</v>
      </c>
      <c r="BU208" t="s">
        <v>256</v>
      </c>
      <c r="BV208" t="s">
        <v>243</v>
      </c>
      <c r="BW208" t="s">
        <v>668</v>
      </c>
    </row>
    <row r="209" spans="1:75" x14ac:dyDescent="0.75">
      <c r="B209" t="s">
        <v>238</v>
      </c>
      <c r="C209" t="s">
        <v>251</v>
      </c>
      <c r="D209" t="s">
        <v>252</v>
      </c>
      <c r="E209" t="s">
        <v>252</v>
      </c>
      <c r="F209">
        <v>100</v>
      </c>
      <c r="G209">
        <v>1</v>
      </c>
      <c r="H209" t="s">
        <v>90</v>
      </c>
      <c r="J209" s="4">
        <f>1/15</f>
        <v>6.6666666666666666E-2</v>
      </c>
      <c r="L209">
        <v>-53.016924208977102</v>
      </c>
      <c r="M209">
        <v>-88</v>
      </c>
      <c r="R209" t="s">
        <v>79</v>
      </c>
      <c r="W209" s="5"/>
      <c r="X209" s="5"/>
      <c r="Y209" s="5">
        <v>1.98637824630793E-8</v>
      </c>
      <c r="Z209" s="5">
        <v>3.4877599089902599E-8</v>
      </c>
      <c r="AA209" s="5">
        <v>5.8435093846252102E-8</v>
      </c>
      <c r="AB209" s="5">
        <v>9.3942551332245797E-8</v>
      </c>
      <c r="AC209" s="5">
        <v>1.45600617174558E-7</v>
      </c>
      <c r="AD209" s="5">
        <v>2.1843714926683099E-7</v>
      </c>
      <c r="AE209" s="5">
        <v>3.1831333380050603E-7</v>
      </c>
      <c r="AF209" s="5">
        <v>4.51903343614829E-7</v>
      </c>
      <c r="AG209" s="5">
        <v>6.2664938383720996E-7</v>
      </c>
      <c r="AH209" s="5">
        <v>8.5069514011106001E-7</v>
      </c>
      <c r="AI209" s="5">
        <v>1.1328014057554E-6</v>
      </c>
      <c r="AJ209" s="5">
        <v>1.4822480487214201E-6</v>
      </c>
      <c r="AK209" s="5">
        <v>1.9087265462706499E-6</v>
      </c>
      <c r="AV209">
        <v>0.21</v>
      </c>
      <c r="AW209">
        <v>1484</v>
      </c>
      <c r="AX209">
        <v>-81.5</v>
      </c>
      <c r="AY209">
        <v>30</v>
      </c>
      <c r="AZ209">
        <v>1</v>
      </c>
      <c r="BA209">
        <v>1972</v>
      </c>
      <c r="BB209">
        <v>-103</v>
      </c>
      <c r="BG209">
        <v>0.69</v>
      </c>
      <c r="BH209">
        <v>7705</v>
      </c>
      <c r="BN209">
        <v>162707</v>
      </c>
      <c r="BP209" t="s">
        <v>82</v>
      </c>
      <c r="BQ209" t="s">
        <v>241</v>
      </c>
      <c r="BR209">
        <v>130</v>
      </c>
      <c r="BS209">
        <v>12</v>
      </c>
      <c r="BT209" s="5" t="s">
        <v>84</v>
      </c>
      <c r="BU209" t="s">
        <v>257</v>
      </c>
      <c r="BV209" t="s">
        <v>243</v>
      </c>
      <c r="BW209" t="s">
        <v>668</v>
      </c>
    </row>
    <row r="210" spans="1:75" x14ac:dyDescent="0.75">
      <c r="B210" t="s">
        <v>238</v>
      </c>
      <c r="C210" t="s">
        <v>251</v>
      </c>
      <c r="D210" t="s">
        <v>252</v>
      </c>
      <c r="E210" t="s">
        <v>252</v>
      </c>
      <c r="F210">
        <v>100</v>
      </c>
      <c r="G210">
        <v>1</v>
      </c>
      <c r="H210" t="s">
        <v>90</v>
      </c>
      <c r="J210" s="4">
        <f>1/10</f>
        <v>0.1</v>
      </c>
      <c r="L210">
        <v>-20.272259013980801</v>
      </c>
      <c r="M210">
        <v>-88</v>
      </c>
      <c r="R210" t="s">
        <v>79</v>
      </c>
      <c r="W210" s="5"/>
      <c r="X210" s="5"/>
      <c r="Y210" s="5"/>
      <c r="AA210" s="5"/>
      <c r="AC210" s="5"/>
      <c r="AD210" s="5">
        <v>1.32528415528342E-8</v>
      </c>
      <c r="AE210" s="5">
        <v>2.5590752815950601E-8</v>
      </c>
      <c r="AF210" s="5">
        <v>4.6745926009019303E-8</v>
      </c>
      <c r="AG210" s="5">
        <v>8.1320065915079406E-8</v>
      </c>
      <c r="AH210" s="5">
        <v>1.3548865381915499E-7</v>
      </c>
      <c r="AI210" s="5">
        <v>2.17246154168258E-7</v>
      </c>
      <c r="AJ210" s="5">
        <v>3.36618563435877E-7</v>
      </c>
      <c r="AK210" s="5">
        <v>5.0583120472468105E-7</v>
      </c>
      <c r="AL210" s="5">
        <v>1.0543022281169899E-6</v>
      </c>
      <c r="AM210" s="5">
        <v>2.0073164279895401E-6</v>
      </c>
      <c r="AV210">
        <v>1</v>
      </c>
      <c r="AW210">
        <v>1673</v>
      </c>
      <c r="AX210">
        <v>-55</v>
      </c>
      <c r="AY210">
        <v>55</v>
      </c>
      <c r="AZ210">
        <v>4</v>
      </c>
      <c r="BA210">
        <v>2073</v>
      </c>
      <c r="BB210">
        <v>-70</v>
      </c>
      <c r="BG210">
        <v>0.95</v>
      </c>
      <c r="BH210" s="5">
        <v>6700000</v>
      </c>
      <c r="BN210">
        <v>162707</v>
      </c>
      <c r="BP210" t="s">
        <v>82</v>
      </c>
      <c r="BQ210" t="s">
        <v>241</v>
      </c>
      <c r="BR210">
        <v>130</v>
      </c>
      <c r="BS210">
        <v>12</v>
      </c>
      <c r="BT210" s="5" t="s">
        <v>84</v>
      </c>
      <c r="BU210" t="s">
        <v>258</v>
      </c>
      <c r="BV210" t="s">
        <v>243</v>
      </c>
      <c r="BW210" t="s">
        <v>668</v>
      </c>
    </row>
    <row r="211" spans="1:75" x14ac:dyDescent="0.75">
      <c r="B211" t="s">
        <v>238</v>
      </c>
      <c r="C211" t="s">
        <v>251</v>
      </c>
      <c r="D211" t="s">
        <v>252</v>
      </c>
      <c r="E211" t="s">
        <v>252</v>
      </c>
      <c r="F211">
        <v>100</v>
      </c>
      <c r="G211">
        <v>1</v>
      </c>
      <c r="H211" t="s">
        <v>90</v>
      </c>
      <c r="J211" s="4">
        <f>1/6.2</f>
        <v>0.16129032258064516</v>
      </c>
      <c r="L211">
        <v>24.337748344370802</v>
      </c>
      <c r="M211">
        <v>-88</v>
      </c>
      <c r="R211" t="s">
        <v>79</v>
      </c>
      <c r="W211" s="5"/>
      <c r="X211" s="5"/>
      <c r="Y211" s="5"/>
      <c r="AC211" s="5"/>
      <c r="AE211" s="5"/>
      <c r="AF211" s="5">
        <v>7.3870235856739997E-9</v>
      </c>
      <c r="AG211" s="5">
        <v>1.4985969096453001E-8</v>
      </c>
      <c r="AH211" s="5">
        <v>2.8964118576023599E-8</v>
      </c>
      <c r="AI211" s="5">
        <v>5.3588626963377003E-8</v>
      </c>
      <c r="AJ211" s="5">
        <v>9.5309053195622594E-8</v>
      </c>
      <c r="AK211" s="5">
        <v>1.6354365893106301E-7</v>
      </c>
      <c r="AL211" s="5">
        <v>4.3790419261647898E-7</v>
      </c>
      <c r="AM211" s="5">
        <v>1.05119126159203E-6</v>
      </c>
      <c r="AV211">
        <v>91</v>
      </c>
      <c r="AW211">
        <v>2789</v>
      </c>
      <c r="AX211">
        <v>-72</v>
      </c>
      <c r="AY211">
        <v>65</v>
      </c>
      <c r="AZ211">
        <v>0.62</v>
      </c>
      <c r="BA211">
        <v>1407</v>
      </c>
      <c r="BB211">
        <v>-26</v>
      </c>
      <c r="BG211">
        <v>1.2</v>
      </c>
      <c r="BH211" s="5">
        <v>5600000000</v>
      </c>
      <c r="BN211">
        <v>162707</v>
      </c>
      <c r="BP211" t="s">
        <v>82</v>
      </c>
      <c r="BQ211" t="s">
        <v>241</v>
      </c>
      <c r="BR211">
        <v>130</v>
      </c>
      <c r="BS211">
        <v>12</v>
      </c>
      <c r="BT211" s="5" t="s">
        <v>84</v>
      </c>
      <c r="BU211" t="s">
        <v>259</v>
      </c>
      <c r="BV211" t="s">
        <v>243</v>
      </c>
      <c r="BW211" t="s">
        <v>668</v>
      </c>
    </row>
    <row r="212" spans="1:75" x14ac:dyDescent="0.75">
      <c r="A212" s="1"/>
      <c r="B212" t="s">
        <v>238</v>
      </c>
      <c r="C212" s="1" t="s">
        <v>251</v>
      </c>
      <c r="D212" t="s">
        <v>252</v>
      </c>
      <c r="E212" t="s">
        <v>252</v>
      </c>
      <c r="F212" s="1">
        <v>100</v>
      </c>
      <c r="G212" s="1">
        <v>1</v>
      </c>
      <c r="H212" s="1" t="s">
        <v>90</v>
      </c>
      <c r="I212" s="1"/>
      <c r="J212" s="2">
        <f>1/4.1</f>
        <v>0.24390243902439027</v>
      </c>
      <c r="K212" s="1"/>
      <c r="L212" s="1">
        <v>41.8138337012509</v>
      </c>
      <c r="M212" s="1">
        <v>-88</v>
      </c>
      <c r="N212" s="1"/>
      <c r="O212" s="1"/>
      <c r="P212" s="1"/>
      <c r="Q212" s="1"/>
      <c r="R212" s="1" t="s">
        <v>79</v>
      </c>
      <c r="S212" s="1"/>
      <c r="T212" s="1"/>
      <c r="U212" s="1"/>
      <c r="V212" s="1"/>
      <c r="W212" s="3"/>
      <c r="X212" s="3"/>
      <c r="Y212" s="3"/>
      <c r="Z212" s="1"/>
      <c r="AA212" s="1"/>
      <c r="AB212" s="1"/>
      <c r="AC212" s="3"/>
      <c r="AD212" s="1"/>
      <c r="AE212" s="3"/>
      <c r="AF212" s="1"/>
      <c r="AG212" s="1"/>
      <c r="AH212" s="1"/>
      <c r="AI212" s="1"/>
      <c r="AJ212" s="1"/>
      <c r="AK212" s="3">
        <v>6.6222092527023802E-9</v>
      </c>
      <c r="AL212" s="3">
        <v>2.4360937324778302E-8</v>
      </c>
      <c r="AM212" s="3">
        <v>8.0756576716664806E-8</v>
      </c>
      <c r="AN212" s="1"/>
      <c r="AO212" s="1"/>
      <c r="AP212" s="1"/>
      <c r="AQ212" s="1"/>
      <c r="AR212" s="1"/>
      <c r="AS212" s="1"/>
      <c r="AT212" s="1"/>
      <c r="AU212" s="1"/>
      <c r="AV212" s="3">
        <v>8600000</v>
      </c>
      <c r="AW212" s="1">
        <v>7390</v>
      </c>
      <c r="AX212" s="1">
        <v>-142</v>
      </c>
      <c r="AY212" s="1">
        <v>88</v>
      </c>
      <c r="AZ212" s="1">
        <v>0.51</v>
      </c>
      <c r="BA212" s="1">
        <v>1493</v>
      </c>
      <c r="BB212" s="1">
        <v>-8</v>
      </c>
      <c r="BC212" s="1"/>
      <c r="BD212" s="1"/>
      <c r="BE212" s="1"/>
      <c r="BF212" s="1"/>
      <c r="BG212" s="1">
        <v>1.5</v>
      </c>
      <c r="BH212" s="3">
        <v>3000000000000</v>
      </c>
      <c r="BI212" s="1"/>
      <c r="BJ212" s="1"/>
      <c r="BK212" s="1"/>
      <c r="BL212" s="1"/>
      <c r="BM212" s="1"/>
      <c r="BN212">
        <v>162707</v>
      </c>
      <c r="BO212" s="1"/>
      <c r="BP212" s="1" t="s">
        <v>82</v>
      </c>
      <c r="BQ212" s="1" t="s">
        <v>241</v>
      </c>
      <c r="BR212" s="1">
        <v>130</v>
      </c>
      <c r="BS212" s="1">
        <v>12</v>
      </c>
      <c r="BT212" s="3" t="s">
        <v>84</v>
      </c>
      <c r="BU212" t="s">
        <v>260</v>
      </c>
      <c r="BV212" t="s">
        <v>243</v>
      </c>
      <c r="BW212" t="s">
        <v>668</v>
      </c>
    </row>
    <row r="213" spans="1:75" x14ac:dyDescent="0.75">
      <c r="B213" t="s">
        <v>238</v>
      </c>
      <c r="C213" t="s">
        <v>239</v>
      </c>
      <c r="D213" t="s">
        <v>252</v>
      </c>
      <c r="E213" t="s">
        <v>252</v>
      </c>
      <c r="F213">
        <v>100</v>
      </c>
      <c r="G213">
        <v>1</v>
      </c>
      <c r="H213" t="s">
        <v>91</v>
      </c>
      <c r="J213" s="4">
        <f>1/25</f>
        <v>0.04</v>
      </c>
      <c r="L213">
        <v>-36</v>
      </c>
      <c r="M213">
        <v>-47</v>
      </c>
      <c r="R213" t="s">
        <v>79</v>
      </c>
      <c r="U213" s="5">
        <v>5.9817371585877504E-7</v>
      </c>
      <c r="W213" s="5">
        <v>9.3126973894690205E-7</v>
      </c>
      <c r="X213" s="5"/>
      <c r="Y213" s="5">
        <v>1.4250788906084E-6</v>
      </c>
      <c r="Z213" s="5">
        <v>2.1455729098180599E-6</v>
      </c>
      <c r="AA213" s="5">
        <v>3.1811392288552902E-6</v>
      </c>
      <c r="AB213" s="5">
        <v>4.6486027829935103E-6</v>
      </c>
      <c r="AC213" s="3">
        <v>6.7004152110856203E-6</v>
      </c>
      <c r="AD213" s="5">
        <v>9.5331361595675195E-6</v>
      </c>
      <c r="AE213" s="5">
        <v>1.3397326860801501E-5</v>
      </c>
      <c r="AF213" s="5">
        <v>1.8608968687146198E-5</v>
      </c>
      <c r="AG213" s="5">
        <v>2.5562509040766499E-5</v>
      </c>
      <c r="AH213" s="5">
        <v>3.4745623870743599E-5</v>
      </c>
      <c r="AI213" s="5">
        <v>4.6755770538871602E-5</v>
      </c>
      <c r="AJ213" s="5">
        <v>6.2318586978747301E-5</v>
      </c>
      <c r="AK213" s="5">
        <v>8.2308173461399594E-5</v>
      </c>
      <c r="AL213">
        <v>1.3994133781567101E-4</v>
      </c>
      <c r="AV213">
        <v>97332</v>
      </c>
      <c r="AW213">
        <v>5735</v>
      </c>
      <c r="AX213">
        <v>-230</v>
      </c>
      <c r="AY213">
        <v>22</v>
      </c>
      <c r="AZ213">
        <v>3.7</v>
      </c>
      <c r="BA213">
        <v>1381</v>
      </c>
      <c r="BB213">
        <v>-86</v>
      </c>
      <c r="BG213">
        <v>0.64</v>
      </c>
      <c r="BH213" s="5">
        <v>67000</v>
      </c>
      <c r="BO213">
        <v>50</v>
      </c>
      <c r="BP213" t="s">
        <v>173</v>
      </c>
      <c r="BQ213" t="s">
        <v>241</v>
      </c>
      <c r="BR213">
        <v>60</v>
      </c>
      <c r="BS213">
        <v>72</v>
      </c>
      <c r="BT213" s="5" t="s">
        <v>84</v>
      </c>
      <c r="BU213" t="s">
        <v>261</v>
      </c>
      <c r="BV213" t="s">
        <v>262</v>
      </c>
      <c r="BW213" t="s">
        <v>669</v>
      </c>
    </row>
    <row r="214" spans="1:75" x14ac:dyDescent="0.75">
      <c r="B214" t="s">
        <v>238</v>
      </c>
      <c r="C214" t="s">
        <v>239</v>
      </c>
      <c r="D214" t="s">
        <v>252</v>
      </c>
      <c r="E214" t="s">
        <v>252</v>
      </c>
      <c r="F214">
        <v>100</v>
      </c>
      <c r="G214">
        <v>1</v>
      </c>
      <c r="H214" t="s">
        <v>91</v>
      </c>
      <c r="J214" s="4">
        <f>1/20</f>
        <v>0.05</v>
      </c>
      <c r="L214">
        <v>-31</v>
      </c>
      <c r="M214">
        <v>-47</v>
      </c>
      <c r="R214" t="s">
        <v>79</v>
      </c>
      <c r="U214" s="5">
        <v>8.2610889590267803E-7</v>
      </c>
      <c r="W214" s="5">
        <v>1.4935475121973701E-6</v>
      </c>
      <c r="X214" s="5"/>
      <c r="Y214" s="5">
        <v>2.5818865537258802E-6</v>
      </c>
      <c r="Z214" s="5">
        <v>4.2884729116691596E-6</v>
      </c>
      <c r="AA214" s="5">
        <v>6.8727797926630202E-6</v>
      </c>
      <c r="AB214" s="5">
        <v>1.0665926335309E-5</v>
      </c>
      <c r="AC214" s="5">
        <v>1.60793473998659E-5</v>
      </c>
      <c r="AD214" s="5">
        <v>2.3612212502863E-5</v>
      </c>
      <c r="AE214" s="5">
        <v>3.3857269587157202E-5</v>
      </c>
      <c r="AF214" s="5">
        <v>4.7504879714058799E-5</v>
      </c>
      <c r="AG214" s="5">
        <v>6.5345103688653602E-5</v>
      </c>
      <c r="AH214" s="5">
        <v>8.8267793484712506E-5</v>
      </c>
      <c r="AI214">
        <v>1.17260724444015E-4</v>
      </c>
      <c r="AJ214">
        <v>1.53405874862144E-4</v>
      </c>
      <c r="AK214">
        <v>1.97874015778992E-4</v>
      </c>
      <c r="AV214">
        <v>72</v>
      </c>
      <c r="AW214">
        <v>1909</v>
      </c>
      <c r="AX214">
        <v>-104</v>
      </c>
      <c r="AY214">
        <v>18</v>
      </c>
      <c r="AZ214">
        <v>10.6</v>
      </c>
      <c r="BA214">
        <v>1370</v>
      </c>
      <c r="BB214">
        <v>-81</v>
      </c>
      <c r="BG214">
        <v>0.73</v>
      </c>
      <c r="BH214" s="5">
        <v>3200000</v>
      </c>
      <c r="BO214">
        <v>50</v>
      </c>
      <c r="BP214" t="s">
        <v>173</v>
      </c>
      <c r="BQ214" t="s">
        <v>241</v>
      </c>
      <c r="BR214">
        <v>60</v>
      </c>
      <c r="BS214">
        <v>72</v>
      </c>
      <c r="BT214" s="5" t="s">
        <v>84</v>
      </c>
      <c r="BU214" t="s">
        <v>261</v>
      </c>
      <c r="BV214" t="s">
        <v>262</v>
      </c>
      <c r="BW214" t="s">
        <v>669</v>
      </c>
    </row>
    <row r="215" spans="1:75" x14ac:dyDescent="0.75">
      <c r="B215" t="s">
        <v>238</v>
      </c>
      <c r="C215" t="s">
        <v>239</v>
      </c>
      <c r="D215" t="s">
        <v>252</v>
      </c>
      <c r="E215" t="s">
        <v>252</v>
      </c>
      <c r="F215">
        <v>100</v>
      </c>
      <c r="G215">
        <v>1</v>
      </c>
      <c r="H215" t="s">
        <v>91</v>
      </c>
      <c r="J215" s="4">
        <f>1/18</f>
        <v>5.5555555555555552E-2</v>
      </c>
      <c r="L215" s="15">
        <v>-30</v>
      </c>
      <c r="M215">
        <v>-47</v>
      </c>
      <c r="R215" t="s">
        <v>79</v>
      </c>
      <c r="S215" s="5">
        <v>7.4039078085443294E-8</v>
      </c>
      <c r="T215" s="5">
        <v>5.1840474623770301E-7</v>
      </c>
      <c r="U215" s="5">
        <v>9.0959818675828499E-7</v>
      </c>
      <c r="W215" s="5">
        <v>1.5390684842011699E-6</v>
      </c>
      <c r="X215" s="5"/>
      <c r="Y215" s="5">
        <v>2.51977754728735E-6</v>
      </c>
      <c r="Z215" s="5">
        <v>4.0036312287466497E-6</v>
      </c>
      <c r="AA215" s="5">
        <v>6.1897703133652201E-6</v>
      </c>
      <c r="AB215" s="5">
        <v>9.33329977237826E-6</v>
      </c>
      <c r="AC215" s="5">
        <v>1.37542266297214E-5</v>
      </c>
      <c r="AD215" s="5">
        <v>1.9846360857826099E-5</v>
      </c>
      <c r="AE215" s="5">
        <v>2.8085930712817799E-5</v>
      </c>
      <c r="AF215" s="5">
        <v>3.9039672831689903E-5</v>
      </c>
      <c r="AG215" s="5">
        <v>5.3372176546549098E-5</v>
      </c>
      <c r="AH215" s="5">
        <v>7.1852289096123196E-5</v>
      </c>
      <c r="AI215" s="5">
        <v>9.5358421427081604E-5</v>
      </c>
      <c r="AJ215">
        <v>1.2488263079793999E-4</v>
      </c>
      <c r="AK215">
        <v>1.6153339432505099E-4</v>
      </c>
      <c r="AL215">
        <v>2.6123771828038801E-4</v>
      </c>
      <c r="AV215">
        <v>288</v>
      </c>
      <c r="AW215">
        <v>2536</v>
      </c>
      <c r="AX215">
        <v>-132</v>
      </c>
      <c r="AY215">
        <v>0</v>
      </c>
      <c r="AZ215">
        <v>3.3</v>
      </c>
      <c r="BA215">
        <v>1205</v>
      </c>
      <c r="BB215">
        <v>-80</v>
      </c>
      <c r="BG215">
        <v>0.71</v>
      </c>
      <c r="BH215" s="5">
        <v>1400000</v>
      </c>
      <c r="BO215">
        <v>50</v>
      </c>
      <c r="BP215" t="s">
        <v>173</v>
      </c>
      <c r="BQ215" t="s">
        <v>241</v>
      </c>
      <c r="BR215">
        <v>60</v>
      </c>
      <c r="BS215">
        <v>72</v>
      </c>
      <c r="BT215" s="5" t="s">
        <v>84</v>
      </c>
      <c r="BU215" t="s">
        <v>261</v>
      </c>
      <c r="BV215" t="s">
        <v>262</v>
      </c>
      <c r="BW215" t="s">
        <v>669</v>
      </c>
    </row>
    <row r="216" spans="1:75" x14ac:dyDescent="0.75">
      <c r="B216" t="s">
        <v>238</v>
      </c>
      <c r="C216" t="s">
        <v>239</v>
      </c>
      <c r="D216" t="s">
        <v>252</v>
      </c>
      <c r="E216" t="s">
        <v>252</v>
      </c>
      <c r="F216">
        <v>100</v>
      </c>
      <c r="G216">
        <v>1</v>
      </c>
      <c r="H216" t="s">
        <v>91</v>
      </c>
      <c r="J216" s="4">
        <f>1/16</f>
        <v>6.25E-2</v>
      </c>
      <c r="L216">
        <v>-27</v>
      </c>
      <c r="M216">
        <v>-47</v>
      </c>
      <c r="R216" t="s">
        <v>79</v>
      </c>
      <c r="W216" s="5"/>
      <c r="X216" s="5"/>
      <c r="Y216" s="5"/>
      <c r="AC216" s="5"/>
      <c r="AE216" s="5"/>
      <c r="BO216">
        <v>50</v>
      </c>
      <c r="BP216" t="s">
        <v>173</v>
      </c>
      <c r="BQ216" t="s">
        <v>241</v>
      </c>
      <c r="BR216">
        <v>60</v>
      </c>
      <c r="BS216">
        <v>72</v>
      </c>
      <c r="BT216" s="5" t="s">
        <v>84</v>
      </c>
      <c r="BU216" t="s">
        <v>261</v>
      </c>
      <c r="BV216" t="s">
        <v>262</v>
      </c>
      <c r="BW216" t="s">
        <v>669</v>
      </c>
    </row>
    <row r="217" spans="1:75" x14ac:dyDescent="0.75">
      <c r="B217" t="s">
        <v>238</v>
      </c>
      <c r="C217" t="s">
        <v>239</v>
      </c>
      <c r="D217" t="s">
        <v>252</v>
      </c>
      <c r="E217" t="s">
        <v>252</v>
      </c>
      <c r="F217">
        <v>100</v>
      </c>
      <c r="G217">
        <v>1</v>
      </c>
      <c r="H217" t="s">
        <v>91</v>
      </c>
      <c r="J217" s="4">
        <f>1/14</f>
        <v>7.1428571428571425E-2</v>
      </c>
      <c r="L217" s="15">
        <v>-24</v>
      </c>
      <c r="M217">
        <v>-47</v>
      </c>
      <c r="R217" t="s">
        <v>79</v>
      </c>
      <c r="T217" s="5">
        <v>5.8144853338395299E-8</v>
      </c>
      <c r="U217" s="5">
        <v>1.2037781721809599E-7</v>
      </c>
      <c r="W217" s="5">
        <v>2.35628061725323E-7</v>
      </c>
      <c r="X217" s="5"/>
      <c r="Y217" s="5">
        <v>4.3877794692942901E-7</v>
      </c>
      <c r="Z217" s="5">
        <v>7.8146502311916104E-7</v>
      </c>
      <c r="AA217" s="5">
        <v>1.3372553257579199E-6</v>
      </c>
      <c r="AB217" s="5">
        <v>2.2074354658325898E-6</v>
      </c>
      <c r="AC217" s="5">
        <v>3.52726085283964E-6</v>
      </c>
      <c r="AD217" s="5">
        <v>5.4724604340775899E-6</v>
      </c>
      <c r="AE217" s="5">
        <v>8.2657758763083503E-6</v>
      </c>
      <c r="AF217" s="5">
        <v>1.21833057892688E-5</v>
      </c>
      <c r="AG217" s="5">
        <v>1.75604324764404E-5</v>
      </c>
      <c r="AH217" s="5">
        <v>2.47971277458638E-5</v>
      </c>
      <c r="AI217" s="5">
        <v>3.4362462790777103E-5</v>
      </c>
      <c r="AJ217" s="5">
        <v>4.6798182055405698E-5</v>
      </c>
      <c r="AK217" s="5">
        <v>6.2721239396373599E-5</v>
      </c>
      <c r="AL217">
        <v>1.0788072215887901E-4</v>
      </c>
      <c r="AV217">
        <v>112</v>
      </c>
      <c r="AW217">
        <v>2244</v>
      </c>
      <c r="AX217">
        <v>-106</v>
      </c>
      <c r="AY217">
        <v>15</v>
      </c>
      <c r="AZ217">
        <v>5.7</v>
      </c>
      <c r="BA217">
        <v>1398</v>
      </c>
      <c r="BB217">
        <v>-74</v>
      </c>
      <c r="BG217">
        <v>0.81</v>
      </c>
      <c r="BH217" s="5">
        <v>13000000</v>
      </c>
      <c r="BO217">
        <v>50</v>
      </c>
      <c r="BP217" t="s">
        <v>173</v>
      </c>
      <c r="BQ217" t="s">
        <v>241</v>
      </c>
      <c r="BR217">
        <v>60</v>
      </c>
      <c r="BS217">
        <v>72</v>
      </c>
      <c r="BT217" s="5" t="s">
        <v>84</v>
      </c>
      <c r="BU217" t="s">
        <v>261</v>
      </c>
      <c r="BV217" t="s">
        <v>262</v>
      </c>
      <c r="BW217" t="s">
        <v>669</v>
      </c>
    </row>
    <row r="218" spans="1:75" x14ac:dyDescent="0.75">
      <c r="B218" t="s">
        <v>238</v>
      </c>
      <c r="C218" t="s">
        <v>239</v>
      </c>
      <c r="D218" t="s">
        <v>252</v>
      </c>
      <c r="E218" t="s">
        <v>252</v>
      </c>
      <c r="F218">
        <v>100</v>
      </c>
      <c r="G218">
        <v>1</v>
      </c>
      <c r="H218" t="s">
        <v>91</v>
      </c>
      <c r="J218" s="4">
        <f>1/8</f>
        <v>0.125</v>
      </c>
      <c r="L218">
        <v>-5</v>
      </c>
      <c r="M218">
        <v>-47</v>
      </c>
      <c r="R218" t="s">
        <v>79</v>
      </c>
      <c r="W218" s="5"/>
      <c r="X218" s="5"/>
      <c r="Y218" s="5"/>
      <c r="AA218" s="5">
        <v>1.03136199397378E-7</v>
      </c>
      <c r="AB218" s="5">
        <v>1.83738524104918E-7</v>
      </c>
      <c r="AC218" s="5">
        <v>3.2149613342625399E-7</v>
      </c>
      <c r="AD218" s="5">
        <v>5.5296250561015E-7</v>
      </c>
      <c r="AE218" s="5">
        <v>9.35613477868979E-7</v>
      </c>
      <c r="AF218" s="5">
        <v>1.55845634581821E-6</v>
      </c>
      <c r="AG218" s="5">
        <v>2.5573387769054199E-6</v>
      </c>
      <c r="AH218" s="5">
        <v>4.1367402852479901E-6</v>
      </c>
      <c r="AI218" s="5">
        <v>6.6003901629814402E-6</v>
      </c>
      <c r="AJ218" s="5">
        <v>1.0393755527397599E-5</v>
      </c>
      <c r="AK218" s="5">
        <v>1.61623052062188E-5</v>
      </c>
      <c r="AL218" s="5">
        <v>3.7707762493206402E-5</v>
      </c>
      <c r="AV218" s="5">
        <v>27000000000</v>
      </c>
      <c r="AW218">
        <v>11664</v>
      </c>
      <c r="AX218">
        <v>-273.14999999999998</v>
      </c>
      <c r="AY218">
        <v>40</v>
      </c>
      <c r="AZ218">
        <v>7.1</v>
      </c>
      <c r="BA218">
        <v>1465</v>
      </c>
      <c r="BB218">
        <v>-55</v>
      </c>
      <c r="BG218">
        <v>0.99</v>
      </c>
      <c r="BH218" s="5">
        <v>900000000</v>
      </c>
      <c r="BO218">
        <v>50</v>
      </c>
      <c r="BP218" t="s">
        <v>173</v>
      </c>
      <c r="BQ218" t="s">
        <v>241</v>
      </c>
      <c r="BR218">
        <v>60</v>
      </c>
      <c r="BS218">
        <v>72</v>
      </c>
      <c r="BT218" s="5" t="s">
        <v>84</v>
      </c>
      <c r="BU218" t="s">
        <v>261</v>
      </c>
      <c r="BV218" t="s">
        <v>262</v>
      </c>
      <c r="BW218" t="s">
        <v>669</v>
      </c>
    </row>
    <row r="219" spans="1:75" x14ac:dyDescent="0.75">
      <c r="A219" s="1"/>
      <c r="B219" s="1" t="s">
        <v>238</v>
      </c>
      <c r="C219" s="1" t="s">
        <v>239</v>
      </c>
      <c r="D219" s="1" t="s">
        <v>252</v>
      </c>
      <c r="E219" s="1" t="s">
        <v>252</v>
      </c>
      <c r="F219" s="1">
        <v>100</v>
      </c>
      <c r="G219" s="1">
        <v>1</v>
      </c>
      <c r="H219" s="1" t="s">
        <v>91</v>
      </c>
      <c r="I219" s="1"/>
      <c r="J219" s="2">
        <f>1/4</f>
        <v>0.25</v>
      </c>
      <c r="K219" s="1"/>
      <c r="L219" s="1"/>
      <c r="M219" s="1">
        <v>-47</v>
      </c>
      <c r="N219" s="1">
        <v>49</v>
      </c>
      <c r="O219" s="1"/>
      <c r="P219" s="1"/>
      <c r="Q219" s="1"/>
      <c r="R219" s="1" t="s">
        <v>84</v>
      </c>
      <c r="S219" s="1"/>
      <c r="T219" s="1"/>
      <c r="U219" s="1"/>
      <c r="V219" s="1"/>
      <c r="W219" s="3"/>
      <c r="X219" s="3"/>
      <c r="Y219" s="3"/>
      <c r="Z219" s="1"/>
      <c r="AA219" s="1"/>
      <c r="AB219" s="1"/>
      <c r="AC219" s="3"/>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v>50</v>
      </c>
      <c r="BP219" s="1" t="s">
        <v>173</v>
      </c>
      <c r="BQ219" s="1" t="s">
        <v>241</v>
      </c>
      <c r="BR219" s="1">
        <v>60</v>
      </c>
      <c r="BS219" s="1">
        <v>72</v>
      </c>
      <c r="BT219" s="3" t="s">
        <v>84</v>
      </c>
      <c r="BU219" s="1" t="s">
        <v>261</v>
      </c>
      <c r="BV219" s="1" t="s">
        <v>262</v>
      </c>
      <c r="BW219" t="s">
        <v>669</v>
      </c>
    </row>
    <row r="220" spans="1:75" x14ac:dyDescent="0.75">
      <c r="B220" t="s">
        <v>238</v>
      </c>
      <c r="C220" t="s">
        <v>239</v>
      </c>
      <c r="D220" t="s">
        <v>252</v>
      </c>
      <c r="E220" t="s">
        <v>252</v>
      </c>
      <c r="F220">
        <v>100</v>
      </c>
      <c r="G220">
        <v>1</v>
      </c>
      <c r="H220" t="s">
        <v>78</v>
      </c>
      <c r="J220" s="4">
        <f>1/400</f>
        <v>2.5000000000000001E-3</v>
      </c>
      <c r="L220">
        <v>-61.5</v>
      </c>
      <c r="R220" t="s">
        <v>79</v>
      </c>
      <c r="U220" s="5">
        <v>1.04495910968513E-6</v>
      </c>
      <c r="W220" s="5">
        <v>1.4771307826668401E-6</v>
      </c>
      <c r="X220" s="5"/>
      <c r="Y220" s="5">
        <v>2.0500064774923899E-6</v>
      </c>
      <c r="Z220" s="5">
        <v>2.7971803004294099E-6</v>
      </c>
      <c r="AA220" s="5">
        <v>3.7572149628140398E-6</v>
      </c>
      <c r="AB220" s="5">
        <v>4.9738178100071699E-6</v>
      </c>
      <c r="AC220" s="5">
        <v>6.4959497803017204E-6</v>
      </c>
      <c r="AD220" s="5">
        <v>8.3778653922493306E-6</v>
      </c>
      <c r="AE220" s="5">
        <v>1.06790838210152E-5</v>
      </c>
      <c r="AF220" s="5">
        <v>1.3464292881726901E-5</v>
      </c>
      <c r="AG220" s="5">
        <v>1.6803189248444401E-5</v>
      </c>
      <c r="AU220">
        <v>4155.1365275078897</v>
      </c>
      <c r="AV220">
        <v>9.9</v>
      </c>
      <c r="AW220">
        <v>2399</v>
      </c>
      <c r="AX220">
        <v>-161</v>
      </c>
      <c r="AY220">
        <v>20</v>
      </c>
      <c r="AZ220">
        <v>0.55000000000000004</v>
      </c>
      <c r="BA220">
        <v>1363</v>
      </c>
      <c r="BB220">
        <v>-111.5</v>
      </c>
      <c r="BG220">
        <v>0.48</v>
      </c>
      <c r="BH220">
        <v>203</v>
      </c>
      <c r="BO220">
        <v>10</v>
      </c>
      <c r="BP220" t="s">
        <v>173</v>
      </c>
      <c r="BQ220" t="s">
        <v>241</v>
      </c>
      <c r="BR220">
        <v>65</v>
      </c>
      <c r="BS220">
        <v>48</v>
      </c>
      <c r="BT220" s="5" t="s">
        <v>84</v>
      </c>
      <c r="BU220" t="s">
        <v>263</v>
      </c>
      <c r="BV220" t="s">
        <v>264</v>
      </c>
      <c r="BW220" t="s">
        <v>670</v>
      </c>
    </row>
    <row r="221" spans="1:75" x14ac:dyDescent="0.75">
      <c r="B221" t="s">
        <v>238</v>
      </c>
      <c r="C221" t="s">
        <v>239</v>
      </c>
      <c r="D221" t="s">
        <v>252</v>
      </c>
      <c r="E221" t="s">
        <v>252</v>
      </c>
      <c r="F221">
        <v>100</v>
      </c>
      <c r="G221">
        <v>1</v>
      </c>
      <c r="H221" t="s">
        <v>78</v>
      </c>
      <c r="J221" s="4">
        <f>1/200</f>
        <v>5.0000000000000001E-3</v>
      </c>
      <c r="L221">
        <v>-61</v>
      </c>
      <c r="R221" t="s">
        <v>79</v>
      </c>
      <c r="U221" s="5">
        <v>1.0424896377320899E-6</v>
      </c>
      <c r="W221" s="5">
        <v>1.4840937368557E-6</v>
      </c>
      <c r="X221" s="5"/>
      <c r="Y221" s="5">
        <v>2.08800240689455E-6</v>
      </c>
      <c r="Z221" s="5">
        <v>2.9048983174534702E-6</v>
      </c>
      <c r="AA221" s="5">
        <v>3.9984838111591801E-6</v>
      </c>
      <c r="AB221" s="5">
        <v>5.44808223446129E-6</v>
      </c>
      <c r="AC221" s="5">
        <v>7.35159716562057E-6</v>
      </c>
      <c r="AD221" s="5">
        <v>9.8288508167407603E-6</v>
      </c>
      <c r="AE221" s="5">
        <v>1.30253203268391E-5</v>
      </c>
      <c r="AF221" s="5">
        <v>1.7116287666839399E-5</v>
      </c>
      <c r="AG221" s="5">
        <v>2.23114154922093E-5</v>
      </c>
      <c r="AU221">
        <v>4155.1365275078897</v>
      </c>
      <c r="AV221">
        <v>41422</v>
      </c>
      <c r="AW221">
        <v>6322</v>
      </c>
      <c r="AX221">
        <v>-273.14999999999998</v>
      </c>
      <c r="AY221">
        <v>20</v>
      </c>
      <c r="AZ221">
        <v>1.4</v>
      </c>
      <c r="BA221">
        <v>1484</v>
      </c>
      <c r="BB221">
        <v>-111</v>
      </c>
      <c r="BG221">
        <v>0.53</v>
      </c>
      <c r="BH221">
        <v>1411</v>
      </c>
      <c r="BO221">
        <v>10</v>
      </c>
      <c r="BP221" t="s">
        <v>173</v>
      </c>
      <c r="BQ221" t="s">
        <v>241</v>
      </c>
      <c r="BR221">
        <v>65</v>
      </c>
      <c r="BS221">
        <v>48</v>
      </c>
      <c r="BT221" s="5" t="s">
        <v>84</v>
      </c>
      <c r="BU221" t="s">
        <v>263</v>
      </c>
      <c r="BV221" t="s">
        <v>264</v>
      </c>
      <c r="BW221" t="s">
        <v>670</v>
      </c>
    </row>
    <row r="222" spans="1:75" x14ac:dyDescent="0.75">
      <c r="B222" t="s">
        <v>238</v>
      </c>
      <c r="C222" t="s">
        <v>239</v>
      </c>
      <c r="D222" t="s">
        <v>252</v>
      </c>
      <c r="E222" t="s">
        <v>252</v>
      </c>
      <c r="F222">
        <v>100</v>
      </c>
      <c r="G222">
        <v>1</v>
      </c>
      <c r="H222" t="s">
        <v>78</v>
      </c>
      <c r="J222" s="4">
        <f>1/100</f>
        <v>0.01</v>
      </c>
      <c r="L222">
        <v>-63</v>
      </c>
      <c r="R222" t="s">
        <v>79</v>
      </c>
      <c r="U222" s="5">
        <v>2.0889277270410802E-6</v>
      </c>
      <c r="W222" s="5">
        <v>3.0410593036352898E-6</v>
      </c>
      <c r="X222" s="5"/>
      <c r="Y222" s="5">
        <v>4.3720596208878698E-6</v>
      </c>
      <c r="Z222" s="5">
        <v>6.21116073502507E-6</v>
      </c>
      <c r="AA222" s="5">
        <v>8.7243635611870606E-6</v>
      </c>
      <c r="AB222" s="5">
        <v>1.2122778101933E-5</v>
      </c>
      <c r="AC222" s="5">
        <v>1.6672342911787299E-5</v>
      </c>
      <c r="AD222" s="5">
        <v>2.2705052029122899E-5</v>
      </c>
      <c r="AE222" s="5">
        <v>3.06318142132478E-5</v>
      </c>
      <c r="AF222" s="5">
        <v>4.0957063722514598E-5</v>
      </c>
      <c r="AG222" s="5">
        <v>5.4295234072922599E-5</v>
      </c>
      <c r="AU222">
        <v>3898.0378082581001</v>
      </c>
      <c r="AV222" s="5">
        <v>310000</v>
      </c>
      <c r="AW222">
        <v>6713</v>
      </c>
      <c r="AX222">
        <v>-273.14999999999998</v>
      </c>
      <c r="AY222">
        <v>20</v>
      </c>
      <c r="AZ222">
        <v>6.5</v>
      </c>
      <c r="BA222">
        <v>1621</v>
      </c>
      <c r="BB222">
        <v>-113</v>
      </c>
      <c r="BG222">
        <v>0.56000000000000005</v>
      </c>
      <c r="BH222">
        <v>10724</v>
      </c>
      <c r="BO222">
        <v>10</v>
      </c>
      <c r="BP222" t="s">
        <v>173</v>
      </c>
      <c r="BQ222" t="s">
        <v>241</v>
      </c>
      <c r="BR222">
        <v>65</v>
      </c>
      <c r="BS222">
        <v>48</v>
      </c>
      <c r="BT222" s="5" t="s">
        <v>84</v>
      </c>
      <c r="BU222" t="s">
        <v>263</v>
      </c>
      <c r="BV222" t="s">
        <v>264</v>
      </c>
      <c r="BW222" t="s">
        <v>670</v>
      </c>
    </row>
    <row r="223" spans="1:75" x14ac:dyDescent="0.75">
      <c r="B223" t="s">
        <v>238</v>
      </c>
      <c r="C223" t="s">
        <v>239</v>
      </c>
      <c r="D223" t="s">
        <v>252</v>
      </c>
      <c r="E223" t="s">
        <v>252</v>
      </c>
      <c r="F223">
        <v>100</v>
      </c>
      <c r="G223">
        <v>1</v>
      </c>
      <c r="H223" t="s">
        <v>78</v>
      </c>
      <c r="J223" s="4">
        <f>1/50</f>
        <v>0.02</v>
      </c>
      <c r="L223">
        <v>-61</v>
      </c>
      <c r="R223" t="s">
        <v>79</v>
      </c>
      <c r="U223" s="5">
        <v>2.30389117573471E-6</v>
      </c>
      <c r="W223" s="5">
        <v>3.4561382408960402E-6</v>
      </c>
      <c r="X223" s="5"/>
      <c r="Y223" s="5">
        <v>5.1150539347693104E-6</v>
      </c>
      <c r="Z223" s="5">
        <v>7.4735339416678303E-6</v>
      </c>
      <c r="AA223" s="5">
        <v>1.0786656722551301E-5</v>
      </c>
      <c r="AB223" s="5">
        <v>1.53880726607192E-5</v>
      </c>
      <c r="AC223" s="5">
        <v>2.1709709026761601E-5</v>
      </c>
      <c r="AD223" s="5">
        <v>3.0305235195216501E-5</v>
      </c>
      <c r="AE223" s="5">
        <v>4.1877751420854798E-5</v>
      </c>
      <c r="AF223" s="5">
        <v>5.7312178082147501E-5</v>
      </c>
      <c r="AG223" s="5">
        <v>7.7712829993183995E-5</v>
      </c>
      <c r="AU223">
        <v>5296.5667780366603</v>
      </c>
      <c r="AV223" s="5">
        <v>2100000</v>
      </c>
      <c r="AW223">
        <v>7237</v>
      </c>
      <c r="AX223">
        <v>-273.14999999999998</v>
      </c>
      <c r="AY223">
        <v>20</v>
      </c>
      <c r="AZ223">
        <v>16</v>
      </c>
      <c r="BA223">
        <v>1703</v>
      </c>
      <c r="BB223">
        <v>-111</v>
      </c>
      <c r="BG223">
        <v>0.61</v>
      </c>
      <c r="BH223" s="5">
        <v>71000</v>
      </c>
      <c r="BO223">
        <v>10</v>
      </c>
      <c r="BP223" t="s">
        <v>173</v>
      </c>
      <c r="BQ223" t="s">
        <v>241</v>
      </c>
      <c r="BR223">
        <v>65</v>
      </c>
      <c r="BS223">
        <v>48</v>
      </c>
      <c r="BT223" s="5" t="s">
        <v>84</v>
      </c>
      <c r="BU223" t="s">
        <v>263</v>
      </c>
      <c r="BV223" t="s">
        <v>264</v>
      </c>
      <c r="BW223" t="s">
        <v>670</v>
      </c>
    </row>
    <row r="224" spans="1:75" x14ac:dyDescent="0.75">
      <c r="B224" t="s">
        <v>238</v>
      </c>
      <c r="C224" t="s">
        <v>239</v>
      </c>
      <c r="D224" t="s">
        <v>252</v>
      </c>
      <c r="E224" t="s">
        <v>252</v>
      </c>
      <c r="F224">
        <v>100</v>
      </c>
      <c r="G224">
        <v>1</v>
      </c>
      <c r="H224" t="s">
        <v>78</v>
      </c>
      <c r="J224" s="4">
        <f>1/20</f>
        <v>0.05</v>
      </c>
      <c r="L224">
        <v>-52</v>
      </c>
      <c r="R224" t="s">
        <v>79</v>
      </c>
      <c r="U224" s="5">
        <v>2.2640884705566099E-6</v>
      </c>
      <c r="W224" s="5">
        <v>3.3911058798701301E-6</v>
      </c>
      <c r="X224" s="5"/>
      <c r="Y224" s="5">
        <v>5.0112001030716696E-6</v>
      </c>
      <c r="Z224" s="5">
        <v>7.3110574794945002E-6</v>
      </c>
      <c r="AA224" s="5">
        <v>1.0537171705592299E-5</v>
      </c>
      <c r="AB224" s="5">
        <v>1.5011491082397401E-5</v>
      </c>
      <c r="AC224" s="5">
        <v>2.11502012827808E-5</v>
      </c>
      <c r="AD224" s="5">
        <v>2.9486057382860001E-5</v>
      </c>
      <c r="AE224" s="5">
        <v>4.0694695243785997E-5</v>
      </c>
      <c r="AF224" s="5">
        <v>5.56253636277794E-5</v>
      </c>
      <c r="AG224" s="5">
        <v>7.5336524123785102E-5</v>
      </c>
      <c r="AU224">
        <v>13806.487935990601</v>
      </c>
      <c r="AV224" s="5">
        <v>1900000</v>
      </c>
      <c r="AW224">
        <v>7210</v>
      </c>
      <c r="AX224">
        <v>-273.14999999999998</v>
      </c>
      <c r="AY224">
        <v>20</v>
      </c>
      <c r="AZ224">
        <v>7.9</v>
      </c>
      <c r="BA224">
        <v>1502</v>
      </c>
      <c r="BB224">
        <v>-102</v>
      </c>
      <c r="BG224">
        <v>0.61</v>
      </c>
      <c r="BH224" s="5">
        <v>63000</v>
      </c>
      <c r="BO224">
        <v>10</v>
      </c>
      <c r="BP224" t="s">
        <v>173</v>
      </c>
      <c r="BQ224" t="s">
        <v>241</v>
      </c>
      <c r="BR224">
        <v>65</v>
      </c>
      <c r="BS224">
        <v>48</v>
      </c>
      <c r="BT224" s="5" t="s">
        <v>84</v>
      </c>
      <c r="BU224" t="s">
        <v>263</v>
      </c>
      <c r="BV224" t="s">
        <v>264</v>
      </c>
      <c r="BW224" t="s">
        <v>670</v>
      </c>
    </row>
    <row r="225" spans="1:75" x14ac:dyDescent="0.75">
      <c r="A225" s="1"/>
      <c r="B225" s="1" t="s">
        <v>238</v>
      </c>
      <c r="C225" s="1" t="s">
        <v>239</v>
      </c>
      <c r="D225" s="1" t="s">
        <v>252</v>
      </c>
      <c r="E225" s="1" t="s">
        <v>252</v>
      </c>
      <c r="F225" s="1">
        <v>100</v>
      </c>
      <c r="G225" s="1">
        <v>1</v>
      </c>
      <c r="H225" s="1" t="s">
        <v>78</v>
      </c>
      <c r="I225" s="1"/>
      <c r="J225" s="2">
        <f>1/10</f>
        <v>0.1</v>
      </c>
      <c r="K225" s="1"/>
      <c r="L225" s="1">
        <v>-45</v>
      </c>
      <c r="M225" s="1"/>
      <c r="N225" s="1"/>
      <c r="O225" s="1"/>
      <c r="P225" s="1"/>
      <c r="Q225" s="1"/>
      <c r="R225" s="1" t="s">
        <v>79</v>
      </c>
      <c r="S225" s="1"/>
      <c r="T225" s="1"/>
      <c r="U225" s="3">
        <v>1.3216707627809101E-7</v>
      </c>
      <c r="V225" s="1"/>
      <c r="W225" s="3">
        <v>2.3916075543858198E-7</v>
      </c>
      <c r="X225" s="3"/>
      <c r="Y225" s="3">
        <v>4.2329718181589499E-7</v>
      </c>
      <c r="Z225" s="3">
        <v>7.3369417022315505E-7</v>
      </c>
      <c r="AA225" s="3">
        <v>1.2467713994706299E-6</v>
      </c>
      <c r="AB225" s="3">
        <v>2.0792860513340999E-6</v>
      </c>
      <c r="AC225" s="3">
        <v>3.4065875783787399E-6</v>
      </c>
      <c r="AD225" s="3">
        <v>5.4877762104118004E-6</v>
      </c>
      <c r="AE225" s="3">
        <v>8.6998563509591002E-6</v>
      </c>
      <c r="AF225" s="3">
        <v>1.3583442583137399E-5</v>
      </c>
      <c r="AG225" s="3">
        <v>2.0903102938191899E-5</v>
      </c>
      <c r="AH225" s="1"/>
      <c r="AI225" s="1"/>
      <c r="AJ225" s="1"/>
      <c r="AK225" s="1"/>
      <c r="AL225" s="1"/>
      <c r="AM225" s="1"/>
      <c r="AN225" s="1"/>
      <c r="AO225" s="1"/>
      <c r="AP225" s="1"/>
      <c r="AQ225" s="1"/>
      <c r="AR225" s="1"/>
      <c r="AS225" s="1"/>
      <c r="AT225" s="1"/>
      <c r="AU225" s="1">
        <v>29903.922282111798</v>
      </c>
      <c r="AV225" s="3">
        <v>160000000</v>
      </c>
      <c r="AW225" s="1">
        <v>8295</v>
      </c>
      <c r="AX225" s="1">
        <v>-240</v>
      </c>
      <c r="AY225" s="1">
        <v>20</v>
      </c>
      <c r="AZ225" s="1">
        <v>46</v>
      </c>
      <c r="BA225" s="1">
        <v>1949</v>
      </c>
      <c r="BB225" s="1">
        <v>-95</v>
      </c>
      <c r="BC225" s="1"/>
      <c r="BD225" s="1"/>
      <c r="BE225" s="1"/>
      <c r="BF225" s="1"/>
      <c r="BG225" s="1">
        <v>0.88</v>
      </c>
      <c r="BH225" s="3">
        <v>170000000</v>
      </c>
      <c r="BI225" s="1"/>
      <c r="BJ225" s="1"/>
      <c r="BK225" s="1"/>
      <c r="BL225" s="1"/>
      <c r="BM225" s="1"/>
      <c r="BN225" s="1"/>
      <c r="BO225" s="1">
        <v>10</v>
      </c>
      <c r="BP225" s="1" t="s">
        <v>173</v>
      </c>
      <c r="BQ225" s="1" t="s">
        <v>241</v>
      </c>
      <c r="BR225" s="1">
        <v>65</v>
      </c>
      <c r="BS225" s="1">
        <v>48</v>
      </c>
      <c r="BT225" s="3" t="s">
        <v>84</v>
      </c>
      <c r="BU225" s="1" t="s">
        <v>263</v>
      </c>
      <c r="BV225" s="1" t="s">
        <v>264</v>
      </c>
      <c r="BW225" t="s">
        <v>670</v>
      </c>
    </row>
    <row r="226" spans="1:75" x14ac:dyDescent="0.75">
      <c r="A226" t="s">
        <v>265</v>
      </c>
      <c r="B226" t="s">
        <v>625</v>
      </c>
      <c r="C226" t="s">
        <v>266</v>
      </c>
      <c r="D226" t="s">
        <v>267</v>
      </c>
      <c r="E226" t="s">
        <v>267</v>
      </c>
      <c r="F226">
        <v>100</v>
      </c>
      <c r="G226">
        <v>1</v>
      </c>
      <c r="H226" t="s">
        <v>78</v>
      </c>
      <c r="J226" s="4">
        <f>1/6.9</f>
        <v>0.14492753623188406</v>
      </c>
      <c r="K226">
        <v>10</v>
      </c>
      <c r="L226">
        <v>156</v>
      </c>
      <c r="M226">
        <v>143</v>
      </c>
      <c r="R226" t="s">
        <v>79</v>
      </c>
      <c r="W226" s="5"/>
      <c r="X226" s="5"/>
      <c r="Y226" s="5">
        <v>8.6077859999999996E-7</v>
      </c>
      <c r="AA226" s="5">
        <v>1.418796E-6</v>
      </c>
      <c r="AC226" s="5">
        <v>2.0441719999999999E-6</v>
      </c>
      <c r="AE226" s="5">
        <v>3.709216E-6</v>
      </c>
      <c r="AG226" s="5">
        <v>4.4952580000000001E-6</v>
      </c>
      <c r="AI226" s="5">
        <v>6.8611040000000004E-6</v>
      </c>
      <c r="AV226" s="5">
        <v>0.59</v>
      </c>
      <c r="AW226">
        <v>2087</v>
      </c>
      <c r="AX226">
        <v>-167</v>
      </c>
      <c r="AY226">
        <v>30</v>
      </c>
      <c r="BG226">
        <v>0.38</v>
      </c>
      <c r="BH226">
        <v>1.9</v>
      </c>
      <c r="BM226">
        <v>1.52</v>
      </c>
      <c r="BN226">
        <v>9.6</v>
      </c>
      <c r="BO226">
        <v>14.6</v>
      </c>
      <c r="BP226" t="s">
        <v>82</v>
      </c>
      <c r="BQ226" t="s">
        <v>125</v>
      </c>
      <c r="BR226">
        <v>25</v>
      </c>
      <c r="BS226">
        <v>72</v>
      </c>
      <c r="BT226" s="5" t="s">
        <v>84</v>
      </c>
      <c r="BU226" t="s">
        <v>268</v>
      </c>
      <c r="BV226" t="s">
        <v>269</v>
      </c>
      <c r="BW226" t="s">
        <v>671</v>
      </c>
    </row>
    <row r="227" spans="1:75" x14ac:dyDescent="0.75">
      <c r="A227" t="s">
        <v>265</v>
      </c>
      <c r="B227" t="s">
        <v>625</v>
      </c>
      <c r="C227" t="s">
        <v>266</v>
      </c>
      <c r="D227" t="s">
        <v>267</v>
      </c>
      <c r="E227" t="s">
        <v>267</v>
      </c>
      <c r="F227">
        <v>100</v>
      </c>
      <c r="G227">
        <v>1</v>
      </c>
      <c r="H227" t="s">
        <v>78</v>
      </c>
      <c r="J227" s="4">
        <f>1/3.1</f>
        <v>0.32258064516129031</v>
      </c>
      <c r="K227">
        <v>20</v>
      </c>
      <c r="L227">
        <v>167</v>
      </c>
      <c r="M227">
        <v>143</v>
      </c>
      <c r="R227" t="s">
        <v>79</v>
      </c>
      <c r="W227" s="5"/>
      <c r="X227" s="5"/>
      <c r="Y227">
        <v>1.0431912601818672E-6</v>
      </c>
      <c r="AA227">
        <v>1.4743967240682338E-6</v>
      </c>
      <c r="AC227">
        <v>2.8341360947938299E-6</v>
      </c>
      <c r="AE227">
        <v>3.5013893034705746E-6</v>
      </c>
      <c r="AG227">
        <v>5.5535960889898468E-6</v>
      </c>
      <c r="AI227">
        <v>8.9795676300573323E-6</v>
      </c>
      <c r="AV227" s="5">
        <v>102</v>
      </c>
      <c r="AW227">
        <v>4723</v>
      </c>
      <c r="AX227">
        <v>-273.14999999999998</v>
      </c>
      <c r="AY227">
        <v>30</v>
      </c>
      <c r="BG227">
        <v>0.39</v>
      </c>
      <c r="BH227">
        <v>3.4</v>
      </c>
      <c r="BM227">
        <v>1.52</v>
      </c>
      <c r="BN227">
        <v>9.6</v>
      </c>
      <c r="BO227">
        <v>14.6</v>
      </c>
      <c r="BP227" t="s">
        <v>82</v>
      </c>
      <c r="BQ227" t="s">
        <v>125</v>
      </c>
      <c r="BR227">
        <v>25</v>
      </c>
      <c r="BS227">
        <v>72</v>
      </c>
      <c r="BT227" s="5" t="s">
        <v>84</v>
      </c>
      <c r="BU227" t="s">
        <v>268</v>
      </c>
      <c r="BV227" t="s">
        <v>269</v>
      </c>
      <c r="BW227" t="s">
        <v>671</v>
      </c>
    </row>
    <row r="228" spans="1:75" x14ac:dyDescent="0.75">
      <c r="A228" t="s">
        <v>265</v>
      </c>
      <c r="B228" t="s">
        <v>625</v>
      </c>
      <c r="C228" t="s">
        <v>266</v>
      </c>
      <c r="D228" t="s">
        <v>267</v>
      </c>
      <c r="E228" t="s">
        <v>267</v>
      </c>
      <c r="F228">
        <v>100</v>
      </c>
      <c r="G228">
        <v>1</v>
      </c>
      <c r="H228" t="s">
        <v>78</v>
      </c>
      <c r="J228" s="4">
        <f>1/1.8</f>
        <v>0.55555555555555558</v>
      </c>
      <c r="K228">
        <v>30</v>
      </c>
      <c r="L228">
        <v>171</v>
      </c>
      <c r="M228">
        <v>143</v>
      </c>
      <c r="R228" t="s">
        <v>79</v>
      </c>
      <c r="W228" s="5"/>
      <c r="X228" s="5"/>
      <c r="Y228">
        <v>1.7868447124854193E-6</v>
      </c>
      <c r="AA228">
        <v>2.1655053720733444E-6</v>
      </c>
      <c r="AC228">
        <v>6.1137900039609302E-6</v>
      </c>
      <c r="AE228">
        <v>1.4518995175510123E-5</v>
      </c>
      <c r="AG228">
        <v>2.8450516180536225E-5</v>
      </c>
      <c r="AI228">
        <v>5.6831744196070943E-5</v>
      </c>
      <c r="AV228" s="5">
        <v>7900000</v>
      </c>
      <c r="AW228">
        <v>8045</v>
      </c>
      <c r="AX228">
        <v>-273.14999999999998</v>
      </c>
      <c r="AY228">
        <v>30</v>
      </c>
      <c r="BG228">
        <v>0.68</v>
      </c>
      <c r="BH228" s="5">
        <v>260000</v>
      </c>
      <c r="BM228">
        <v>1.52</v>
      </c>
      <c r="BN228">
        <v>9.6</v>
      </c>
      <c r="BO228">
        <v>14.6</v>
      </c>
      <c r="BP228" t="s">
        <v>82</v>
      </c>
      <c r="BQ228" t="s">
        <v>125</v>
      </c>
      <c r="BR228">
        <v>25</v>
      </c>
      <c r="BS228">
        <v>72</v>
      </c>
      <c r="BT228" s="5" t="s">
        <v>84</v>
      </c>
      <c r="BU228" t="s">
        <v>268</v>
      </c>
      <c r="BV228" t="s">
        <v>269</v>
      </c>
      <c r="BW228" t="s">
        <v>671</v>
      </c>
    </row>
    <row r="229" spans="1:75" x14ac:dyDescent="0.75">
      <c r="A229" t="s">
        <v>265</v>
      </c>
      <c r="B229" t="s">
        <v>625</v>
      </c>
      <c r="C229" t="s">
        <v>266</v>
      </c>
      <c r="D229" t="s">
        <v>267</v>
      </c>
      <c r="E229" t="s">
        <v>267</v>
      </c>
      <c r="F229">
        <v>100</v>
      </c>
      <c r="G229">
        <v>1</v>
      </c>
      <c r="H229" t="s">
        <v>78</v>
      </c>
      <c r="J229" s="4">
        <f>1/1.2</f>
        <v>0.83333333333333337</v>
      </c>
      <c r="K229">
        <v>40</v>
      </c>
      <c r="L229">
        <v>193</v>
      </c>
      <c r="M229">
        <v>143</v>
      </c>
      <c r="R229" t="s">
        <v>79</v>
      </c>
      <c r="W229" s="5"/>
      <c r="X229" s="5"/>
      <c r="Y229">
        <v>8.8766087571588855E-4</v>
      </c>
      <c r="AA229">
        <v>1.77315994906476E-3</v>
      </c>
      <c r="AC229">
        <v>2.554733341531661E-3</v>
      </c>
      <c r="AE229">
        <v>3.3435437608154359E-3</v>
      </c>
      <c r="AG229">
        <v>3.8992849630648551E-3</v>
      </c>
      <c r="AI229">
        <v>5.4061506892481787E-3</v>
      </c>
      <c r="AV229" s="5">
        <v>0.4</v>
      </c>
      <c r="AW229">
        <v>132</v>
      </c>
      <c r="AX229">
        <v>-11</v>
      </c>
      <c r="AY229">
        <v>30</v>
      </c>
      <c r="BG229">
        <v>0.31</v>
      </c>
      <c r="BH229">
        <v>153</v>
      </c>
      <c r="BM229">
        <v>1.52</v>
      </c>
      <c r="BN229">
        <v>9.6</v>
      </c>
      <c r="BO229">
        <v>14.6</v>
      </c>
      <c r="BP229" t="s">
        <v>82</v>
      </c>
      <c r="BQ229" t="s">
        <v>125</v>
      </c>
      <c r="BR229">
        <v>25</v>
      </c>
      <c r="BS229">
        <v>72</v>
      </c>
      <c r="BT229" s="5" t="s">
        <v>84</v>
      </c>
      <c r="BU229" t="s">
        <v>268</v>
      </c>
      <c r="BV229" t="s">
        <v>269</v>
      </c>
      <c r="BW229" t="s">
        <v>671</v>
      </c>
    </row>
    <row r="230" spans="1:75" x14ac:dyDescent="0.75">
      <c r="A230" t="s">
        <v>270</v>
      </c>
      <c r="B230" t="s">
        <v>625</v>
      </c>
      <c r="C230" t="s">
        <v>266</v>
      </c>
      <c r="D230" t="s">
        <v>267</v>
      </c>
      <c r="E230" t="s">
        <v>267</v>
      </c>
      <c r="F230">
        <v>100</v>
      </c>
      <c r="G230">
        <v>1</v>
      </c>
      <c r="H230" t="s">
        <v>78</v>
      </c>
      <c r="J230" s="4">
        <f>1/6.9</f>
        <v>0.14492753623188406</v>
      </c>
      <c r="K230">
        <v>10</v>
      </c>
      <c r="L230">
        <v>150</v>
      </c>
      <c r="M230">
        <v>112</v>
      </c>
      <c r="R230" t="s">
        <v>79</v>
      </c>
      <c r="X230" s="5"/>
      <c r="Y230">
        <v>2.5514065200312896E-8</v>
      </c>
      <c r="AA230">
        <v>3.9194067748472086E-8</v>
      </c>
      <c r="AC230">
        <v>5.7904439806026088E-8</v>
      </c>
      <c r="AE230">
        <v>9.2491472772174395E-8</v>
      </c>
      <c r="AG230">
        <v>1.2638482029343022E-7</v>
      </c>
      <c r="AI230">
        <v>4.7639380104013816E-7</v>
      </c>
      <c r="AV230" s="5">
        <v>72</v>
      </c>
      <c r="AW230">
        <v>5787</v>
      </c>
      <c r="AX230">
        <v>-273.14999999999998</v>
      </c>
      <c r="AY230">
        <v>30</v>
      </c>
      <c r="BG230">
        <v>0.48</v>
      </c>
      <c r="BH230">
        <v>2.4</v>
      </c>
      <c r="BM230">
        <v>2.0299999999999998</v>
      </c>
      <c r="BN230">
        <v>2.1</v>
      </c>
      <c r="BO230">
        <v>4.3</v>
      </c>
      <c r="BP230" t="s">
        <v>82</v>
      </c>
      <c r="BQ230" t="s">
        <v>125</v>
      </c>
      <c r="BR230">
        <v>25</v>
      </c>
      <c r="BS230">
        <v>72</v>
      </c>
      <c r="BT230" s="5" t="s">
        <v>84</v>
      </c>
      <c r="BU230" t="s">
        <v>268</v>
      </c>
      <c r="BV230" t="s">
        <v>269</v>
      </c>
      <c r="BW230" t="s">
        <v>671</v>
      </c>
    </row>
    <row r="231" spans="1:75" x14ac:dyDescent="0.75">
      <c r="A231" t="s">
        <v>270</v>
      </c>
      <c r="B231" t="s">
        <v>625</v>
      </c>
      <c r="C231" t="s">
        <v>266</v>
      </c>
      <c r="D231" t="s">
        <v>267</v>
      </c>
      <c r="E231" t="s">
        <v>267</v>
      </c>
      <c r="F231">
        <v>100</v>
      </c>
      <c r="G231">
        <v>1</v>
      </c>
      <c r="H231" t="s">
        <v>78</v>
      </c>
      <c r="J231" s="4">
        <f>1/3.1</f>
        <v>0.32258064516129031</v>
      </c>
      <c r="K231">
        <v>20</v>
      </c>
      <c r="L231">
        <v>155</v>
      </c>
      <c r="M231">
        <v>112</v>
      </c>
      <c r="R231" t="s">
        <v>79</v>
      </c>
      <c r="X231" s="5"/>
      <c r="Y231">
        <v>4.0753977373690149E-7</v>
      </c>
      <c r="AA231">
        <v>6.7687737841792407E-7</v>
      </c>
      <c r="AC231">
        <v>9.6172299446174457E-7</v>
      </c>
      <c r="AE231">
        <v>2.758544536480685E-6</v>
      </c>
      <c r="AG231">
        <v>5.790419122538908E-6</v>
      </c>
      <c r="AI231">
        <v>8.5546057634145439E-6</v>
      </c>
      <c r="AV231" s="5">
        <v>80440</v>
      </c>
      <c r="AW231">
        <v>7072</v>
      </c>
      <c r="AX231">
        <v>-273.14999999999998</v>
      </c>
      <c r="AY231">
        <v>30</v>
      </c>
      <c r="BG231">
        <v>0.59499999999999997</v>
      </c>
      <c r="BH231">
        <v>2700</v>
      </c>
      <c r="BM231">
        <v>2.0299999999999998</v>
      </c>
      <c r="BN231">
        <v>2.1</v>
      </c>
      <c r="BO231">
        <v>4.3</v>
      </c>
      <c r="BP231" t="s">
        <v>82</v>
      </c>
      <c r="BQ231" t="s">
        <v>125</v>
      </c>
      <c r="BR231">
        <v>25</v>
      </c>
      <c r="BS231">
        <v>72</v>
      </c>
      <c r="BT231" s="5" t="s">
        <v>84</v>
      </c>
      <c r="BU231" t="s">
        <v>268</v>
      </c>
      <c r="BV231" t="s">
        <v>269</v>
      </c>
      <c r="BW231" t="s">
        <v>671</v>
      </c>
    </row>
    <row r="232" spans="1:75" x14ac:dyDescent="0.75">
      <c r="A232" t="s">
        <v>270</v>
      </c>
      <c r="B232" t="s">
        <v>625</v>
      </c>
      <c r="C232" t="s">
        <v>266</v>
      </c>
      <c r="D232" t="s">
        <v>267</v>
      </c>
      <c r="E232" t="s">
        <v>267</v>
      </c>
      <c r="F232">
        <v>100</v>
      </c>
      <c r="G232">
        <v>1</v>
      </c>
      <c r="H232" t="s">
        <v>78</v>
      </c>
      <c r="J232" s="4">
        <f>1/1.8</f>
        <v>0.55555555555555558</v>
      </c>
      <c r="K232">
        <v>30</v>
      </c>
      <c r="L232">
        <v>207</v>
      </c>
      <c r="M232">
        <v>112</v>
      </c>
      <c r="R232" t="s">
        <v>79</v>
      </c>
      <c r="X232" s="5"/>
      <c r="Y232">
        <v>3.1012016045510487E-6</v>
      </c>
      <c r="AA232">
        <v>5.5687792177166528E-6</v>
      </c>
      <c r="AC232">
        <v>8.2271610712307442E-6</v>
      </c>
      <c r="AE232">
        <v>1.0811849705944678E-5</v>
      </c>
      <c r="AG232">
        <v>4.0753977373690167E-5</v>
      </c>
      <c r="AI232">
        <v>7.6095679597474293E-5</v>
      </c>
      <c r="AV232" s="5">
        <v>330000</v>
      </c>
      <c r="AW232">
        <v>6895</v>
      </c>
      <c r="AX232">
        <v>-273.14999999999998</v>
      </c>
      <c r="AY232">
        <v>30</v>
      </c>
      <c r="BG232">
        <v>0.57999999999999996</v>
      </c>
      <c r="BH232" s="5">
        <v>11000</v>
      </c>
      <c r="BM232">
        <v>2.0299999999999998</v>
      </c>
      <c r="BN232">
        <v>2.1</v>
      </c>
      <c r="BO232">
        <v>4.3</v>
      </c>
      <c r="BP232" t="s">
        <v>82</v>
      </c>
      <c r="BQ232" t="s">
        <v>125</v>
      </c>
      <c r="BR232">
        <v>25</v>
      </c>
      <c r="BS232">
        <v>72</v>
      </c>
      <c r="BT232" s="5" t="s">
        <v>84</v>
      </c>
      <c r="BU232" t="s">
        <v>268</v>
      </c>
      <c r="BV232" t="s">
        <v>269</v>
      </c>
      <c r="BW232" t="s">
        <v>671</v>
      </c>
    </row>
    <row r="233" spans="1:75" x14ac:dyDescent="0.75">
      <c r="A233" s="1" t="s">
        <v>270</v>
      </c>
      <c r="B233" t="s">
        <v>625</v>
      </c>
      <c r="C233" s="1" t="s">
        <v>266</v>
      </c>
      <c r="D233" s="1" t="s">
        <v>267</v>
      </c>
      <c r="E233" s="1" t="s">
        <v>267</v>
      </c>
      <c r="F233" s="1">
        <v>100</v>
      </c>
      <c r="G233" s="1">
        <v>1</v>
      </c>
      <c r="H233" s="1" t="s">
        <v>78</v>
      </c>
      <c r="I233" s="1"/>
      <c r="J233" s="2">
        <f>1/1.2</f>
        <v>0.83333333333333337</v>
      </c>
      <c r="K233" s="1">
        <v>40</v>
      </c>
      <c r="L233" s="1">
        <v>210</v>
      </c>
      <c r="M233" s="1">
        <v>112</v>
      </c>
      <c r="N233" s="1"/>
      <c r="O233" s="1"/>
      <c r="P233" s="1"/>
      <c r="Q233" s="1"/>
      <c r="R233" s="1" t="s">
        <v>79</v>
      </c>
      <c r="S233" s="1"/>
      <c r="T233" s="1"/>
      <c r="U233" s="1"/>
      <c r="V233" s="1"/>
      <c r="W233" s="1"/>
      <c r="X233" s="3"/>
      <c r="Y233" s="1">
        <v>8.5546057634145439E-6</v>
      </c>
      <c r="Z233" s="1"/>
      <c r="AA233" s="1">
        <v>1.597312903441295E-5</v>
      </c>
      <c r="AB233" s="1"/>
      <c r="AC233" s="1">
        <v>3.35289536146643E-5</v>
      </c>
      <c r="AD233" s="1"/>
      <c r="AE233" s="1">
        <v>6.2605141287318814E-5</v>
      </c>
      <c r="AF233" s="1"/>
      <c r="AG233" s="1">
        <v>9.6172299446174495E-5</v>
      </c>
      <c r="AH233" s="1"/>
      <c r="AI233" s="1">
        <v>1.1689609406393618E-4</v>
      </c>
      <c r="AJ233" s="1"/>
      <c r="AK233" s="1"/>
      <c r="AL233" s="1"/>
      <c r="AM233" s="1"/>
      <c r="AN233" s="1"/>
      <c r="AO233" s="1"/>
      <c r="AP233" s="1"/>
      <c r="AQ233" s="1"/>
      <c r="AR233" s="1"/>
      <c r="AS233" s="1"/>
      <c r="AT233" s="1"/>
      <c r="AU233" s="1"/>
      <c r="AV233" s="3">
        <v>0.26</v>
      </c>
      <c r="AW233" s="1">
        <v>625</v>
      </c>
      <c r="AX233" s="1">
        <v>-53</v>
      </c>
      <c r="AY233" s="1">
        <v>30</v>
      </c>
      <c r="AZ233" s="1"/>
      <c r="BA233" s="1"/>
      <c r="BB233" s="1"/>
      <c r="BC233" s="1"/>
      <c r="BD233" s="1"/>
      <c r="BE233" s="1"/>
      <c r="BF233" s="1"/>
      <c r="BG233" s="1">
        <v>0.51</v>
      </c>
      <c r="BH233" s="1">
        <v>2400</v>
      </c>
      <c r="BI233" s="1"/>
      <c r="BJ233" s="1"/>
      <c r="BK233" s="1"/>
      <c r="BL233" s="1"/>
      <c r="BM233" s="1">
        <v>2.0299999999999998</v>
      </c>
      <c r="BN233" s="1">
        <v>2.1</v>
      </c>
      <c r="BO233" s="1">
        <v>4.3</v>
      </c>
      <c r="BP233" s="1" t="s">
        <v>82</v>
      </c>
      <c r="BQ233" s="1" t="s">
        <v>125</v>
      </c>
      <c r="BR233" s="1">
        <v>25</v>
      </c>
      <c r="BS233" s="1">
        <v>72</v>
      </c>
      <c r="BT233" s="3" t="s">
        <v>84</v>
      </c>
      <c r="BU233" s="1" t="s">
        <v>268</v>
      </c>
      <c r="BV233" s="1" t="s">
        <v>269</v>
      </c>
      <c r="BW233" t="s">
        <v>671</v>
      </c>
    </row>
    <row r="234" spans="1:75" x14ac:dyDescent="0.75">
      <c r="A234" s="8"/>
      <c r="B234" s="8" t="s">
        <v>271</v>
      </c>
      <c r="C234" s="8" t="s">
        <v>272</v>
      </c>
      <c r="D234" s="8" t="s">
        <v>273</v>
      </c>
      <c r="E234" s="8" t="s">
        <v>273</v>
      </c>
      <c r="F234" s="8">
        <v>100</v>
      </c>
      <c r="G234" s="8">
        <v>3</v>
      </c>
      <c r="H234" s="8" t="s">
        <v>78</v>
      </c>
      <c r="I234" s="8">
        <v>2</v>
      </c>
      <c r="J234" s="9">
        <f>I234/G234</f>
        <v>0.66666666666666663</v>
      </c>
      <c r="K234" s="8"/>
      <c r="L234" s="8">
        <v>164</v>
      </c>
      <c r="M234" s="8"/>
      <c r="N234" s="8"/>
      <c r="O234" s="8"/>
      <c r="P234" s="8"/>
      <c r="Q234" s="8"/>
      <c r="R234" s="8" t="s">
        <v>79</v>
      </c>
      <c r="S234" s="10">
        <v>1.7600000000000001E-5</v>
      </c>
      <c r="T234" s="8"/>
      <c r="U234" s="10">
        <v>2.2099999999999998E-5</v>
      </c>
      <c r="V234" s="8"/>
      <c r="W234" s="8"/>
      <c r="X234" s="10"/>
      <c r="Y234" s="10"/>
      <c r="Z234" s="8"/>
      <c r="AA234" s="10">
        <v>3.8899999999999997E-5</v>
      </c>
      <c r="AB234" s="8"/>
      <c r="AC234" s="8"/>
      <c r="AD234" s="8"/>
      <c r="AE234" s="10">
        <v>5.3999999999999998E-5</v>
      </c>
      <c r="AF234" s="8"/>
      <c r="AG234" s="8"/>
      <c r="AH234" s="8"/>
      <c r="AI234" s="8"/>
      <c r="AJ234" s="8"/>
      <c r="AK234" s="8"/>
      <c r="AL234" s="8"/>
      <c r="AM234" s="8"/>
      <c r="AN234" s="8"/>
      <c r="AO234" s="8"/>
      <c r="AP234" s="8"/>
      <c r="AQ234" s="8"/>
      <c r="AR234" s="8"/>
      <c r="AS234" s="8"/>
      <c r="AT234" s="8"/>
      <c r="AU234" s="8"/>
      <c r="AV234" s="10">
        <v>0.11</v>
      </c>
      <c r="AW234" s="8">
        <v>1607</v>
      </c>
      <c r="AX234" s="8">
        <v>-273.14999999999998</v>
      </c>
      <c r="AY234" s="8">
        <v>-20</v>
      </c>
      <c r="AZ234" s="8"/>
      <c r="BA234" s="8"/>
      <c r="BB234" s="8"/>
      <c r="BC234" s="8"/>
      <c r="BD234" s="8"/>
      <c r="BE234" s="8"/>
      <c r="BF234" s="8"/>
      <c r="BG234" s="8">
        <v>0.126</v>
      </c>
      <c r="BH234" s="8">
        <v>4.0000000000000001E-3</v>
      </c>
      <c r="BI234" s="8"/>
      <c r="BJ234" s="8"/>
      <c r="BK234" s="8"/>
      <c r="BL234" s="8"/>
      <c r="BM234" s="10">
        <f>BO234/BN234</f>
        <v>4.8717948717948714</v>
      </c>
      <c r="BN234" s="10">
        <v>390</v>
      </c>
      <c r="BO234" s="10">
        <v>1900</v>
      </c>
      <c r="BP234" s="8" t="s">
        <v>173</v>
      </c>
      <c r="BQ234" s="8" t="s">
        <v>130</v>
      </c>
      <c r="BR234" s="8">
        <v>80</v>
      </c>
      <c r="BS234" s="8">
        <v>48</v>
      </c>
      <c r="BT234" s="10" t="s">
        <v>84</v>
      </c>
      <c r="BU234" s="8"/>
      <c r="BV234" s="8" t="s">
        <v>274</v>
      </c>
      <c r="BW234" t="s">
        <v>672</v>
      </c>
    </row>
    <row r="235" spans="1:75" x14ac:dyDescent="0.75">
      <c r="A235" t="s">
        <v>275</v>
      </c>
      <c r="B235" t="s">
        <v>276</v>
      </c>
      <c r="C235" t="s">
        <v>277</v>
      </c>
      <c r="D235" t="s">
        <v>278</v>
      </c>
      <c r="E235" t="s">
        <v>77</v>
      </c>
      <c r="F235">
        <v>17</v>
      </c>
      <c r="G235">
        <f>F235/100*4+(100-F235)/100*1</f>
        <v>1.51</v>
      </c>
      <c r="H235" t="s">
        <v>78</v>
      </c>
      <c r="I235">
        <f>0.17*0.083</f>
        <v>1.4110000000000001E-2</v>
      </c>
      <c r="J235" s="23">
        <f>I235/G235</f>
        <v>9.3443708609271536E-3</v>
      </c>
      <c r="L235">
        <v>-32</v>
      </c>
      <c r="M235">
        <v>-33</v>
      </c>
      <c r="R235" t="s">
        <v>79</v>
      </c>
      <c r="W235" s="5"/>
      <c r="X235" s="5"/>
      <c r="Y235" s="5">
        <v>5.2830990972930303E-7</v>
      </c>
      <c r="Z235" s="5">
        <v>8.9252269173520403E-7</v>
      </c>
      <c r="AA235" s="5">
        <v>1.44318126876186E-6</v>
      </c>
      <c r="AB235" s="5">
        <v>2.24522943307816E-6</v>
      </c>
      <c r="AC235" s="5">
        <v>3.3756706758917802E-6</v>
      </c>
      <c r="AD235" s="5">
        <v>4.9233175385920801E-6</v>
      </c>
      <c r="AE235" s="5">
        <v>6.9881247627033498E-6</v>
      </c>
      <c r="AF235" s="5">
        <v>9.6801587712404808E-6</v>
      </c>
      <c r="AG235" s="5">
        <v>1.31182711303272E-5</v>
      </c>
      <c r="AH235" s="5">
        <v>1.74285509276539E-5</v>
      </c>
      <c r="AI235" s="5">
        <v>2.2742631783291901E-5</v>
      </c>
      <c r="AJ235" s="5">
        <v>2.91959250547334E-5</v>
      </c>
      <c r="AK235" s="5">
        <v>3.6925843274811799E-5</v>
      </c>
      <c r="AO235">
        <v>0.19</v>
      </c>
      <c r="AP235">
        <v>80</v>
      </c>
      <c r="AQ235" t="s">
        <v>279</v>
      </c>
      <c r="AV235">
        <v>2.2000000000000002</v>
      </c>
      <c r="AW235">
        <v>1376</v>
      </c>
      <c r="AX235">
        <v>-81</v>
      </c>
      <c r="AY235">
        <v>30</v>
      </c>
      <c r="AZ235">
        <v>2.2999999999999998</v>
      </c>
      <c r="BA235">
        <v>1393</v>
      </c>
      <c r="BB235">
        <v>-82</v>
      </c>
      <c r="BG235">
        <v>0.67</v>
      </c>
      <c r="BH235" s="5">
        <v>93000</v>
      </c>
      <c r="BJ235" s="5">
        <v>6.9999999999999998E-9</v>
      </c>
      <c r="BK235">
        <v>80</v>
      </c>
      <c r="BN235" s="1">
        <f>323*44.05+79*(114.14+227.33)</f>
        <v>41204.28</v>
      </c>
      <c r="BP235" t="s">
        <v>173</v>
      </c>
      <c r="BQ235" t="s">
        <v>241</v>
      </c>
      <c r="BR235">
        <v>55</v>
      </c>
      <c r="BS235">
        <v>1</v>
      </c>
      <c r="BT235" s="5" t="s">
        <v>149</v>
      </c>
      <c r="BU235" t="s">
        <v>280</v>
      </c>
      <c r="BV235" t="s">
        <v>281</v>
      </c>
      <c r="BW235" t="s">
        <v>673</v>
      </c>
    </row>
    <row r="236" spans="1:75" x14ac:dyDescent="0.75">
      <c r="A236" s="1"/>
      <c r="B236" s="1" t="s">
        <v>276</v>
      </c>
      <c r="C236" s="1" t="s">
        <v>277</v>
      </c>
      <c r="D236" s="1" t="s">
        <v>278</v>
      </c>
      <c r="E236" s="1" t="s">
        <v>77</v>
      </c>
      <c r="F236" s="1">
        <v>17</v>
      </c>
      <c r="G236" s="1">
        <f>F236/100*4+(100-F236)/100*1</f>
        <v>1.51</v>
      </c>
      <c r="H236" s="1" t="s">
        <v>78</v>
      </c>
      <c r="I236" s="1">
        <f>0.17*0.05</f>
        <v>8.5000000000000006E-3</v>
      </c>
      <c r="J236" s="24">
        <f>I236/G236</f>
        <v>5.6291390728476828E-3</v>
      </c>
      <c r="K236" s="1"/>
      <c r="L236" s="1">
        <v>-33</v>
      </c>
      <c r="M236" s="1">
        <v>-33</v>
      </c>
      <c r="N236" s="1"/>
      <c r="O236" s="1"/>
      <c r="P236" s="1"/>
      <c r="Q236" s="1"/>
      <c r="R236" s="1" t="s">
        <v>79</v>
      </c>
      <c r="S236" s="1"/>
      <c r="T236" s="1"/>
      <c r="U236" s="1"/>
      <c r="V236" s="1"/>
      <c r="W236" s="3"/>
      <c r="X236" s="3"/>
      <c r="Y236" s="3">
        <v>4.2807851516068699E-7</v>
      </c>
      <c r="Z236" s="3">
        <v>7.8643592393055503E-7</v>
      </c>
      <c r="AA236" s="3">
        <v>1.33061534292764E-6</v>
      </c>
      <c r="AB236" s="3">
        <v>2.10583110515955E-6</v>
      </c>
      <c r="AC236" s="3">
        <v>3.1544229802444801E-6</v>
      </c>
      <c r="AD236" s="3">
        <v>4.5137640813891103E-6</v>
      </c>
      <c r="AE236" s="3">
        <v>6.2148914322268098E-6</v>
      </c>
      <c r="AF236" s="3">
        <v>8.2818012209782195E-6</v>
      </c>
      <c r="AG236" s="3">
        <v>1.07312903352842E-5</v>
      </c>
      <c r="AH236" s="3">
        <v>1.3573207592309399E-5</v>
      </c>
      <c r="AI236" s="3">
        <v>1.6810985121473301E-5</v>
      </c>
      <c r="AJ236" s="3">
        <v>2.0442339767269199E-5</v>
      </c>
      <c r="AK236" s="3">
        <v>2.44600578076055E-5</v>
      </c>
      <c r="AL236" s="1"/>
      <c r="AM236" s="1"/>
      <c r="AN236" s="1"/>
      <c r="AO236" s="1"/>
      <c r="AP236" s="1"/>
      <c r="AQ236" s="1"/>
      <c r="AR236" s="1"/>
      <c r="AS236" s="1"/>
      <c r="AT236" s="1"/>
      <c r="AU236" s="1"/>
      <c r="AV236" s="1">
        <v>0.04</v>
      </c>
      <c r="AW236" s="1">
        <v>557</v>
      </c>
      <c r="AX236" s="1">
        <v>-35</v>
      </c>
      <c r="AY236" s="1">
        <v>30</v>
      </c>
      <c r="AZ236" s="1">
        <v>1.2</v>
      </c>
      <c r="BA236" s="1">
        <v>1341</v>
      </c>
      <c r="BB236" s="1">
        <v>-83</v>
      </c>
      <c r="BC236" s="1"/>
      <c r="BD236" s="1"/>
      <c r="BE236" s="1"/>
      <c r="BF236" s="1"/>
      <c r="BG236" s="1">
        <v>0.63</v>
      </c>
      <c r="BH236" s="3">
        <v>17000</v>
      </c>
      <c r="BI236" s="1"/>
      <c r="BJ236" s="1"/>
      <c r="BK236" s="1"/>
      <c r="BL236" s="1"/>
      <c r="BM236" s="1"/>
      <c r="BN236" s="1">
        <f>323*44.05+79*(114.14+227.33)</f>
        <v>41204.28</v>
      </c>
      <c r="BO236" s="1"/>
      <c r="BP236" s="1" t="s">
        <v>173</v>
      </c>
      <c r="BQ236" s="1" t="s">
        <v>241</v>
      </c>
      <c r="BR236" s="1">
        <v>55</v>
      </c>
      <c r="BS236" s="1">
        <v>1</v>
      </c>
      <c r="BT236" s="3" t="s">
        <v>149</v>
      </c>
      <c r="BU236" s="1" t="s">
        <v>280</v>
      </c>
      <c r="BV236" s="1" t="s">
        <v>281</v>
      </c>
      <c r="BW236" t="s">
        <v>673</v>
      </c>
    </row>
    <row r="237" spans="1:75" x14ac:dyDescent="0.75">
      <c r="A237" t="s">
        <v>282</v>
      </c>
      <c r="B237" t="s">
        <v>276</v>
      </c>
      <c r="C237" t="s">
        <v>283</v>
      </c>
      <c r="D237" t="s">
        <v>278</v>
      </c>
      <c r="E237" t="s">
        <v>278</v>
      </c>
      <c r="F237">
        <v>100</v>
      </c>
      <c r="G237">
        <v>4</v>
      </c>
      <c r="H237" t="s">
        <v>78</v>
      </c>
      <c r="I237" s="25">
        <v>0.03</v>
      </c>
      <c r="J237">
        <f>I237/G237</f>
        <v>7.4999999999999997E-3</v>
      </c>
      <c r="L237">
        <v>-11</v>
      </c>
      <c r="M237">
        <v>-15</v>
      </c>
      <c r="R237" t="s">
        <v>79</v>
      </c>
      <c r="W237" s="5"/>
      <c r="X237" s="5"/>
      <c r="Y237" s="5">
        <v>3.5468670962280897E-8</v>
      </c>
      <c r="Z237" s="5">
        <v>7.50385415957437E-8</v>
      </c>
      <c r="AA237" s="5">
        <v>1.47439240003931E-7</v>
      </c>
      <c r="AB237" s="5">
        <v>2.7184868891764399E-7</v>
      </c>
      <c r="AC237" s="5">
        <v>4.7437512804341203E-7</v>
      </c>
      <c r="AD237" s="5">
        <v>7.8897230521262496E-7</v>
      </c>
      <c r="AE237" s="5">
        <v>1.25808499362213E-6</v>
      </c>
      <c r="AF237" s="3">
        <v>1.9329775590991401E-6</v>
      </c>
      <c r="AG237" s="5">
        <v>2.8737281831148E-6</v>
      </c>
      <c r="AH237" s="5">
        <v>4.1488981763376201E-6</v>
      </c>
      <c r="AI237" s="5">
        <v>5.8349071635064E-6</v>
      </c>
      <c r="AJ237" s="5">
        <v>8.0151598047164707E-6</v>
      </c>
      <c r="AK237" s="5">
        <v>1.07789782530287E-5</v>
      </c>
      <c r="AV237">
        <v>1.55</v>
      </c>
      <c r="AW237">
        <v>1360</v>
      </c>
      <c r="AX237">
        <v>-62</v>
      </c>
      <c r="AY237">
        <v>30</v>
      </c>
      <c r="AZ237">
        <v>1.3</v>
      </c>
      <c r="BA237">
        <v>1327</v>
      </c>
      <c r="BB237">
        <v>-61</v>
      </c>
      <c r="BG237">
        <v>1</v>
      </c>
      <c r="BH237" s="5">
        <v>3700000000</v>
      </c>
      <c r="BM237">
        <v>1.17</v>
      </c>
      <c r="BN237">
        <f>(114.14+227.33)*75</f>
        <v>25610.250000000004</v>
      </c>
      <c r="BO237" s="11">
        <f>BN237*BM237</f>
        <v>29963.992500000004</v>
      </c>
      <c r="BP237" t="s">
        <v>173</v>
      </c>
      <c r="BQ237" t="s">
        <v>241</v>
      </c>
      <c r="BR237">
        <v>60</v>
      </c>
      <c r="BS237">
        <v>5</v>
      </c>
      <c r="BT237" t="s">
        <v>149</v>
      </c>
      <c r="BU237" t="s">
        <v>284</v>
      </c>
      <c r="BV237" t="s">
        <v>285</v>
      </c>
      <c r="BW237" t="s">
        <v>674</v>
      </c>
    </row>
    <row r="238" spans="1:75" x14ac:dyDescent="0.75">
      <c r="B238" t="s">
        <v>276</v>
      </c>
      <c r="C238" t="s">
        <v>283</v>
      </c>
      <c r="D238" t="s">
        <v>278</v>
      </c>
      <c r="E238" t="s">
        <v>278</v>
      </c>
      <c r="F238">
        <v>100</v>
      </c>
      <c r="G238">
        <v>4</v>
      </c>
      <c r="H238" t="s">
        <v>78</v>
      </c>
      <c r="I238" s="4">
        <v>0.08</v>
      </c>
      <c r="J238">
        <f t="shared" ref="J238:J246" si="7">I238/G238</f>
        <v>0.02</v>
      </c>
      <c r="L238">
        <v>-4</v>
      </c>
      <c r="M238">
        <v>-15</v>
      </c>
      <c r="R238" t="s">
        <v>79</v>
      </c>
      <c r="W238" s="5"/>
      <c r="X238" s="5"/>
      <c r="Y238" s="5">
        <v>1.4886756525582899E-8</v>
      </c>
      <c r="Z238" s="5">
        <v>3.5920705885073001E-8</v>
      </c>
      <c r="AA238" s="5">
        <v>7.8963156621240301E-8</v>
      </c>
      <c r="AB238" s="5">
        <v>1.60360927413757E-7</v>
      </c>
      <c r="AC238" s="5">
        <v>3.0428125839480902E-7</v>
      </c>
      <c r="AD238" s="5">
        <v>5.4446785071790795E-7</v>
      </c>
      <c r="AE238" s="5">
        <v>9.2578516113251804E-7</v>
      </c>
      <c r="AF238" s="3">
        <v>1.5054188332218299E-6</v>
      </c>
      <c r="AG238" s="5">
        <v>2.3536384426643302E-6</v>
      </c>
      <c r="AH238" s="5">
        <v>3.55407259065488E-6</v>
      </c>
      <c r="AI238" s="5">
        <v>5.2034887730674798E-6</v>
      </c>
      <c r="AJ238" s="5">
        <v>7.4111065704964799E-6</v>
      </c>
      <c r="AK238" s="5">
        <v>1.02975000015394E-5</v>
      </c>
      <c r="AV238">
        <v>2.4</v>
      </c>
      <c r="AW238">
        <v>1369</v>
      </c>
      <c r="AX238">
        <v>-55</v>
      </c>
      <c r="AY238">
        <v>30</v>
      </c>
      <c r="AZ238">
        <v>2.1</v>
      </c>
      <c r="BA238">
        <v>1335</v>
      </c>
      <c r="BB238">
        <v>-54</v>
      </c>
      <c r="BG238">
        <v>1.1000000000000001</v>
      </c>
      <c r="BH238" s="5">
        <v>16000000000</v>
      </c>
      <c r="BM238">
        <v>1.17</v>
      </c>
      <c r="BN238">
        <f t="shared" ref="BN238:BN239" si="8">(114.14+227.33)*75</f>
        <v>25610.250000000004</v>
      </c>
      <c r="BO238">
        <f t="shared" ref="BO238:BO245" si="9">BN238*BM238</f>
        <v>29963.992500000004</v>
      </c>
      <c r="BP238" t="s">
        <v>173</v>
      </c>
      <c r="BQ238" t="s">
        <v>241</v>
      </c>
      <c r="BR238">
        <v>60</v>
      </c>
      <c r="BS238">
        <v>5</v>
      </c>
      <c r="BT238" t="s">
        <v>149</v>
      </c>
      <c r="BU238" t="s">
        <v>284</v>
      </c>
      <c r="BV238" t="s">
        <v>285</v>
      </c>
      <c r="BW238" t="s">
        <v>674</v>
      </c>
    </row>
    <row r="239" spans="1:75" x14ac:dyDescent="0.75">
      <c r="B239" t="s">
        <v>276</v>
      </c>
      <c r="C239" t="s">
        <v>283</v>
      </c>
      <c r="D239" t="s">
        <v>278</v>
      </c>
      <c r="E239" t="s">
        <v>278</v>
      </c>
      <c r="F239">
        <v>100</v>
      </c>
      <c r="G239">
        <v>4</v>
      </c>
      <c r="H239" t="s">
        <v>78</v>
      </c>
      <c r="I239" s="4">
        <v>0.12</v>
      </c>
      <c r="J239">
        <f t="shared" si="7"/>
        <v>0.03</v>
      </c>
      <c r="L239">
        <v>-1</v>
      </c>
      <c r="M239">
        <v>-15</v>
      </c>
      <c r="R239" t="s">
        <v>79</v>
      </c>
      <c r="W239" s="5"/>
      <c r="X239" s="5"/>
      <c r="Y239" s="5">
        <v>9.5628440501833794E-9</v>
      </c>
      <c r="Z239" s="5">
        <v>2.4821495167706101E-8</v>
      </c>
      <c r="AA239" s="5">
        <v>5.8051598007482299E-8</v>
      </c>
      <c r="AB239" s="5">
        <v>1.2431864125839199E-7</v>
      </c>
      <c r="AC239" s="5">
        <v>2.4695419794998001E-7</v>
      </c>
      <c r="AD239" s="5">
        <v>4.59862262650588E-7</v>
      </c>
      <c r="AE239" s="3">
        <v>8.0970736023206402E-7</v>
      </c>
      <c r="AF239" s="5">
        <v>1.35779336901899E-6</v>
      </c>
      <c r="AG239" s="5">
        <v>2.1814772395264999E-6</v>
      </c>
      <c r="AH239" s="5">
        <v>3.3750118485697699E-6</v>
      </c>
      <c r="AI239" s="5">
        <v>5.0497670373123596E-6</v>
      </c>
      <c r="AJ239" s="5">
        <v>7.33382937330844E-6</v>
      </c>
      <c r="AK239" s="5">
        <v>1.03710240558408E-5</v>
      </c>
      <c r="AV239">
        <v>3.2</v>
      </c>
      <c r="AW239">
        <v>1379</v>
      </c>
      <c r="AX239">
        <v>-52</v>
      </c>
      <c r="AY239">
        <v>30</v>
      </c>
      <c r="AZ239">
        <v>2.8</v>
      </c>
      <c r="BA239">
        <v>1347</v>
      </c>
      <c r="BB239">
        <v>-51</v>
      </c>
      <c r="BG239">
        <v>1.1000000000000001</v>
      </c>
      <c r="BH239" s="5">
        <v>37000000000</v>
      </c>
      <c r="BM239">
        <v>1.17</v>
      </c>
      <c r="BN239">
        <f t="shared" si="8"/>
        <v>25610.250000000004</v>
      </c>
      <c r="BO239">
        <f t="shared" si="9"/>
        <v>29963.992500000004</v>
      </c>
      <c r="BP239" t="s">
        <v>173</v>
      </c>
      <c r="BQ239" t="s">
        <v>241</v>
      </c>
      <c r="BR239">
        <v>60</v>
      </c>
      <c r="BS239">
        <v>5</v>
      </c>
      <c r="BT239" t="s">
        <v>149</v>
      </c>
      <c r="BU239" t="s">
        <v>284</v>
      </c>
      <c r="BV239" t="s">
        <v>285</v>
      </c>
      <c r="BW239" t="s">
        <v>674</v>
      </c>
    </row>
    <row r="240" spans="1:75" x14ac:dyDescent="0.75">
      <c r="A240" t="s">
        <v>286</v>
      </c>
      <c r="B240" t="s">
        <v>287</v>
      </c>
      <c r="C240" t="s">
        <v>288</v>
      </c>
      <c r="D240" t="s">
        <v>289</v>
      </c>
      <c r="E240" t="s">
        <v>289</v>
      </c>
      <c r="F240">
        <v>100</v>
      </c>
      <c r="G240">
        <v>2</v>
      </c>
      <c r="H240" t="s">
        <v>78</v>
      </c>
      <c r="I240" s="4">
        <v>0.03</v>
      </c>
      <c r="J240">
        <f t="shared" si="7"/>
        <v>1.4999999999999999E-2</v>
      </c>
      <c r="L240">
        <v>11</v>
      </c>
      <c r="M240">
        <v>9</v>
      </c>
      <c r="R240" t="s">
        <v>79</v>
      </c>
      <c r="W240" s="5"/>
      <c r="X240" s="5"/>
      <c r="Y240" s="5">
        <v>1.16370596053981E-10</v>
      </c>
      <c r="Z240" s="5">
        <v>4.2927255406959E-10</v>
      </c>
      <c r="AA240" s="5">
        <v>1.34471641402761E-9</v>
      </c>
      <c r="AB240" s="5">
        <v>3.6815439841833299E-9</v>
      </c>
      <c r="AC240" s="5">
        <v>9.0085951154728102E-9</v>
      </c>
      <c r="AD240" s="3">
        <v>2.0053783612524199E-8</v>
      </c>
      <c r="AE240" s="5">
        <v>4.1190725105463903E-8</v>
      </c>
      <c r="AF240" s="5">
        <v>7.8967667697122997E-8</v>
      </c>
      <c r="AG240" s="5">
        <v>1.4263464613210701E-7</v>
      </c>
      <c r="AH240" s="5">
        <v>2.4462331779047501E-7</v>
      </c>
      <c r="AI240" s="5">
        <v>4.0093903583589598E-7</v>
      </c>
      <c r="AJ240" s="5">
        <v>6.3143441435409101E-7</v>
      </c>
      <c r="AK240" s="5">
        <v>9.5994563452791906E-7</v>
      </c>
      <c r="AV240">
        <v>0.79</v>
      </c>
      <c r="AW240">
        <v>1390</v>
      </c>
      <c r="AX240">
        <v>-40</v>
      </c>
      <c r="AY240">
        <v>30</v>
      </c>
      <c r="AZ240">
        <v>0.67</v>
      </c>
      <c r="BA240">
        <v>1356</v>
      </c>
      <c r="BB240">
        <v>-39</v>
      </c>
      <c r="BG240">
        <v>1.2</v>
      </c>
      <c r="BH240" s="5">
        <v>44000000000</v>
      </c>
      <c r="BM240">
        <v>1.04</v>
      </c>
      <c r="BN240">
        <f>281.43*200</f>
        <v>56286</v>
      </c>
      <c r="BO240">
        <f t="shared" si="9"/>
        <v>58537.440000000002</v>
      </c>
      <c r="BP240" t="s">
        <v>173</v>
      </c>
      <c r="BQ240" t="s">
        <v>241</v>
      </c>
      <c r="BR240">
        <v>60</v>
      </c>
      <c r="BS240">
        <v>5</v>
      </c>
      <c r="BT240" t="s">
        <v>149</v>
      </c>
      <c r="BU240" t="s">
        <v>284</v>
      </c>
      <c r="BV240" t="s">
        <v>285</v>
      </c>
      <c r="BW240" t="s">
        <v>674</v>
      </c>
    </row>
    <row r="241" spans="1:75" x14ac:dyDescent="0.75">
      <c r="B241" t="s">
        <v>287</v>
      </c>
      <c r="C241" t="s">
        <v>288</v>
      </c>
      <c r="D241" t="s">
        <v>289</v>
      </c>
      <c r="E241" t="s">
        <v>289</v>
      </c>
      <c r="F241">
        <v>100</v>
      </c>
      <c r="G241">
        <v>2</v>
      </c>
      <c r="H241" t="s">
        <v>78</v>
      </c>
      <c r="I241" s="4">
        <v>0.08</v>
      </c>
      <c r="J241">
        <f t="shared" si="7"/>
        <v>0.04</v>
      </c>
      <c r="L241">
        <v>24</v>
      </c>
      <c r="M241">
        <v>9</v>
      </c>
      <c r="R241" t="s">
        <v>79</v>
      </c>
      <c r="W241" s="5"/>
      <c r="X241" s="5"/>
      <c r="Y241" s="5">
        <v>6.3455218553145103E-12</v>
      </c>
      <c r="Z241" s="5">
        <v>4.0378943028932901E-11</v>
      </c>
      <c r="AA241" s="5">
        <v>1.9488756395328699E-10</v>
      </c>
      <c r="AB241" s="5">
        <v>7.5562448799475503E-10</v>
      </c>
      <c r="AC241" s="3">
        <v>2.4558837467652101E-9</v>
      </c>
      <c r="AD241" s="5">
        <v>6.9100070463592498E-9</v>
      </c>
      <c r="AE241" s="5">
        <v>1.7254345868341399E-8</v>
      </c>
      <c r="AF241" s="5">
        <v>3.8986085266333198E-8</v>
      </c>
      <c r="AG241" s="5">
        <v>8.0949939586859205E-8</v>
      </c>
      <c r="AH241" s="5">
        <v>1.5639095692712599E-7</v>
      </c>
      <c r="AI241" s="5">
        <v>2.8397570632503901E-7</v>
      </c>
      <c r="AJ241" s="5">
        <v>4.8868545894327903E-7</v>
      </c>
      <c r="AK241" s="5">
        <v>8.0250059494262599E-7</v>
      </c>
      <c r="AV241">
        <v>1.2</v>
      </c>
      <c r="AW241">
        <v>1323</v>
      </c>
      <c r="AX241">
        <v>-27</v>
      </c>
      <c r="AY241">
        <v>30</v>
      </c>
      <c r="AZ241">
        <v>1.1000000000000001</v>
      </c>
      <c r="BA241">
        <v>1292</v>
      </c>
      <c r="BB241">
        <v>-26</v>
      </c>
      <c r="BG241">
        <v>1.2</v>
      </c>
      <c r="BH241" s="5">
        <v>80000000000</v>
      </c>
      <c r="BM241">
        <v>1.04</v>
      </c>
      <c r="BN241">
        <f t="shared" ref="BN241:BN242" si="10">281.43*200</f>
        <v>56286</v>
      </c>
      <c r="BO241">
        <f t="shared" si="9"/>
        <v>58537.440000000002</v>
      </c>
      <c r="BP241" t="s">
        <v>173</v>
      </c>
      <c r="BQ241" t="s">
        <v>241</v>
      </c>
      <c r="BR241">
        <v>60</v>
      </c>
      <c r="BS241">
        <v>5</v>
      </c>
      <c r="BT241" t="s">
        <v>149</v>
      </c>
      <c r="BU241" t="s">
        <v>284</v>
      </c>
      <c r="BV241" t="s">
        <v>285</v>
      </c>
      <c r="BW241" t="s">
        <v>674</v>
      </c>
    </row>
    <row r="242" spans="1:75" x14ac:dyDescent="0.75">
      <c r="B242" t="s">
        <v>287</v>
      </c>
      <c r="C242" t="s">
        <v>288</v>
      </c>
      <c r="D242" t="s">
        <v>289</v>
      </c>
      <c r="E242" t="s">
        <v>289</v>
      </c>
      <c r="F242">
        <v>100</v>
      </c>
      <c r="G242">
        <v>2</v>
      </c>
      <c r="H242" t="s">
        <v>78</v>
      </c>
      <c r="I242" s="4">
        <v>0.12</v>
      </c>
      <c r="J242">
        <f t="shared" si="7"/>
        <v>0.06</v>
      </c>
      <c r="L242">
        <v>39</v>
      </c>
      <c r="M242">
        <v>9</v>
      </c>
      <c r="R242" t="s">
        <v>79</v>
      </c>
      <c r="W242" s="5"/>
      <c r="X242" s="5"/>
      <c r="Y242" s="5">
        <v>2.006913442512E-15</v>
      </c>
      <c r="Z242" s="5">
        <v>5.72199309999157E-14</v>
      </c>
      <c r="AA242" s="5">
        <v>8.5629805898155696E-13</v>
      </c>
      <c r="AB242" s="3">
        <v>7.9675452259961306E-12</v>
      </c>
      <c r="AC242" s="5">
        <v>5.1702766912006899E-11</v>
      </c>
      <c r="AD242" s="5">
        <v>2.53626453374488E-10</v>
      </c>
      <c r="AE242" s="5">
        <v>9.9691466220444595E-10</v>
      </c>
      <c r="AF242" s="5">
        <v>3.2781862816109799E-9</v>
      </c>
      <c r="AG242" s="5">
        <v>9.3172483282211093E-9</v>
      </c>
      <c r="AH242" s="5">
        <v>2.3471069542659299E-8</v>
      </c>
      <c r="AI242" s="5">
        <v>5.3445583181814501E-8</v>
      </c>
      <c r="AJ242" s="5">
        <v>1.1173961154025799E-7</v>
      </c>
      <c r="AK242" s="5">
        <v>2.17206405504821E-7</v>
      </c>
      <c r="AV242">
        <v>1.9</v>
      </c>
      <c r="AW242">
        <v>1331</v>
      </c>
      <c r="AX242">
        <v>-12</v>
      </c>
      <c r="AY242">
        <v>30</v>
      </c>
      <c r="AZ242">
        <v>1.7</v>
      </c>
      <c r="BA242">
        <v>1303</v>
      </c>
      <c r="BB242">
        <v>-11</v>
      </c>
      <c r="BG242">
        <v>1.35</v>
      </c>
      <c r="BH242" s="5">
        <v>890000000000</v>
      </c>
      <c r="BM242">
        <v>1.04</v>
      </c>
      <c r="BN242">
        <f t="shared" si="10"/>
        <v>56286</v>
      </c>
      <c r="BO242">
        <f t="shared" si="9"/>
        <v>58537.440000000002</v>
      </c>
      <c r="BP242" t="s">
        <v>173</v>
      </c>
      <c r="BQ242" t="s">
        <v>241</v>
      </c>
      <c r="BR242">
        <v>60</v>
      </c>
      <c r="BS242">
        <v>5</v>
      </c>
      <c r="BT242" t="s">
        <v>149</v>
      </c>
      <c r="BU242" t="s">
        <v>284</v>
      </c>
      <c r="BV242" t="s">
        <v>285</v>
      </c>
      <c r="BW242" t="s">
        <v>674</v>
      </c>
    </row>
    <row r="243" spans="1:75" x14ac:dyDescent="0.75">
      <c r="A243" t="s">
        <v>290</v>
      </c>
      <c r="B243" t="s">
        <v>287</v>
      </c>
      <c r="C243" t="s">
        <v>291</v>
      </c>
      <c r="D243" s="30" t="s">
        <v>643</v>
      </c>
      <c r="E243" s="30" t="s">
        <v>643</v>
      </c>
      <c r="F243">
        <v>100</v>
      </c>
      <c r="G243">
        <v>2</v>
      </c>
      <c r="H243" t="s">
        <v>78</v>
      </c>
      <c r="I243" s="4">
        <v>0.03</v>
      </c>
      <c r="J243">
        <f t="shared" si="7"/>
        <v>1.4999999999999999E-2</v>
      </c>
      <c r="L243">
        <v>-6</v>
      </c>
      <c r="M243">
        <v>-8</v>
      </c>
      <c r="R243" t="s">
        <v>79</v>
      </c>
      <c r="U243" s="5"/>
      <c r="W243" s="5"/>
      <c r="X243" s="5"/>
      <c r="Y243" s="5">
        <v>7.0486750961719502E-9</v>
      </c>
      <c r="Z243" s="5">
        <v>1.6219365331058399E-8</v>
      </c>
      <c r="AA243" s="3">
        <v>3.4239177039055101E-8</v>
      </c>
      <c r="AB243" s="5">
        <v>6.7152512960475404E-8</v>
      </c>
      <c r="AC243" s="5">
        <v>1.23627732245787E-7</v>
      </c>
      <c r="AD243" s="5">
        <v>2.15454318570547E-7</v>
      </c>
      <c r="AE243" s="5">
        <v>3.57952975306061E-7</v>
      </c>
      <c r="AF243" s="5">
        <v>5.7026467586548899E-7</v>
      </c>
      <c r="AG243" s="5">
        <v>8.7549761130567697E-7</v>
      </c>
      <c r="AH243" s="5">
        <v>1.30072431741686E-6</v>
      </c>
      <c r="AI243" s="5">
        <v>1.87683323428978E-6</v>
      </c>
      <c r="AJ243" s="5">
        <v>2.63824847487932E-6</v>
      </c>
      <c r="AK243" s="5">
        <v>3.6225382220076102E-6</v>
      </c>
      <c r="AV243">
        <v>0.71</v>
      </c>
      <c r="AW243">
        <v>1362</v>
      </c>
      <c r="AX243">
        <v>-57</v>
      </c>
      <c r="AY243">
        <v>30</v>
      </c>
      <c r="AZ243">
        <v>0.59</v>
      </c>
      <c r="BA243">
        <v>1323</v>
      </c>
      <c r="BB243">
        <v>-56</v>
      </c>
      <c r="BG243">
        <v>1.1000000000000001</v>
      </c>
      <c r="BH243" s="5">
        <v>2800000000</v>
      </c>
      <c r="BM243">
        <v>1.23</v>
      </c>
      <c r="BN243">
        <f>313.4*354</f>
        <v>110943.59999999999</v>
      </c>
      <c r="BO243">
        <f t="shared" si="9"/>
        <v>136460.628</v>
      </c>
      <c r="BP243" t="s">
        <v>173</v>
      </c>
      <c r="BQ243" t="s">
        <v>241</v>
      </c>
      <c r="BR243">
        <v>60</v>
      </c>
      <c r="BS243">
        <v>5</v>
      </c>
      <c r="BT243" t="s">
        <v>149</v>
      </c>
      <c r="BU243" t="s">
        <v>284</v>
      </c>
      <c r="BV243" t="s">
        <v>285</v>
      </c>
      <c r="BW243" t="s">
        <v>674</v>
      </c>
    </row>
    <row r="244" spans="1:75" x14ac:dyDescent="0.75">
      <c r="B244" t="s">
        <v>287</v>
      </c>
      <c r="C244" t="s">
        <v>291</v>
      </c>
      <c r="D244" s="30" t="s">
        <v>643</v>
      </c>
      <c r="E244" s="30" t="s">
        <v>643</v>
      </c>
      <c r="F244">
        <v>100</v>
      </c>
      <c r="G244">
        <v>2</v>
      </c>
      <c r="H244" t="s">
        <v>78</v>
      </c>
      <c r="I244" s="4">
        <v>0.08</v>
      </c>
      <c r="J244">
        <f t="shared" si="7"/>
        <v>0.04</v>
      </c>
      <c r="L244">
        <v>-3</v>
      </c>
      <c r="M244">
        <v>-8</v>
      </c>
      <c r="R244" t="s">
        <v>79</v>
      </c>
      <c r="U244" s="5"/>
      <c r="W244" s="5"/>
      <c r="X244" s="5"/>
      <c r="Y244" s="5">
        <v>6.2188964272579597E-9</v>
      </c>
      <c r="Z244" s="3">
        <v>1.5445493497196302E-8</v>
      </c>
      <c r="AA244" s="5">
        <v>3.4804345756572799E-8</v>
      </c>
      <c r="AB244" s="5">
        <v>7.2211137933202302E-8</v>
      </c>
      <c r="AC244" s="5">
        <v>1.3959889993052801E-7</v>
      </c>
      <c r="AD244" s="5">
        <v>2.53914954480793E-7</v>
      </c>
      <c r="AE244" s="5">
        <v>4.3803113367731501E-7</v>
      </c>
      <c r="AF244" s="5">
        <v>7.2148893378746798E-7</v>
      </c>
      <c r="AG244" s="5">
        <v>1.14101986522904E-6</v>
      </c>
      <c r="AH244" s="5">
        <v>1.74080447444093E-6</v>
      </c>
      <c r="AI244" s="5">
        <v>2.57245724564332E-6</v>
      </c>
      <c r="AJ244" s="5">
        <v>3.6947457807698301E-6</v>
      </c>
      <c r="AK244" s="3">
        <v>5.1730694863300101E-6</v>
      </c>
      <c r="AV244">
        <v>1.4</v>
      </c>
      <c r="AW244">
        <v>1379</v>
      </c>
      <c r="AX244">
        <v>-54</v>
      </c>
      <c r="AY244">
        <v>30</v>
      </c>
      <c r="AZ244">
        <v>1.2</v>
      </c>
      <c r="BA244">
        <v>1347</v>
      </c>
      <c r="BB244">
        <v>-53</v>
      </c>
      <c r="BG244">
        <v>1.1000000000000001</v>
      </c>
      <c r="BH244" s="5">
        <v>13000000000</v>
      </c>
      <c r="BM244">
        <v>1.23</v>
      </c>
      <c r="BN244">
        <f t="shared" ref="BN244:BN245" si="11">313.4*354</f>
        <v>110943.59999999999</v>
      </c>
      <c r="BO244">
        <f t="shared" si="9"/>
        <v>136460.628</v>
      </c>
      <c r="BP244" t="s">
        <v>173</v>
      </c>
      <c r="BQ244" t="s">
        <v>241</v>
      </c>
      <c r="BR244">
        <v>60</v>
      </c>
      <c r="BS244">
        <v>5</v>
      </c>
      <c r="BT244" t="s">
        <v>149</v>
      </c>
      <c r="BU244" t="s">
        <v>284</v>
      </c>
      <c r="BV244" t="s">
        <v>285</v>
      </c>
      <c r="BW244" t="s">
        <v>674</v>
      </c>
    </row>
    <row r="245" spans="1:75" x14ac:dyDescent="0.75">
      <c r="A245" s="1"/>
      <c r="B245" s="1" t="s">
        <v>287</v>
      </c>
      <c r="C245" s="1" t="s">
        <v>291</v>
      </c>
      <c r="D245" s="37" t="s">
        <v>643</v>
      </c>
      <c r="E245" s="37" t="s">
        <v>643</v>
      </c>
      <c r="F245" s="1">
        <v>100</v>
      </c>
      <c r="G245" s="1">
        <v>2</v>
      </c>
      <c r="H245" s="1" t="s">
        <v>78</v>
      </c>
      <c r="I245" s="2">
        <v>0.12</v>
      </c>
      <c r="J245" s="1">
        <f t="shared" si="7"/>
        <v>0.06</v>
      </c>
      <c r="K245" s="1"/>
      <c r="L245" s="1">
        <v>0</v>
      </c>
      <c r="M245" s="1">
        <v>-8</v>
      </c>
      <c r="N245" s="1"/>
      <c r="O245" s="1"/>
      <c r="P245" s="1"/>
      <c r="Q245" s="1"/>
      <c r="R245" s="1" t="s">
        <v>79</v>
      </c>
      <c r="S245" s="1"/>
      <c r="T245" s="1"/>
      <c r="U245" s="3"/>
      <c r="V245" s="1"/>
      <c r="W245" s="3"/>
      <c r="X245" s="3"/>
      <c r="Y245" s="3">
        <v>4.3289712599664802E-9</v>
      </c>
      <c r="Z245" s="5">
        <v>1.1821248474751401E-8</v>
      </c>
      <c r="AA245" s="5">
        <v>2.8932416794855001E-8</v>
      </c>
      <c r="AB245" s="5">
        <v>6.4547855116800106E-8</v>
      </c>
      <c r="AC245" s="5">
        <v>1.33062229643826E-7</v>
      </c>
      <c r="AD245" s="5">
        <v>2.5627400768662199E-7</v>
      </c>
      <c r="AE245" s="5">
        <v>4.6534745068420202E-7</v>
      </c>
      <c r="AF245" s="5">
        <v>8.0268794710029904E-7</v>
      </c>
      <c r="AG245" s="5">
        <v>1.32358299725788E-6</v>
      </c>
      <c r="AH245" s="5">
        <v>2.0974852644509601E-6</v>
      </c>
      <c r="AI245" s="5">
        <v>3.2088493260854699E-6</v>
      </c>
      <c r="AJ245" s="3">
        <v>4.7574733948912002E-6</v>
      </c>
      <c r="AK245" s="5">
        <v>6.8583357323984101E-6</v>
      </c>
      <c r="AL245" s="1"/>
      <c r="AM245" s="1"/>
      <c r="AN245" s="1"/>
      <c r="AO245" s="1"/>
      <c r="AP245" s="1"/>
      <c r="AQ245" s="1"/>
      <c r="AR245" s="1"/>
      <c r="AS245" s="1"/>
      <c r="AT245" s="1"/>
      <c r="AU245" s="1"/>
      <c r="AV245" s="1">
        <v>3.7</v>
      </c>
      <c r="AW245" s="1">
        <v>1458</v>
      </c>
      <c r="AX245" s="1">
        <v>-52</v>
      </c>
      <c r="AY245" s="1">
        <v>30</v>
      </c>
      <c r="AZ245" s="1">
        <v>2.7</v>
      </c>
      <c r="BA245" s="1">
        <v>1392</v>
      </c>
      <c r="BB245" s="1">
        <v>-50</v>
      </c>
      <c r="BC245" s="1"/>
      <c r="BD245" s="1"/>
      <c r="BE245" s="1"/>
      <c r="BF245" s="1"/>
      <c r="BG245" s="1">
        <v>1.2</v>
      </c>
      <c r="BH245" s="3">
        <v>100000000000</v>
      </c>
      <c r="BI245" s="1"/>
      <c r="BJ245" s="1"/>
      <c r="BK245" s="1"/>
      <c r="BL245" s="1"/>
      <c r="BM245" s="1">
        <v>1.23</v>
      </c>
      <c r="BN245" s="1">
        <f t="shared" si="11"/>
        <v>110943.59999999999</v>
      </c>
      <c r="BO245" s="1">
        <f t="shared" si="9"/>
        <v>136460.628</v>
      </c>
      <c r="BP245" s="1" t="s">
        <v>173</v>
      </c>
      <c r="BQ245" s="1" t="s">
        <v>241</v>
      </c>
      <c r="BR245" s="1">
        <v>60</v>
      </c>
      <c r="BS245" s="1">
        <v>5</v>
      </c>
      <c r="BT245" s="1" t="s">
        <v>149</v>
      </c>
      <c r="BU245" s="1" t="s">
        <v>284</v>
      </c>
      <c r="BV245" s="1" t="s">
        <v>285</v>
      </c>
      <c r="BW245" t="s">
        <v>674</v>
      </c>
    </row>
    <row r="246" spans="1:75" x14ac:dyDescent="0.75">
      <c r="B246" t="s">
        <v>287</v>
      </c>
      <c r="C246" t="s">
        <v>292</v>
      </c>
      <c r="D246" s="30" t="s">
        <v>643</v>
      </c>
      <c r="E246" s="30" t="s">
        <v>643</v>
      </c>
      <c r="F246">
        <v>100</v>
      </c>
      <c r="G246">
        <v>2</v>
      </c>
      <c r="H246" t="s">
        <v>78</v>
      </c>
      <c r="I246" s="4">
        <v>0.1</v>
      </c>
      <c r="J246">
        <f t="shared" si="7"/>
        <v>0.05</v>
      </c>
      <c r="K246">
        <v>8.39</v>
      </c>
      <c r="L246">
        <v>-7</v>
      </c>
      <c r="M246">
        <v>-8</v>
      </c>
      <c r="R246" t="s">
        <v>79</v>
      </c>
      <c r="U246" s="5"/>
      <c r="W246" s="5"/>
      <c r="X246" s="5"/>
      <c r="Y246" s="5">
        <v>9.4422197239547998E-9</v>
      </c>
      <c r="Z246" s="5">
        <v>2.3113363868798001E-8</v>
      </c>
      <c r="AA246" s="5">
        <v>5.1693613292509003E-8</v>
      </c>
      <c r="AB246" s="5">
        <v>1.07006232103974E-7</v>
      </c>
      <c r="AC246" s="5">
        <v>2.0719135732899E-7</v>
      </c>
      <c r="AD246" s="5">
        <v>3.7854456540056198E-7</v>
      </c>
      <c r="AE246" s="5">
        <v>6.5736240062670298E-7</v>
      </c>
      <c r="AF246" s="5">
        <v>1.09166326395159E-6</v>
      </c>
      <c r="AG246" s="5">
        <v>1.7426627318408101E-6</v>
      </c>
      <c r="AH246" s="5">
        <v>2.68590511195997E-6</v>
      </c>
      <c r="AI246" s="5">
        <v>4.01198290445415E-6</v>
      </c>
      <c r="AJ246" s="5">
        <v>5.8268080644969901E-6</v>
      </c>
      <c r="AK246" s="5">
        <v>8.2514296839495499E-6</v>
      </c>
      <c r="AO246">
        <v>0.23899999999999999</v>
      </c>
      <c r="AP246">
        <v>72.7</v>
      </c>
      <c r="AQ246" t="s">
        <v>293</v>
      </c>
      <c r="AV246">
        <v>4.5999999999999996</v>
      </c>
      <c r="AW246">
        <v>1541</v>
      </c>
      <c r="AX246">
        <v>60</v>
      </c>
      <c r="AY246">
        <v>30</v>
      </c>
      <c r="AZ246">
        <v>3.1</v>
      </c>
      <c r="BA246">
        <v>1458</v>
      </c>
      <c r="BB246">
        <v>-57</v>
      </c>
      <c r="BG246">
        <v>1.17</v>
      </c>
      <c r="BH246" s="5">
        <v>320000000000</v>
      </c>
      <c r="BJ246" s="5">
        <v>1.03E-9</v>
      </c>
      <c r="BK246">
        <v>72.7</v>
      </c>
      <c r="BM246">
        <v>1.6</v>
      </c>
      <c r="BN246">
        <f>336*313.14</f>
        <v>105215.03999999999</v>
      </c>
      <c r="BO246" s="11">
        <f>BN246*BM246</f>
        <v>168344.06400000001</v>
      </c>
      <c r="BP246" t="s">
        <v>173</v>
      </c>
      <c r="BQ246" t="s">
        <v>241</v>
      </c>
      <c r="BR246">
        <v>60</v>
      </c>
      <c r="BS246">
        <v>24</v>
      </c>
      <c r="BT246" t="s">
        <v>149</v>
      </c>
      <c r="BU246" t="s">
        <v>294</v>
      </c>
      <c r="BV246" t="s">
        <v>623</v>
      </c>
      <c r="BW246" t="s">
        <v>675</v>
      </c>
    </row>
    <row r="247" spans="1:75" x14ac:dyDescent="0.75">
      <c r="B247" t="s">
        <v>287</v>
      </c>
      <c r="C247" t="s">
        <v>292</v>
      </c>
      <c r="D247" s="30" t="s">
        <v>643</v>
      </c>
      <c r="E247" s="30" t="s">
        <v>645</v>
      </c>
      <c r="F247">
        <v>71</v>
      </c>
      <c r="H247" t="s">
        <v>78</v>
      </c>
      <c r="I247" s="4">
        <v>0.1</v>
      </c>
      <c r="J247" s="4">
        <f>0.141/2</f>
        <v>7.0499999999999993E-2</v>
      </c>
      <c r="K247">
        <v>9.76</v>
      </c>
      <c r="L247">
        <v>-4</v>
      </c>
      <c r="M247">
        <v>-16</v>
      </c>
      <c r="R247" t="s">
        <v>79</v>
      </c>
      <c r="U247" s="5"/>
      <c r="W247" s="5"/>
      <c r="X247" s="5"/>
      <c r="Y247" s="5">
        <v>1.16931848507077E-8</v>
      </c>
      <c r="Z247" s="5">
        <v>2.9307453710303801E-8</v>
      </c>
      <c r="AA247" s="5">
        <v>6.6413220429661001E-8</v>
      </c>
      <c r="AB247" s="5">
        <v>1.38212455056855E-7</v>
      </c>
      <c r="AC247" s="5">
        <v>2.6749062357289302E-7</v>
      </c>
      <c r="AD247" s="5">
        <v>4.8637418437487695E-7</v>
      </c>
      <c r="AE247" s="5">
        <v>8.3786158575983497E-7</v>
      </c>
      <c r="AF247" s="5">
        <v>1.3769877401502199E-6</v>
      </c>
      <c r="AG247" s="5">
        <v>2.1715254198888E-6</v>
      </c>
      <c r="AH247" s="5">
        <v>3.3021760723269801E-6</v>
      </c>
      <c r="AI247" s="5">
        <v>4.8622490496275796E-6</v>
      </c>
      <c r="AJ247" s="5">
        <v>6.95686684062698E-6</v>
      </c>
      <c r="AK247" s="5">
        <v>9.7017619853486799E-6</v>
      </c>
      <c r="AO247">
        <v>0.216</v>
      </c>
      <c r="AP247">
        <v>72.7</v>
      </c>
      <c r="AQ247" t="s">
        <v>293</v>
      </c>
      <c r="AV247">
        <v>2</v>
      </c>
      <c r="AW247">
        <v>1318</v>
      </c>
      <c r="AX247">
        <v>-52</v>
      </c>
      <c r="AY247">
        <v>30</v>
      </c>
      <c r="AZ247">
        <v>2.5</v>
      </c>
      <c r="BA247">
        <v>1369</v>
      </c>
      <c r="BB247">
        <v>-54</v>
      </c>
      <c r="BG247">
        <v>0.97</v>
      </c>
      <c r="BH247" s="5">
        <v>370000000</v>
      </c>
      <c r="BJ247" s="5">
        <v>5.2600000000000004E-10</v>
      </c>
      <c r="BK247">
        <v>72.7</v>
      </c>
      <c r="BM247">
        <v>1.6</v>
      </c>
      <c r="BN247">
        <f>336*265.4</f>
        <v>89174.399999999994</v>
      </c>
      <c r="BO247" s="11">
        <f>BN247*BM247</f>
        <v>142679.04000000001</v>
      </c>
      <c r="BP247" t="s">
        <v>173</v>
      </c>
      <c r="BQ247" t="s">
        <v>241</v>
      </c>
      <c r="BR247">
        <v>60</v>
      </c>
      <c r="BS247">
        <v>24</v>
      </c>
      <c r="BT247" t="s">
        <v>149</v>
      </c>
      <c r="BU247" t="s">
        <v>294</v>
      </c>
      <c r="BV247" t="s">
        <v>623</v>
      </c>
      <c r="BW247" t="s">
        <v>675</v>
      </c>
    </row>
    <row r="248" spans="1:75" x14ac:dyDescent="0.75">
      <c r="B248" t="s">
        <v>287</v>
      </c>
      <c r="C248" t="s">
        <v>292</v>
      </c>
      <c r="D248" s="30" t="s">
        <v>643</v>
      </c>
      <c r="E248" s="30" t="s">
        <v>645</v>
      </c>
      <c r="F248">
        <v>71</v>
      </c>
      <c r="H248" t="s">
        <v>78</v>
      </c>
      <c r="I248" s="4">
        <v>7.0999999999999994E-2</v>
      </c>
      <c r="J248" s="4">
        <v>0.05</v>
      </c>
      <c r="K248">
        <v>7.13</v>
      </c>
      <c r="L248">
        <v>-11</v>
      </c>
      <c r="M248">
        <v>-16</v>
      </c>
      <c r="R248" t="s">
        <v>79</v>
      </c>
      <c r="U248" s="5"/>
      <c r="V248" s="5"/>
      <c r="W248" s="5"/>
      <c r="X248" s="5"/>
      <c r="Y248" s="5">
        <v>1.8456254536829499E-8</v>
      </c>
      <c r="Z248" s="5">
        <v>4.1735905792997099E-8</v>
      </c>
      <c r="AA248" s="5">
        <v>8.7601233926776999E-8</v>
      </c>
      <c r="AB248" s="5">
        <v>1.7232873457034E-7</v>
      </c>
      <c r="AC248" s="5">
        <v>3.2030605713197301E-7</v>
      </c>
      <c r="AD248" s="5">
        <v>5.6635006478883099E-7</v>
      </c>
      <c r="AE248" s="5">
        <v>9.5811237889474292E-7</v>
      </c>
      <c r="AF248" s="5">
        <v>1.5584383140080799E-6</v>
      </c>
      <c r="AG248" s="5">
        <v>2.4475458780534999E-6</v>
      </c>
      <c r="AH248" s="5">
        <v>3.7249044757502801E-6</v>
      </c>
      <c r="AI248" s="5">
        <v>5.5107149450775602E-6</v>
      </c>
      <c r="AJ248" s="5">
        <v>7.9469199641179698E-6</v>
      </c>
      <c r="AK248" s="5">
        <v>1.11977032586276E-5</v>
      </c>
      <c r="AV248">
        <v>11</v>
      </c>
      <c r="AW248">
        <v>1744</v>
      </c>
      <c r="AX248">
        <v>-70</v>
      </c>
      <c r="AY248">
        <v>30</v>
      </c>
      <c r="AZ248">
        <v>4</v>
      </c>
      <c r="BA248">
        <v>1489</v>
      </c>
      <c r="BB248">
        <v>-61</v>
      </c>
      <c r="BG248">
        <v>1</v>
      </c>
      <c r="BH248" s="5">
        <v>1300000000</v>
      </c>
      <c r="BM248">
        <v>1.6</v>
      </c>
      <c r="BN248">
        <f>336*265.4</f>
        <v>89174.399999999994</v>
      </c>
      <c r="BO248">
        <f t="shared" ref="BO248:BO262" si="12">BN248*BM248</f>
        <v>142679.04000000001</v>
      </c>
      <c r="BP248" t="s">
        <v>173</v>
      </c>
      <c r="BQ248" t="s">
        <v>241</v>
      </c>
      <c r="BR248">
        <v>60</v>
      </c>
      <c r="BS248">
        <v>24</v>
      </c>
      <c r="BT248" t="s">
        <v>149</v>
      </c>
      <c r="BU248" t="s">
        <v>294</v>
      </c>
      <c r="BV248" t="s">
        <v>623</v>
      </c>
      <c r="BW248" t="s">
        <v>675</v>
      </c>
    </row>
    <row r="249" spans="1:75" x14ac:dyDescent="0.75">
      <c r="B249" t="s">
        <v>287</v>
      </c>
      <c r="C249" t="s">
        <v>292</v>
      </c>
      <c r="D249" s="30" t="s">
        <v>643</v>
      </c>
      <c r="E249" s="30" t="s">
        <v>645</v>
      </c>
      <c r="F249">
        <v>49</v>
      </c>
      <c r="H249" t="s">
        <v>78</v>
      </c>
      <c r="I249" s="4">
        <v>0.1</v>
      </c>
      <c r="J249" s="4">
        <f>0.204/2</f>
        <v>0.10199999999999999</v>
      </c>
      <c r="K249">
        <v>11.14</v>
      </c>
      <c r="L249">
        <v>-11</v>
      </c>
      <c r="M249">
        <v>-24</v>
      </c>
      <c r="R249" t="s">
        <v>79</v>
      </c>
      <c r="U249" s="5"/>
      <c r="V249" s="5"/>
      <c r="W249" s="5"/>
      <c r="X249" s="5"/>
      <c r="Y249" s="5">
        <v>4.4699067413138997E-8</v>
      </c>
      <c r="Z249" s="5">
        <v>9.4436216874598604E-8</v>
      </c>
      <c r="AA249" s="5">
        <v>1.8622442842756E-7</v>
      </c>
      <c r="AB249" s="5">
        <v>3.4587726982279999E-7</v>
      </c>
      <c r="AC249" s="5">
        <v>6.0962956064581395E-7</v>
      </c>
      <c r="AD249" s="5">
        <v>1.0261576930089999E-6</v>
      </c>
      <c r="AE249" s="5">
        <v>1.65839300108678E-6</v>
      </c>
      <c r="AF249" s="5">
        <v>2.58500767558342E-6</v>
      </c>
      <c r="AG249" s="5">
        <v>3.9014813378937699E-6</v>
      </c>
      <c r="AH249" s="5">
        <v>5.72069003231386E-6</v>
      </c>
      <c r="AI249" s="5">
        <v>8.1729935179942596E-6</v>
      </c>
      <c r="AJ249" s="5">
        <v>1.1405827888425E-5</v>
      </c>
      <c r="AK249" s="5">
        <v>1.5582836489788499E-5</v>
      </c>
      <c r="AV249">
        <v>5.6</v>
      </c>
      <c r="AW249">
        <v>1571</v>
      </c>
      <c r="AX249">
        <v>-69</v>
      </c>
      <c r="AY249">
        <v>30</v>
      </c>
      <c r="AZ249">
        <v>2.4</v>
      </c>
      <c r="BA249">
        <v>1362</v>
      </c>
      <c r="BB249">
        <v>-61</v>
      </c>
      <c r="BG249">
        <v>0.92</v>
      </c>
      <c r="BH249" s="5">
        <v>110000000</v>
      </c>
      <c r="BM249">
        <v>1.6</v>
      </c>
      <c r="BN249">
        <f>336*229</f>
        <v>76944</v>
      </c>
      <c r="BO249">
        <f t="shared" si="12"/>
        <v>123110.40000000001</v>
      </c>
      <c r="BP249" t="s">
        <v>173</v>
      </c>
      <c r="BQ249" t="s">
        <v>241</v>
      </c>
      <c r="BR249">
        <v>60</v>
      </c>
      <c r="BS249">
        <v>24</v>
      </c>
      <c r="BT249" t="s">
        <v>149</v>
      </c>
      <c r="BU249" t="s">
        <v>294</v>
      </c>
      <c r="BV249" t="s">
        <v>623</v>
      </c>
      <c r="BW249" t="s">
        <v>675</v>
      </c>
    </row>
    <row r="250" spans="1:75" x14ac:dyDescent="0.75">
      <c r="B250" t="s">
        <v>287</v>
      </c>
      <c r="C250" t="s">
        <v>292</v>
      </c>
      <c r="D250" s="30" t="s">
        <v>643</v>
      </c>
      <c r="E250" s="30" t="s">
        <v>645</v>
      </c>
      <c r="F250">
        <v>49</v>
      </c>
      <c r="H250" t="s">
        <v>78</v>
      </c>
      <c r="I250" s="4">
        <v>4.9000000000000002E-2</v>
      </c>
      <c r="J250" s="4">
        <v>0.05</v>
      </c>
      <c r="K250">
        <v>5.79</v>
      </c>
      <c r="L250">
        <v>-19</v>
      </c>
      <c r="M250">
        <v>-24</v>
      </c>
      <c r="R250" t="s">
        <v>79</v>
      </c>
      <c r="U250" s="5"/>
      <c r="V250" s="5"/>
      <c r="W250" s="5"/>
      <c r="X250" s="5"/>
      <c r="Y250" s="5">
        <v>8.3540266889993999E-8</v>
      </c>
      <c r="Z250" s="5">
        <v>1.5471004040954901E-7</v>
      </c>
      <c r="AA250" s="5">
        <v>2.7278501100909698E-7</v>
      </c>
      <c r="AB250" s="5">
        <v>4.6050265772652502E-7</v>
      </c>
      <c r="AC250" s="5">
        <v>7.4787381786465702E-7</v>
      </c>
      <c r="AD250" s="5">
        <v>1.1732519016756E-6</v>
      </c>
      <c r="AE250" s="5">
        <v>1.78426878046932E-6</v>
      </c>
      <c r="AF250" s="5">
        <v>2.63858932533477E-6</v>
      </c>
      <c r="AG250" s="5">
        <v>3.8044488149388202E-6</v>
      </c>
      <c r="AH250" s="5">
        <v>5.3609508603407004E-6</v>
      </c>
      <c r="AI250" s="5">
        <v>7.3981167815809504E-6</v>
      </c>
      <c r="AJ250" s="5">
        <v>1.00166895044172E-5</v>
      </c>
      <c r="AK250" s="3">
        <v>1.3327705357283E-5</v>
      </c>
      <c r="AV250">
        <v>5.9</v>
      </c>
      <c r="AW250">
        <v>1778</v>
      </c>
      <c r="AX250">
        <v>-87</v>
      </c>
      <c r="AY250">
        <v>30</v>
      </c>
      <c r="AZ250">
        <v>1.2</v>
      </c>
      <c r="BA250">
        <v>1355</v>
      </c>
      <c r="BB250">
        <v>-69</v>
      </c>
      <c r="BG250">
        <v>0.8</v>
      </c>
      <c r="BH250" s="5">
        <v>1900000</v>
      </c>
      <c r="BM250">
        <v>1.6</v>
      </c>
      <c r="BN250">
        <f t="shared" ref="BN250" si="13">336*229</f>
        <v>76944</v>
      </c>
      <c r="BO250">
        <f t="shared" si="12"/>
        <v>123110.40000000001</v>
      </c>
      <c r="BP250" t="s">
        <v>173</v>
      </c>
      <c r="BQ250" t="s">
        <v>241</v>
      </c>
      <c r="BR250">
        <v>60</v>
      </c>
      <c r="BS250">
        <v>24</v>
      </c>
      <c r="BT250" t="s">
        <v>149</v>
      </c>
      <c r="BU250" t="s">
        <v>294</v>
      </c>
      <c r="BV250" t="s">
        <v>623</v>
      </c>
      <c r="BW250" t="s">
        <v>675</v>
      </c>
    </row>
    <row r="251" spans="1:75" x14ac:dyDescent="0.75">
      <c r="B251" t="s">
        <v>287</v>
      </c>
      <c r="C251" t="s">
        <v>292</v>
      </c>
      <c r="D251" s="30" t="s">
        <v>643</v>
      </c>
      <c r="E251" s="30" t="s">
        <v>645</v>
      </c>
      <c r="F251">
        <v>33</v>
      </c>
      <c r="H251" t="s">
        <v>78</v>
      </c>
      <c r="I251">
        <v>0.1</v>
      </c>
      <c r="J251" s="4">
        <f>0.303/2</f>
        <v>0.1515</v>
      </c>
      <c r="K251">
        <v>12.41</v>
      </c>
      <c r="L251">
        <v>-19</v>
      </c>
      <c r="M251">
        <v>-34</v>
      </c>
      <c r="R251" t="s">
        <v>79</v>
      </c>
      <c r="U251" s="5"/>
      <c r="V251" s="5"/>
      <c r="W251" s="5"/>
      <c r="X251" s="5"/>
      <c r="Y251" s="5">
        <v>6.2803918856208304E-8</v>
      </c>
      <c r="Z251" s="5">
        <v>1.2164174041498501E-7</v>
      </c>
      <c r="AA251" s="5">
        <v>2.2225437074625201E-7</v>
      </c>
      <c r="AB251" s="5">
        <v>3.8589982968094201E-7</v>
      </c>
      <c r="AC251" s="5">
        <v>6.4066116739118503E-7</v>
      </c>
      <c r="AD251" s="5">
        <v>1.0222842797057201E-6</v>
      </c>
      <c r="AE251" s="5">
        <v>1.5748098732793001E-6</v>
      </c>
      <c r="AF251" s="5">
        <v>2.3509612564650699E-6</v>
      </c>
      <c r="AG251" s="5">
        <v>3.4122687838792802E-6</v>
      </c>
      <c r="AH251" s="5">
        <v>4.8289298231202998E-6</v>
      </c>
      <c r="AI251" s="5">
        <v>6.6794185043470804E-6</v>
      </c>
      <c r="AJ251" s="3">
        <v>9.0498714306796502E-6</v>
      </c>
      <c r="AK251" s="5">
        <v>1.20332837314803E-5</v>
      </c>
      <c r="AV251">
        <v>2.5</v>
      </c>
      <c r="AW251">
        <v>1531</v>
      </c>
      <c r="AX251">
        <v>-74</v>
      </c>
      <c r="AY251">
        <v>30</v>
      </c>
      <c r="AZ251">
        <v>1.5</v>
      </c>
      <c r="BA251">
        <v>1403</v>
      </c>
      <c r="BB251">
        <v>-69</v>
      </c>
      <c r="BG251">
        <v>0.83</v>
      </c>
      <c r="BH251" s="5">
        <v>4300000</v>
      </c>
      <c r="BM251">
        <v>1.6</v>
      </c>
      <c r="BN251">
        <f>336*202</f>
        <v>67872</v>
      </c>
      <c r="BO251">
        <f t="shared" si="12"/>
        <v>108595.20000000001</v>
      </c>
      <c r="BP251" t="s">
        <v>173</v>
      </c>
      <c r="BQ251" t="s">
        <v>241</v>
      </c>
      <c r="BR251">
        <v>60</v>
      </c>
      <c r="BS251">
        <v>24</v>
      </c>
      <c r="BT251" t="s">
        <v>149</v>
      </c>
      <c r="BU251" t="s">
        <v>294</v>
      </c>
      <c r="BV251" t="s">
        <v>623</v>
      </c>
      <c r="BW251" t="s">
        <v>675</v>
      </c>
    </row>
    <row r="252" spans="1:75" x14ac:dyDescent="0.75">
      <c r="B252" t="s">
        <v>287</v>
      </c>
      <c r="C252" t="s">
        <v>292</v>
      </c>
      <c r="D252" s="30" t="s">
        <v>643</v>
      </c>
      <c r="E252" s="30" t="s">
        <v>645</v>
      </c>
      <c r="F252">
        <v>33</v>
      </c>
      <c r="H252" t="s">
        <v>78</v>
      </c>
      <c r="I252">
        <v>3.3000000000000002E-2</v>
      </c>
      <c r="J252" s="4">
        <v>0.05</v>
      </c>
      <c r="K252">
        <v>4.47</v>
      </c>
      <c r="L252">
        <v>-28</v>
      </c>
      <c r="M252">
        <v>-34</v>
      </c>
      <c r="R252" t="s">
        <v>79</v>
      </c>
      <c r="U252" s="5"/>
      <c r="V252" s="5"/>
      <c r="W252" s="5"/>
      <c r="X252" s="5"/>
      <c r="Y252" s="5">
        <v>1.2178788510881399E-7</v>
      </c>
      <c r="Z252" s="5">
        <v>2.1814239850614701E-7</v>
      </c>
      <c r="AA252" s="5">
        <v>3.7094492418742201E-7</v>
      </c>
      <c r="AB252" s="5">
        <v>6.0280255342749797E-7</v>
      </c>
      <c r="AC252" s="5">
        <v>9.4131718285794798E-7</v>
      </c>
      <c r="AD252" s="5">
        <v>1.41911440317807E-6</v>
      </c>
      <c r="AE252" s="5">
        <v>2.0736761765765899E-6</v>
      </c>
      <c r="AF252" s="5">
        <v>2.9469945521063099E-6</v>
      </c>
      <c r="AG252" s="5">
        <v>4.08507358347734E-6</v>
      </c>
      <c r="AH252" s="5">
        <v>5.5373123944759497E-6</v>
      </c>
      <c r="AI252" s="3">
        <v>7.3558044759142401E-6</v>
      </c>
      <c r="AJ252" s="5">
        <v>9.5945875418953105E-6</v>
      </c>
      <c r="AK252" s="5">
        <v>1.2308875438211299E-5</v>
      </c>
      <c r="AV252">
        <v>0.78</v>
      </c>
      <c r="AW252">
        <v>1326</v>
      </c>
      <c r="AX252">
        <v>-73</v>
      </c>
      <c r="AY252">
        <v>30</v>
      </c>
      <c r="AZ252">
        <v>1.1000000000000001</v>
      </c>
      <c r="BA252">
        <v>1423</v>
      </c>
      <c r="BB252">
        <v>-78</v>
      </c>
      <c r="BG252">
        <v>0.73</v>
      </c>
      <c r="BH252" s="5">
        <v>170000</v>
      </c>
      <c r="BM252">
        <v>1.6</v>
      </c>
      <c r="BN252">
        <f>336*202</f>
        <v>67872</v>
      </c>
      <c r="BO252">
        <f t="shared" si="12"/>
        <v>108595.20000000001</v>
      </c>
      <c r="BP252" t="s">
        <v>173</v>
      </c>
      <c r="BQ252" t="s">
        <v>241</v>
      </c>
      <c r="BR252">
        <v>60</v>
      </c>
      <c r="BS252">
        <v>24</v>
      </c>
      <c r="BT252" t="s">
        <v>149</v>
      </c>
      <c r="BU252" t="s">
        <v>294</v>
      </c>
      <c r="BV252" t="s">
        <v>623</v>
      </c>
      <c r="BW252" t="s">
        <v>675</v>
      </c>
    </row>
    <row r="253" spans="1:75" x14ac:dyDescent="0.75">
      <c r="B253" t="s">
        <v>287</v>
      </c>
      <c r="C253" t="s">
        <v>292</v>
      </c>
      <c r="D253" s="30" t="s">
        <v>643</v>
      </c>
      <c r="E253" s="30" t="s">
        <v>645</v>
      </c>
      <c r="F253">
        <v>29</v>
      </c>
      <c r="H253" t="s">
        <v>78</v>
      </c>
      <c r="I253">
        <v>0.1</v>
      </c>
      <c r="J253" s="4">
        <f>0.345/2</f>
        <v>0.17249999999999999</v>
      </c>
      <c r="K253">
        <v>12.78</v>
      </c>
      <c r="L253">
        <v>-20</v>
      </c>
      <c r="M253">
        <v>-39</v>
      </c>
      <c r="R253" t="s">
        <v>79</v>
      </c>
      <c r="U253" s="5"/>
      <c r="V253" s="5"/>
      <c r="W253" s="5"/>
      <c r="X253" s="5"/>
      <c r="Y253" s="5">
        <v>5.7273185869434999E-8</v>
      </c>
      <c r="Z253" s="5">
        <v>1.08233950860994E-7</v>
      </c>
      <c r="AA253" s="5">
        <v>1.9477097566105001E-7</v>
      </c>
      <c r="AB253" s="5">
        <v>3.3556394061498702E-7</v>
      </c>
      <c r="AC253" s="5">
        <v>5.5606681710321697E-7</v>
      </c>
      <c r="AD253" s="5">
        <v>8.8984595863596196E-7</v>
      </c>
      <c r="AE253" s="5">
        <v>1.3798914655576799E-6</v>
      </c>
      <c r="AF253" s="5">
        <v>2.0798432754602302E-6</v>
      </c>
      <c r="AG253" s="5">
        <v>3.0550782711799499E-6</v>
      </c>
      <c r="AH253" s="3">
        <v>4.3836127970182802E-6</v>
      </c>
      <c r="AI253" s="5">
        <v>6.1567852235203403E-6</v>
      </c>
      <c r="AJ253" s="5">
        <v>8.4796945137469596E-6</v>
      </c>
      <c r="AK253" s="5">
        <v>1.14713821619835E-5</v>
      </c>
      <c r="AO253">
        <v>0.17699999999999999</v>
      </c>
      <c r="AP253">
        <v>72.7</v>
      </c>
      <c r="AQ253" t="s">
        <v>293</v>
      </c>
      <c r="AV253">
        <v>11.9</v>
      </c>
      <c r="AW253">
        <v>1978</v>
      </c>
      <c r="AX253">
        <v>-91</v>
      </c>
      <c r="AY253">
        <v>30</v>
      </c>
      <c r="AZ253">
        <v>1.7</v>
      </c>
      <c r="BA253">
        <v>1438</v>
      </c>
      <c r="BB253">
        <v>-70</v>
      </c>
      <c r="BG253">
        <v>0.83</v>
      </c>
      <c r="BH253" s="5">
        <v>5200000</v>
      </c>
      <c r="BJ253" s="5">
        <v>6.1700000000000004E-10</v>
      </c>
      <c r="BK253">
        <v>72.7</v>
      </c>
      <c r="BM253">
        <v>1.6</v>
      </c>
      <c r="BN253">
        <f>336*196</f>
        <v>65856</v>
      </c>
      <c r="BO253">
        <f t="shared" si="12"/>
        <v>105369.60000000001</v>
      </c>
      <c r="BP253" t="s">
        <v>173</v>
      </c>
      <c r="BQ253" t="s">
        <v>241</v>
      </c>
      <c r="BR253">
        <v>60</v>
      </c>
      <c r="BS253">
        <v>24</v>
      </c>
      <c r="BT253" t="s">
        <v>149</v>
      </c>
      <c r="BU253" t="s">
        <v>294</v>
      </c>
      <c r="BV253" t="s">
        <v>623</v>
      </c>
      <c r="BW253" t="s">
        <v>675</v>
      </c>
    </row>
    <row r="254" spans="1:75" x14ac:dyDescent="0.75">
      <c r="B254" t="s">
        <v>287</v>
      </c>
      <c r="C254" t="s">
        <v>292</v>
      </c>
      <c r="D254" s="30" t="s">
        <v>643</v>
      </c>
      <c r="E254" s="30" t="s">
        <v>645</v>
      </c>
      <c r="F254">
        <v>20</v>
      </c>
      <c r="H254" t="s">
        <v>78</v>
      </c>
      <c r="I254">
        <v>0.1</v>
      </c>
      <c r="J254" s="4">
        <f>0.5/2</f>
        <v>0.25</v>
      </c>
      <c r="K254">
        <v>13.68</v>
      </c>
      <c r="L254">
        <v>-31</v>
      </c>
      <c r="M254">
        <v>-52</v>
      </c>
      <c r="R254" t="s">
        <v>79</v>
      </c>
      <c r="U254" s="5"/>
      <c r="V254" s="5"/>
      <c r="W254" s="5"/>
      <c r="X254" s="5"/>
      <c r="Y254" s="5">
        <v>9.8105712801604498E-8</v>
      </c>
      <c r="Z254" s="5">
        <v>1.6876935714793401E-7</v>
      </c>
      <c r="AA254" s="5">
        <v>2.7928039222986498E-7</v>
      </c>
      <c r="AB254" s="5">
        <v>4.46339407253383E-7</v>
      </c>
      <c r="AC254" s="5">
        <v>6.9130491865279601E-7</v>
      </c>
      <c r="AD254" s="5">
        <v>1.0407903167681899E-6</v>
      </c>
      <c r="AE254" s="5">
        <v>1.5271904513035101E-6</v>
      </c>
      <c r="AF254" s="5">
        <v>2.1891157246955299E-6</v>
      </c>
      <c r="AG254" s="3">
        <v>3.07171669807497E-6</v>
      </c>
      <c r="AH254" s="5">
        <v>4.2268878355239002E-6</v>
      </c>
      <c r="AI254" s="5">
        <v>5.7133446493583302E-6</v>
      </c>
      <c r="AJ254" s="5">
        <v>7.5965737903369E-6</v>
      </c>
      <c r="AK254" s="5">
        <v>9.9486602872216192E-6</v>
      </c>
      <c r="AV254">
        <v>5.7</v>
      </c>
      <c r="AW254">
        <v>1975</v>
      </c>
      <c r="AX254">
        <v>-101</v>
      </c>
      <c r="AY254">
        <v>30</v>
      </c>
      <c r="AZ254">
        <v>1.1000000000000001</v>
      </c>
      <c r="BA254">
        <v>1491</v>
      </c>
      <c r="BB254">
        <v>-81</v>
      </c>
      <c r="BG254">
        <v>0.73</v>
      </c>
      <c r="BH254" s="5">
        <v>140000</v>
      </c>
      <c r="BM254">
        <v>1.6</v>
      </c>
      <c r="BN254">
        <f>336*181</f>
        <v>60816</v>
      </c>
      <c r="BO254">
        <f t="shared" si="12"/>
        <v>97305.600000000006</v>
      </c>
      <c r="BP254" t="s">
        <v>173</v>
      </c>
      <c r="BQ254" t="s">
        <v>241</v>
      </c>
      <c r="BR254">
        <v>60</v>
      </c>
      <c r="BS254">
        <v>24</v>
      </c>
      <c r="BT254" t="s">
        <v>149</v>
      </c>
      <c r="BU254" t="s">
        <v>294</v>
      </c>
      <c r="BV254" t="s">
        <v>623</v>
      </c>
      <c r="BW254" t="s">
        <v>675</v>
      </c>
    </row>
    <row r="255" spans="1:75" x14ac:dyDescent="0.75">
      <c r="B255" t="s">
        <v>287</v>
      </c>
      <c r="C255" t="s">
        <v>292</v>
      </c>
      <c r="D255" s="30" t="s">
        <v>643</v>
      </c>
      <c r="E255" s="30" t="s">
        <v>645</v>
      </c>
      <c r="F255">
        <v>7</v>
      </c>
      <c r="H255" t="s">
        <v>78</v>
      </c>
      <c r="I255">
        <v>7.0000000000000001E-3</v>
      </c>
      <c r="J255" s="4">
        <f>0.1/2</f>
        <v>0.05</v>
      </c>
      <c r="K255">
        <v>1.24</v>
      </c>
      <c r="L255">
        <v>-80</v>
      </c>
      <c r="M255">
        <v>-80</v>
      </c>
      <c r="R255" t="s">
        <v>79</v>
      </c>
      <c r="U255" s="5"/>
      <c r="V255" s="5"/>
      <c r="W255" s="5"/>
      <c r="X255" s="5"/>
      <c r="Y255" s="5">
        <v>1.27196002269088E-7</v>
      </c>
      <c r="Z255" s="5">
        <v>1.7666054682227199E-7</v>
      </c>
      <c r="AA255" s="5">
        <v>2.4062249557041998E-7</v>
      </c>
      <c r="AB255" s="5">
        <v>3.21948440657209E-7</v>
      </c>
      <c r="AC255" s="5">
        <v>4.2377270818428098E-7</v>
      </c>
      <c r="AD255" s="5">
        <v>5.4947791009422205E-7</v>
      </c>
      <c r="AE255" s="5">
        <v>7.0267106660309501E-7</v>
      </c>
      <c r="AF255" s="3">
        <v>8.8715613475968296E-7</v>
      </c>
      <c r="AG255" s="5">
        <v>1.1069038027748001E-6</v>
      </c>
      <c r="AH255" s="5">
        <v>1.36601939565305E-6</v>
      </c>
      <c r="AI255" s="5">
        <v>1.6687096937579199E-6</v>
      </c>
      <c r="AJ255" s="5">
        <v>2.01924940030035E-6</v>
      </c>
      <c r="AK255" s="5">
        <v>2.4219479136385799E-6</v>
      </c>
      <c r="AV255">
        <v>0.16</v>
      </c>
      <c r="AW255">
        <v>1810</v>
      </c>
      <c r="AX255">
        <v>-131</v>
      </c>
      <c r="AY255">
        <v>30</v>
      </c>
      <c r="AZ255">
        <v>0.15</v>
      </c>
      <c r="BA255">
        <v>1782</v>
      </c>
      <c r="BB255">
        <v>-130</v>
      </c>
      <c r="BG255">
        <v>0.46</v>
      </c>
      <c r="BH255">
        <v>7</v>
      </c>
      <c r="BM255">
        <v>1.6</v>
      </c>
      <c r="BN255">
        <f>336*159.6</f>
        <v>53625.599999999999</v>
      </c>
      <c r="BO255">
        <f t="shared" si="12"/>
        <v>85800.960000000006</v>
      </c>
      <c r="BP255" t="s">
        <v>173</v>
      </c>
      <c r="BQ255" t="s">
        <v>241</v>
      </c>
      <c r="BR255">
        <v>60</v>
      </c>
      <c r="BS255">
        <v>24</v>
      </c>
      <c r="BT255" t="s">
        <v>149</v>
      </c>
      <c r="BU255" t="s">
        <v>294</v>
      </c>
      <c r="BV255" t="s">
        <v>623</v>
      </c>
      <c r="BW255" t="s">
        <v>675</v>
      </c>
    </row>
    <row r="256" spans="1:75" x14ac:dyDescent="0.75">
      <c r="B256" t="s">
        <v>287</v>
      </c>
      <c r="C256" t="s">
        <v>292</v>
      </c>
      <c r="D256" s="30" t="s">
        <v>643</v>
      </c>
      <c r="E256" s="30" t="s">
        <v>645</v>
      </c>
      <c r="F256">
        <v>7</v>
      </c>
      <c r="H256" t="s">
        <v>78</v>
      </c>
      <c r="I256">
        <v>0.05</v>
      </c>
      <c r="J256" s="4">
        <f>0.714/2</f>
        <v>0.35699999999999998</v>
      </c>
      <c r="K256">
        <v>8.25</v>
      </c>
      <c r="L256">
        <v>-81</v>
      </c>
      <c r="M256">
        <v>-80</v>
      </c>
      <c r="R256" t="s">
        <v>79</v>
      </c>
      <c r="U256" s="5"/>
      <c r="V256" s="5"/>
      <c r="W256" s="5"/>
      <c r="X256" s="5"/>
      <c r="Y256" s="5">
        <v>5.8576640691874498E-8</v>
      </c>
      <c r="Z256" s="5">
        <v>8.4609271246228299E-8</v>
      </c>
      <c r="AA256" s="5">
        <v>1.2029120944464901E-7</v>
      </c>
      <c r="AB256" s="5">
        <v>1.68501260992749E-7</v>
      </c>
      <c r="AC256" s="5">
        <v>2.3276702147071501E-7</v>
      </c>
      <c r="AD256" s="5">
        <v>3.1736045719395799E-7</v>
      </c>
      <c r="AE256" s="3">
        <v>4.2739823566655101E-7</v>
      </c>
      <c r="AF256" s="5">
        <v>5.6894573583454901E-7</v>
      </c>
      <c r="AG256" s="5">
        <v>7.4912356350074405E-7</v>
      </c>
      <c r="AH256" s="5">
        <v>9.7621532189133897E-7</v>
      </c>
      <c r="AI256" s="5">
        <v>1.2597753421389599E-6</v>
      </c>
      <c r="AJ256" s="5">
        <v>1.6107350629160299E-6</v>
      </c>
      <c r="AK256" s="5">
        <v>2.0415067612098898E-6</v>
      </c>
      <c r="AV256">
        <v>34</v>
      </c>
      <c r="AW256">
        <v>3904</v>
      </c>
      <c r="AX256">
        <v>-195</v>
      </c>
      <c r="AY256">
        <v>30</v>
      </c>
      <c r="AZ256">
        <v>0.67</v>
      </c>
      <c r="BA256">
        <v>2165</v>
      </c>
      <c r="BB256">
        <v>-131</v>
      </c>
      <c r="BG256">
        <v>0.56000000000000005</v>
      </c>
      <c r="BH256">
        <v>125</v>
      </c>
      <c r="BM256">
        <v>1.6</v>
      </c>
      <c r="BN256">
        <f t="shared" ref="BN256:BN257" si="14">336*159.6</f>
        <v>53625.599999999999</v>
      </c>
      <c r="BO256">
        <f t="shared" si="12"/>
        <v>85800.960000000006</v>
      </c>
      <c r="BP256" t="s">
        <v>173</v>
      </c>
      <c r="BQ256" t="s">
        <v>241</v>
      </c>
      <c r="BR256">
        <v>60</v>
      </c>
      <c r="BS256">
        <v>24</v>
      </c>
      <c r="BT256" t="s">
        <v>149</v>
      </c>
      <c r="BU256" t="s">
        <v>294</v>
      </c>
      <c r="BV256" t="s">
        <v>623</v>
      </c>
      <c r="BW256" t="s">
        <v>675</v>
      </c>
    </row>
    <row r="257" spans="1:75" x14ac:dyDescent="0.75">
      <c r="B257" t="s">
        <v>287</v>
      </c>
      <c r="C257" t="s">
        <v>292</v>
      </c>
      <c r="D257" s="30" t="s">
        <v>643</v>
      </c>
      <c r="E257" s="30" t="s">
        <v>645</v>
      </c>
      <c r="F257">
        <v>7</v>
      </c>
      <c r="H257" t="s">
        <v>78</v>
      </c>
      <c r="I257">
        <v>0.1</v>
      </c>
      <c r="J257" s="4">
        <f>1.429/2</f>
        <v>0.71450000000000002</v>
      </c>
      <c r="K257">
        <v>15.25</v>
      </c>
      <c r="L257">
        <v>-65</v>
      </c>
      <c r="M257">
        <v>-80</v>
      </c>
      <c r="R257" t="s">
        <v>84</v>
      </c>
      <c r="U257" s="5"/>
      <c r="V257" s="5"/>
      <c r="W257" s="5"/>
      <c r="X257" s="5"/>
      <c r="Y257" s="5">
        <v>4.1095014280118001E-8</v>
      </c>
      <c r="Z257" s="5">
        <v>6.8239989403110703E-8</v>
      </c>
      <c r="AA257" s="5">
        <v>1.0925699728675699E-7</v>
      </c>
      <c r="AB257" s="5">
        <v>1.6929879953667499E-7</v>
      </c>
      <c r="AC257" s="5">
        <v>2.54723935158381E-7</v>
      </c>
      <c r="AD257" s="3">
        <v>3.73191539024691E-7</v>
      </c>
      <c r="AE257" s="5">
        <v>5.3372941533789505E-7</v>
      </c>
      <c r="AF257" s="5">
        <v>7.4677267102636905E-7</v>
      </c>
      <c r="AG257" s="5">
        <v>1.0241717689291199E-6</v>
      </c>
      <c r="AH257" s="5">
        <v>1.37917028747892E-6</v>
      </c>
      <c r="AI257" s="5">
        <v>1.82635389643981E-6</v>
      </c>
      <c r="AJ257" s="5">
        <v>2.38157303536624E-6</v>
      </c>
      <c r="AK257" s="5">
        <v>3.06184249965847E-6</v>
      </c>
      <c r="AV257">
        <v>0.86</v>
      </c>
      <c r="AW257">
        <v>1830</v>
      </c>
      <c r="AX257">
        <v>-100</v>
      </c>
      <c r="AY257">
        <v>30</v>
      </c>
      <c r="AZ257">
        <v>2.5</v>
      </c>
      <c r="BA257">
        <v>2179</v>
      </c>
      <c r="BB257">
        <v>-115</v>
      </c>
      <c r="BG257">
        <v>0.68</v>
      </c>
      <c r="BH257">
        <v>8993</v>
      </c>
      <c r="BM257">
        <v>1.6</v>
      </c>
      <c r="BN257">
        <f t="shared" si="14"/>
        <v>53625.599999999999</v>
      </c>
      <c r="BO257">
        <f t="shared" si="12"/>
        <v>85800.960000000006</v>
      </c>
      <c r="BP257" t="s">
        <v>173</v>
      </c>
      <c r="BQ257" t="s">
        <v>241</v>
      </c>
      <c r="BR257">
        <v>60</v>
      </c>
      <c r="BS257">
        <v>24</v>
      </c>
      <c r="BT257" t="s">
        <v>149</v>
      </c>
      <c r="BU257" t="s">
        <v>294</v>
      </c>
      <c r="BV257" t="s">
        <v>623</v>
      </c>
      <c r="BW257" t="s">
        <v>675</v>
      </c>
    </row>
    <row r="258" spans="1:75" x14ac:dyDescent="0.75">
      <c r="B258" t="s">
        <v>287</v>
      </c>
      <c r="C258" t="s">
        <v>295</v>
      </c>
      <c r="D258" s="30" t="s">
        <v>643</v>
      </c>
      <c r="E258" s="30" t="s">
        <v>644</v>
      </c>
      <c r="F258">
        <v>72</v>
      </c>
      <c r="H258" t="s">
        <v>78</v>
      </c>
      <c r="I258">
        <v>0.1</v>
      </c>
      <c r="J258" s="4">
        <f>0.139/2</f>
        <v>6.9500000000000006E-2</v>
      </c>
      <c r="K258">
        <v>8.5299999999999994</v>
      </c>
      <c r="L258">
        <v>-13</v>
      </c>
      <c r="M258">
        <v>-19</v>
      </c>
      <c r="R258" t="s">
        <v>79</v>
      </c>
      <c r="U258" s="5"/>
      <c r="V258" s="5"/>
      <c r="W258" s="5"/>
      <c r="X258" s="5"/>
      <c r="Y258" s="5">
        <v>2.8883369736097201E-8</v>
      </c>
      <c r="Z258" s="5">
        <v>6.3556470398197204E-8</v>
      </c>
      <c r="AA258" s="5">
        <v>1.2754607405210399E-7</v>
      </c>
      <c r="AB258" s="5">
        <v>2.3699760466139099E-7</v>
      </c>
      <c r="AC258" s="3">
        <v>4.1266726098595198E-7</v>
      </c>
      <c r="AD258" s="5">
        <v>6.7985602277262001E-7</v>
      </c>
      <c r="AE258" s="5">
        <v>1.0680462094634001E-6</v>
      </c>
      <c r="AF258" s="5">
        <v>1.61029227040082E-6</v>
      </c>
      <c r="AG258" s="5">
        <v>2.3424347394527998E-6</v>
      </c>
      <c r="AH258" s="5">
        <v>3.3022104921766498E-6</v>
      </c>
      <c r="AI258" s="5">
        <v>4.5283272063133803E-6</v>
      </c>
      <c r="AJ258" s="5">
        <v>6.0595590345454501E-6</v>
      </c>
      <c r="AK258" s="5">
        <v>7.9339071386356997E-6</v>
      </c>
      <c r="AV258">
        <v>0.22</v>
      </c>
      <c r="AW258">
        <v>991</v>
      </c>
      <c r="AX258">
        <v>-46</v>
      </c>
      <c r="AY258">
        <v>30</v>
      </c>
      <c r="AZ258">
        <v>1.1000000000000001</v>
      </c>
      <c r="BA258">
        <v>1349</v>
      </c>
      <c r="BB258">
        <v>-63</v>
      </c>
      <c r="BG258">
        <v>0.87</v>
      </c>
      <c r="BH258" s="5">
        <v>13000000</v>
      </c>
      <c r="BM258">
        <v>1.3</v>
      </c>
      <c r="BN258">
        <f>220*308</f>
        <v>67760</v>
      </c>
      <c r="BO258">
        <f t="shared" si="12"/>
        <v>88088</v>
      </c>
      <c r="BP258" t="s">
        <v>173</v>
      </c>
      <c r="BQ258" t="s">
        <v>241</v>
      </c>
      <c r="BR258">
        <v>60</v>
      </c>
      <c r="BS258">
        <v>24</v>
      </c>
      <c r="BT258" t="s">
        <v>149</v>
      </c>
      <c r="BU258" t="s">
        <v>294</v>
      </c>
      <c r="BV258" t="s">
        <v>623</v>
      </c>
      <c r="BW258" t="s">
        <v>675</v>
      </c>
    </row>
    <row r="259" spans="1:75" x14ac:dyDescent="0.75">
      <c r="B259" t="s">
        <v>287</v>
      </c>
      <c r="C259" t="s">
        <v>295</v>
      </c>
      <c r="D259" s="30" t="s">
        <v>643</v>
      </c>
      <c r="E259" s="30" t="s">
        <v>644</v>
      </c>
      <c r="F259">
        <v>40</v>
      </c>
      <c r="H259" t="s">
        <v>78</v>
      </c>
      <c r="I259">
        <v>0.1</v>
      </c>
      <c r="J259" s="4">
        <f>0.25/2</f>
        <v>0.125</v>
      </c>
      <c r="K259">
        <v>8.69</v>
      </c>
      <c r="M259">
        <v>-36</v>
      </c>
      <c r="R259" t="s">
        <v>79</v>
      </c>
      <c r="U259" s="5"/>
      <c r="V259" s="5"/>
      <c r="W259" s="5"/>
      <c r="X259" s="5"/>
      <c r="Y259" s="5">
        <v>2.5268811276215901E-8</v>
      </c>
      <c r="Z259" s="5">
        <v>5.0542865801823799E-8</v>
      </c>
      <c r="AA259" s="5">
        <v>9.5807755818742396E-8</v>
      </c>
      <c r="AB259" s="3">
        <v>1.73141044701855E-7</v>
      </c>
      <c r="AC259" s="5">
        <v>2.9983394814287999E-7</v>
      </c>
      <c r="AD259" s="5">
        <v>4.9975776201368102E-7</v>
      </c>
      <c r="AE259" s="5">
        <v>8.0481774455860097E-7</v>
      </c>
      <c r="AF259" s="5">
        <v>1.2564403979728199E-6</v>
      </c>
      <c r="AG259" s="5">
        <v>1.90703624763949E-6</v>
      </c>
      <c r="AH259" s="5">
        <v>2.8213805673671499E-6</v>
      </c>
      <c r="AI259" s="5">
        <v>4.07785855316151E-6</v>
      </c>
      <c r="AJ259" s="5">
        <v>5.7695284428737501E-6</v>
      </c>
      <c r="AK259" s="5">
        <v>8.0049651252652001E-6</v>
      </c>
      <c r="AV259">
        <v>19</v>
      </c>
      <c r="AW259">
        <v>2112</v>
      </c>
      <c r="AX259">
        <v>-90</v>
      </c>
      <c r="AY259">
        <v>30</v>
      </c>
      <c r="BG259">
        <v>0.9</v>
      </c>
      <c r="BH259" s="5">
        <v>32000000</v>
      </c>
      <c r="BM259">
        <v>1.3</v>
      </c>
      <c r="BN259">
        <f>220*302</f>
        <v>66440</v>
      </c>
      <c r="BO259">
        <f t="shared" si="12"/>
        <v>86372</v>
      </c>
      <c r="BP259" t="s">
        <v>173</v>
      </c>
      <c r="BQ259" t="s">
        <v>241</v>
      </c>
      <c r="BR259">
        <v>60</v>
      </c>
      <c r="BS259">
        <v>24</v>
      </c>
      <c r="BT259" t="s">
        <v>149</v>
      </c>
      <c r="BU259" t="s">
        <v>294</v>
      </c>
      <c r="BV259" t="s">
        <v>623</v>
      </c>
      <c r="BW259" t="s">
        <v>675</v>
      </c>
    </row>
    <row r="260" spans="1:75" x14ac:dyDescent="0.75">
      <c r="A260" s="1"/>
      <c r="B260" s="1" t="s">
        <v>287</v>
      </c>
      <c r="C260" s="1" t="s">
        <v>295</v>
      </c>
      <c r="D260" s="37" t="s">
        <v>643</v>
      </c>
      <c r="E260" s="37" t="s">
        <v>644</v>
      </c>
      <c r="F260" s="1">
        <v>14</v>
      </c>
      <c r="G260" s="1"/>
      <c r="H260" s="1" t="s">
        <v>78</v>
      </c>
      <c r="I260" s="1">
        <v>0.1</v>
      </c>
      <c r="J260" s="2">
        <f>0.714/2</f>
        <v>0.35699999999999998</v>
      </c>
      <c r="K260" s="1">
        <v>8.82</v>
      </c>
      <c r="L260" s="1">
        <v>-62</v>
      </c>
      <c r="M260" s="1">
        <v>-61</v>
      </c>
      <c r="N260" s="1"/>
      <c r="O260" s="1"/>
      <c r="P260" s="1"/>
      <c r="Q260" s="1"/>
      <c r="R260" s="1" t="s">
        <v>79</v>
      </c>
      <c r="S260" s="1"/>
      <c r="T260" s="1"/>
      <c r="U260" s="3"/>
      <c r="V260" s="3"/>
      <c r="W260" s="3"/>
      <c r="X260" s="3"/>
      <c r="Y260" s="3">
        <v>1.03423053524148E-8</v>
      </c>
      <c r="Z260" s="3">
        <v>1.8589963453361899E-8</v>
      </c>
      <c r="AA260" s="3">
        <v>3.2034058496322403E-8</v>
      </c>
      <c r="AB260" s="3">
        <v>5.3151050769658003E-8</v>
      </c>
      <c r="AC260" s="3">
        <v>8.5235488789015801E-8</v>
      </c>
      <c r="AD260" s="3">
        <v>1.3254659708198601E-7</v>
      </c>
      <c r="AE260" s="3">
        <v>2.00451156299336E-7</v>
      </c>
      <c r="AF260" s="3">
        <v>2.9555698788397498E-7</v>
      </c>
      <c r="AG260" s="3">
        <v>4.2583183695772902E-7</v>
      </c>
      <c r="AH260" s="3">
        <v>6.0070320617473602E-7</v>
      </c>
      <c r="AI260" s="3">
        <v>8.3113563842594499E-7</v>
      </c>
      <c r="AJ260" s="3">
        <v>1.12968298766081E-6</v>
      </c>
      <c r="AK260" s="3">
        <v>1.51051427487611E-6</v>
      </c>
      <c r="AL260" s="1"/>
      <c r="AM260" s="1"/>
      <c r="AN260" s="1"/>
      <c r="AO260" s="1"/>
      <c r="AP260" s="1"/>
      <c r="AQ260" s="1"/>
      <c r="AR260" s="1"/>
      <c r="AS260" s="1"/>
      <c r="AT260" s="1"/>
      <c r="AU260" s="1"/>
      <c r="AV260" s="1">
        <v>1.8</v>
      </c>
      <c r="AW260" s="1">
        <v>2101</v>
      </c>
      <c r="AX260" s="1">
        <v>-100</v>
      </c>
      <c r="AY260" s="1">
        <v>30</v>
      </c>
      <c r="AZ260" s="1">
        <v>4.8</v>
      </c>
      <c r="BA260" s="1">
        <v>2424</v>
      </c>
      <c r="BB260" s="1">
        <v>-112</v>
      </c>
      <c r="BC260" s="1"/>
      <c r="BD260" s="1"/>
      <c r="BE260" s="1"/>
      <c r="BF260" s="1"/>
      <c r="BG260" s="1">
        <v>0.78</v>
      </c>
      <c r="BH260" s="3">
        <v>120000</v>
      </c>
      <c r="BI260" s="1"/>
      <c r="BJ260" s="1"/>
      <c r="BK260" s="1"/>
      <c r="BL260" s="1"/>
      <c r="BM260" s="1">
        <v>1.3</v>
      </c>
      <c r="BN260" s="1">
        <f>220*297</f>
        <v>65340</v>
      </c>
      <c r="BO260" s="1">
        <f t="shared" si="12"/>
        <v>84942</v>
      </c>
      <c r="BP260" s="1" t="s">
        <v>173</v>
      </c>
      <c r="BQ260" s="1" t="s">
        <v>241</v>
      </c>
      <c r="BR260" s="1">
        <v>60</v>
      </c>
      <c r="BS260" s="1">
        <v>24</v>
      </c>
      <c r="BT260" s="1" t="s">
        <v>149</v>
      </c>
      <c r="BU260" s="1" t="s">
        <v>294</v>
      </c>
      <c r="BV260" t="s">
        <v>623</v>
      </c>
      <c r="BW260" t="s">
        <v>675</v>
      </c>
    </row>
    <row r="261" spans="1:75" x14ac:dyDescent="0.75">
      <c r="A261" t="s">
        <v>296</v>
      </c>
      <c r="B261" t="s">
        <v>297</v>
      </c>
      <c r="C261" t="s">
        <v>298</v>
      </c>
      <c r="D261" s="37" t="s">
        <v>642</v>
      </c>
      <c r="E261" s="37" t="s">
        <v>642</v>
      </c>
      <c r="F261">
        <v>100</v>
      </c>
      <c r="G261">
        <v>1</v>
      </c>
      <c r="H261" t="s">
        <v>78</v>
      </c>
      <c r="I261">
        <v>0.03</v>
      </c>
      <c r="J261">
        <v>0.03</v>
      </c>
      <c r="L261">
        <v>-22</v>
      </c>
      <c r="M261">
        <v>-44</v>
      </c>
      <c r="R261" t="s">
        <v>79</v>
      </c>
      <c r="U261" s="5"/>
      <c r="W261" s="5"/>
      <c r="X261" s="5"/>
      <c r="Y261" s="5">
        <v>6.8119082982605503E-7</v>
      </c>
      <c r="Z261" s="5">
        <v>1.0750737623772901E-6</v>
      </c>
      <c r="AA261" s="5">
        <v>1.6350405612504601E-6</v>
      </c>
      <c r="AB261" s="5">
        <v>2.4065756841527999E-6</v>
      </c>
      <c r="AC261" s="5">
        <v>3.4406101294200402E-6</v>
      </c>
      <c r="AD261" s="5">
        <v>4.7928529212020496E-6</v>
      </c>
      <c r="AE261" s="5">
        <v>6.5229759520016899E-6</v>
      </c>
      <c r="AF261" s="5">
        <v>8.6937001005562798E-6</v>
      </c>
      <c r="AG261" s="5">
        <v>1.1369828642580801E-5</v>
      </c>
      <c r="AH261" s="5">
        <v>1.46172693423035E-5</v>
      </c>
      <c r="AI261" s="5">
        <v>1.8502080364631799E-5</v>
      </c>
      <c r="AJ261" s="5">
        <v>2.30895681911412E-5</v>
      </c>
      <c r="AK261" s="5">
        <v>2.8443458741957E-5</v>
      </c>
      <c r="AV261">
        <v>0.82</v>
      </c>
      <c r="AW261">
        <v>1282</v>
      </c>
      <c r="AX261">
        <v>-85</v>
      </c>
      <c r="AY261">
        <v>30</v>
      </c>
      <c r="AZ261">
        <v>0.37</v>
      </c>
      <c r="BA261">
        <v>1058</v>
      </c>
      <c r="BB261">
        <v>-72</v>
      </c>
      <c r="BG261">
        <v>0.56999999999999995</v>
      </c>
      <c r="BH261">
        <v>2848</v>
      </c>
      <c r="BM261" s="1">
        <v>1.3</v>
      </c>
      <c r="BN261" s="1">
        <f>220*297</f>
        <v>65340</v>
      </c>
      <c r="BO261" s="1">
        <f t="shared" si="12"/>
        <v>84942</v>
      </c>
      <c r="BP261" t="s">
        <v>173</v>
      </c>
      <c r="BQ261" t="s">
        <v>241</v>
      </c>
      <c r="BR261">
        <v>60</v>
      </c>
      <c r="BS261">
        <v>24</v>
      </c>
      <c r="BT261" t="s">
        <v>149</v>
      </c>
      <c r="BU261" s="1" t="s">
        <v>294</v>
      </c>
      <c r="BV261" t="s">
        <v>624</v>
      </c>
      <c r="BW261" t="s">
        <v>676</v>
      </c>
    </row>
    <row r="262" spans="1:75" x14ac:dyDescent="0.75">
      <c r="A262" s="1"/>
      <c r="B262" s="1" t="s">
        <v>297</v>
      </c>
      <c r="C262" s="1" t="s">
        <v>298</v>
      </c>
      <c r="D262" s="37" t="s">
        <v>642</v>
      </c>
      <c r="E262" s="37" t="s">
        <v>642</v>
      </c>
      <c r="F262" s="1">
        <v>100</v>
      </c>
      <c r="G262" s="1">
        <v>1</v>
      </c>
      <c r="H262" s="1" t="s">
        <v>78</v>
      </c>
      <c r="I262" s="1">
        <v>0.3</v>
      </c>
      <c r="J262" s="1">
        <v>0.3</v>
      </c>
      <c r="K262" s="1"/>
      <c r="L262" s="1">
        <v>7</v>
      </c>
      <c r="M262" s="1">
        <v>-44</v>
      </c>
      <c r="N262" s="1"/>
      <c r="O262" s="1"/>
      <c r="P262" s="1"/>
      <c r="Q262" s="1"/>
      <c r="R262" s="1" t="s">
        <v>79</v>
      </c>
      <c r="S262" s="1"/>
      <c r="T262" s="1"/>
      <c r="U262" s="3"/>
      <c r="V262" s="1"/>
      <c r="W262" s="3"/>
      <c r="X262" s="3"/>
      <c r="Y262" s="3">
        <v>1.9319215855950799E-8</v>
      </c>
      <c r="Z262" s="3">
        <v>5.0173259776036302E-8</v>
      </c>
      <c r="AA262" s="3">
        <v>1.17237095964251E-7</v>
      </c>
      <c r="AB262" s="3">
        <v>2.5058007190886101E-7</v>
      </c>
      <c r="AC262" s="3">
        <v>4.9644769386042795E-7</v>
      </c>
      <c r="AD262" s="3">
        <v>9.2154402791776404E-7</v>
      </c>
      <c r="AE262" s="3">
        <v>1.6169724058427801E-6</v>
      </c>
      <c r="AF262" s="3">
        <v>2.7014753088321799E-6</v>
      </c>
      <c r="AG262" s="3">
        <v>4.3236977532171704E-6</v>
      </c>
      <c r="AH262" s="3">
        <v>6.66330541999418E-6</v>
      </c>
      <c r="AI262" s="3">
        <v>9.9308988187352803E-6</v>
      </c>
      <c r="AJ262" s="3">
        <v>1.43667628856943E-5</v>
      </c>
      <c r="AK262" s="3">
        <v>2.0238568699093898E-5</v>
      </c>
      <c r="AL262" s="1"/>
      <c r="AM262" s="1"/>
      <c r="AN262" s="1"/>
      <c r="AO262" s="1">
        <v>0.46</v>
      </c>
      <c r="AP262" s="1">
        <v>72.7</v>
      </c>
      <c r="AQ262" s="1" t="s">
        <v>293</v>
      </c>
      <c r="AR262" s="1"/>
      <c r="AS262" s="1"/>
      <c r="AT262" s="1"/>
      <c r="AU262" s="1"/>
      <c r="AV262" s="1">
        <v>5.2</v>
      </c>
      <c r="AW262" s="1">
        <v>1340</v>
      </c>
      <c r="AX262" s="1">
        <v>-51</v>
      </c>
      <c r="AY262" s="1">
        <v>30</v>
      </c>
      <c r="AZ262" s="1">
        <v>2.1</v>
      </c>
      <c r="BA262" s="1">
        <v>1147</v>
      </c>
      <c r="BB262" s="1">
        <v>-43</v>
      </c>
      <c r="BC262" s="1"/>
      <c r="BD262" s="1"/>
      <c r="BE262" s="1"/>
      <c r="BF262" s="1"/>
      <c r="BG262" s="1">
        <v>1.05</v>
      </c>
      <c r="BH262" s="3">
        <v>9300000000</v>
      </c>
      <c r="BI262" s="1"/>
      <c r="BJ262" s="3">
        <v>1.6799999999999999E-10</v>
      </c>
      <c r="BK262" s="1">
        <v>72.7</v>
      </c>
      <c r="BL262" s="1"/>
      <c r="BM262" s="1">
        <v>1.3</v>
      </c>
      <c r="BN262" s="1">
        <f>220*297</f>
        <v>65340</v>
      </c>
      <c r="BO262" s="1">
        <f t="shared" si="12"/>
        <v>84942</v>
      </c>
      <c r="BP262" s="1" t="s">
        <v>173</v>
      </c>
      <c r="BQ262" s="1" t="s">
        <v>241</v>
      </c>
      <c r="BR262" s="1">
        <v>60</v>
      </c>
      <c r="BS262" s="1">
        <v>24</v>
      </c>
      <c r="BT262" s="1" t="s">
        <v>149</v>
      </c>
      <c r="BU262" s="1" t="s">
        <v>294</v>
      </c>
      <c r="BV262" t="s">
        <v>624</v>
      </c>
      <c r="BW262" t="s">
        <v>676</v>
      </c>
    </row>
    <row r="263" spans="1:75" x14ac:dyDescent="0.75">
      <c r="A263" t="s">
        <v>299</v>
      </c>
      <c r="B263" t="s">
        <v>426</v>
      </c>
      <c r="C263" t="s">
        <v>300</v>
      </c>
      <c r="D263" t="s">
        <v>77</v>
      </c>
      <c r="E263" t="s">
        <v>77</v>
      </c>
      <c r="F263">
        <v>100</v>
      </c>
      <c r="G263">
        <v>1</v>
      </c>
      <c r="H263" t="s">
        <v>91</v>
      </c>
      <c r="J263">
        <f>1/4</f>
        <v>0.25</v>
      </c>
      <c r="R263" t="s">
        <v>84</v>
      </c>
      <c r="S263" s="5"/>
      <c r="T263" s="5"/>
      <c r="U263" s="5"/>
      <c r="V263" s="5"/>
      <c r="W263" s="5"/>
      <c r="X263" s="5"/>
      <c r="Y263" s="5">
        <v>3.7985280590976301E-9</v>
      </c>
      <c r="Z263" s="5">
        <v>1.04791765273365E-8</v>
      </c>
      <c r="AA263" s="5">
        <v>2.79875877731713E-8</v>
      </c>
      <c r="AB263" s="5">
        <v>7.2475931723466505E-8</v>
      </c>
      <c r="AC263" s="5">
        <v>1.83140520240425E-7</v>
      </c>
      <c r="AD263" s="5">
        <v>2.8026031643116198E-7</v>
      </c>
      <c r="AE263" s="5">
        <v>4.2344051293046701E-7</v>
      </c>
      <c r="AF263" s="5">
        <v>6.3200843121711003E-7</v>
      </c>
      <c r="AG263" s="5">
        <v>9.3236227831591102E-7</v>
      </c>
      <c r="AH263" s="5">
        <v>1.3601795978690699E-6</v>
      </c>
      <c r="AI263" s="5">
        <v>1.9631955989747702E-6</v>
      </c>
      <c r="AJ263" s="5">
        <v>2.8046660062458201E-6</v>
      </c>
      <c r="AK263" s="5">
        <v>3.9676448466136298E-6</v>
      </c>
      <c r="AL263" s="5">
        <v>7.7219002450829301E-6</v>
      </c>
      <c r="AM263" s="5">
        <v>1.4515102834593399E-5</v>
      </c>
      <c r="AN263" s="5"/>
      <c r="AV263">
        <v>0.13</v>
      </c>
      <c r="AW263">
        <v>857</v>
      </c>
      <c r="AX263">
        <v>-29</v>
      </c>
      <c r="AY263" t="s">
        <v>80</v>
      </c>
      <c r="BD263">
        <v>0.76180000000000003</v>
      </c>
      <c r="BE263">
        <v>1.63</v>
      </c>
      <c r="BF263" s="5">
        <v>5.5E+18</v>
      </c>
      <c r="BG263">
        <v>0.77800000000000002</v>
      </c>
      <c r="BH263" s="5">
        <v>250000</v>
      </c>
      <c r="BI263" t="s">
        <v>301</v>
      </c>
      <c r="BO263" s="17">
        <v>900</v>
      </c>
      <c r="BP263" t="s">
        <v>82</v>
      </c>
      <c r="BQ263" t="s">
        <v>83</v>
      </c>
      <c r="BR263">
        <v>100</v>
      </c>
      <c r="BS263">
        <v>48</v>
      </c>
      <c r="BT263" t="s">
        <v>84</v>
      </c>
      <c r="BV263" t="s">
        <v>302</v>
      </c>
      <c r="BW263" t="s">
        <v>677</v>
      </c>
    </row>
    <row r="264" spans="1:75" x14ac:dyDescent="0.75">
      <c r="B264" t="s">
        <v>426</v>
      </c>
      <c r="C264" t="s">
        <v>300</v>
      </c>
      <c r="D264" t="s">
        <v>77</v>
      </c>
      <c r="E264" t="s">
        <v>77</v>
      </c>
      <c r="F264">
        <v>100</v>
      </c>
      <c r="G264">
        <v>1</v>
      </c>
      <c r="H264" t="s">
        <v>91</v>
      </c>
      <c r="J264">
        <f>1/5</f>
        <v>0.2</v>
      </c>
      <c r="R264" t="s">
        <v>84</v>
      </c>
      <c r="S264" s="5"/>
      <c r="T264" s="5"/>
      <c r="U264" s="5"/>
      <c r="V264" s="5"/>
      <c r="W264" s="5"/>
      <c r="X264" s="5"/>
      <c r="Y264" s="5"/>
      <c r="Z264" s="5"/>
      <c r="AA264" s="5">
        <v>8.8625060813396005E-9</v>
      </c>
      <c r="AB264" s="5">
        <v>2.3923010340695801E-8</v>
      </c>
      <c r="AC264" s="5">
        <v>6.2622388309240302E-8</v>
      </c>
      <c r="AD264" s="5">
        <v>3.5934404992330902E-7</v>
      </c>
      <c r="AE264" s="5">
        <v>5.4230058197220999E-7</v>
      </c>
      <c r="AF264" s="5">
        <v>8.0850771823340301E-7</v>
      </c>
      <c r="AG264" s="5">
        <v>1.19144445645672E-6</v>
      </c>
      <c r="AH264" s="5">
        <v>1.73630787101718E-6</v>
      </c>
      <c r="AI264" s="5">
        <v>2.5035046791294198E-6</v>
      </c>
      <c r="AJ264" s="5">
        <v>3.5729981160661201E-6</v>
      </c>
      <c r="AK264" s="5">
        <v>5.0496718515813202E-6</v>
      </c>
      <c r="AL264" s="5">
        <v>9.8094776388134602E-6</v>
      </c>
      <c r="AM264" s="5">
        <v>1.8406675316489899E-5</v>
      </c>
      <c r="AN264" s="5">
        <v>4.4588807178579599E-5</v>
      </c>
      <c r="AV264" s="5">
        <v>9100000</v>
      </c>
      <c r="AW264">
        <v>9180</v>
      </c>
      <c r="AX264">
        <v>-273.14999999999998</v>
      </c>
      <c r="AY264">
        <v>56</v>
      </c>
      <c r="BD264">
        <v>0.74031999999999998</v>
      </c>
      <c r="BE264">
        <v>1.71</v>
      </c>
      <c r="BF264" s="5">
        <v>2.4E+19</v>
      </c>
      <c r="BG264">
        <v>0.77500000000000002</v>
      </c>
      <c r="BH264" s="5">
        <v>290000</v>
      </c>
      <c r="BI264" t="s">
        <v>303</v>
      </c>
      <c r="BO264" s="17">
        <v>900</v>
      </c>
      <c r="BP264" t="s">
        <v>82</v>
      </c>
      <c r="BQ264" t="s">
        <v>83</v>
      </c>
      <c r="BR264">
        <v>100</v>
      </c>
      <c r="BS264">
        <v>48</v>
      </c>
      <c r="BT264" t="s">
        <v>84</v>
      </c>
      <c r="BV264" t="s">
        <v>302</v>
      </c>
      <c r="BW264" t="s">
        <v>677</v>
      </c>
    </row>
    <row r="265" spans="1:75" x14ac:dyDescent="0.75">
      <c r="B265" t="s">
        <v>426</v>
      </c>
      <c r="C265" t="s">
        <v>300</v>
      </c>
      <c r="D265" t="s">
        <v>77</v>
      </c>
      <c r="E265" t="s">
        <v>77</v>
      </c>
      <c r="F265">
        <v>100</v>
      </c>
      <c r="G265">
        <v>1</v>
      </c>
      <c r="H265" t="s">
        <v>91</v>
      </c>
      <c r="J265">
        <f>1/6</f>
        <v>0.16666666666666666</v>
      </c>
      <c r="R265" t="s">
        <v>84</v>
      </c>
      <c r="S265" s="5"/>
      <c r="T265" s="5"/>
      <c r="U265" s="5"/>
      <c r="V265" s="5"/>
      <c r="W265" s="5"/>
      <c r="X265" s="5"/>
      <c r="Y265" s="5">
        <v>3.52971357340929E-9</v>
      </c>
      <c r="Z265" s="5">
        <v>1.00562420267821E-8</v>
      </c>
      <c r="AA265" s="5">
        <v>2.7708428225015301E-8</v>
      </c>
      <c r="AB265" s="5">
        <v>7.3952451079719506E-8</v>
      </c>
      <c r="AC265" s="5">
        <v>1.9146966601725601E-7</v>
      </c>
      <c r="AD265" s="5">
        <v>1.01332729095049E-6</v>
      </c>
      <c r="AE265" s="5">
        <v>1.4411563752353601E-6</v>
      </c>
      <c r="AF265" s="5">
        <v>2.02837849972737E-6</v>
      </c>
      <c r="AG265" s="5">
        <v>2.8265791176779399E-6</v>
      </c>
      <c r="AH265" s="5">
        <v>3.9015207795677204E-6</v>
      </c>
      <c r="AI265" s="5">
        <v>5.3363358192931298E-6</v>
      </c>
      <c r="AJ265" s="5">
        <v>7.2352714730464803E-6</v>
      </c>
      <c r="AK265" s="5">
        <v>9.72805055423541E-6</v>
      </c>
      <c r="AL265" s="5">
        <v>1.7172404965389701E-5</v>
      </c>
      <c r="AM265" s="5">
        <v>2.9427506515924501E-5</v>
      </c>
      <c r="AN265" s="5">
        <v>6.2748718496112097E-5</v>
      </c>
      <c r="AV265" s="5">
        <v>490000</v>
      </c>
      <c r="AW265">
        <v>7882</v>
      </c>
      <c r="AX265">
        <v>-273.14999999999998</v>
      </c>
      <c r="AY265">
        <v>57</v>
      </c>
      <c r="BD265">
        <v>0.63734999999999997</v>
      </c>
      <c r="BE265">
        <v>1.69</v>
      </c>
      <c r="BF265" s="5">
        <v>3.7E+19</v>
      </c>
      <c r="BG265">
        <v>0.66359999999999997</v>
      </c>
      <c r="BH265" s="5">
        <v>16000</v>
      </c>
      <c r="BI265" t="s">
        <v>304</v>
      </c>
      <c r="BO265" s="17">
        <v>900</v>
      </c>
      <c r="BP265" t="s">
        <v>82</v>
      </c>
      <c r="BQ265" t="s">
        <v>83</v>
      </c>
      <c r="BR265">
        <v>100</v>
      </c>
      <c r="BS265">
        <v>48</v>
      </c>
      <c r="BT265" t="s">
        <v>84</v>
      </c>
      <c r="BV265" t="s">
        <v>302</v>
      </c>
      <c r="BW265" t="s">
        <v>677</v>
      </c>
    </row>
    <row r="266" spans="1:75" x14ac:dyDescent="0.75">
      <c r="B266" t="s">
        <v>426</v>
      </c>
      <c r="C266" t="s">
        <v>300</v>
      </c>
      <c r="D266" t="s">
        <v>77</v>
      </c>
      <c r="E266" t="s">
        <v>77</v>
      </c>
      <c r="F266">
        <v>100</v>
      </c>
      <c r="G266">
        <v>1</v>
      </c>
      <c r="H266" t="s">
        <v>91</v>
      </c>
      <c r="J266">
        <f>1/7</f>
        <v>0.14285714285714285</v>
      </c>
      <c r="R266" t="s">
        <v>84</v>
      </c>
      <c r="S266" s="5"/>
      <c r="T266" s="5"/>
      <c r="U266" s="5">
        <v>8.7157236275126505E-9</v>
      </c>
      <c r="V266" s="5"/>
      <c r="W266" s="5">
        <v>1.71063809121129E-8</v>
      </c>
      <c r="X266" s="5"/>
      <c r="Y266" s="5">
        <v>3.2836165610137797E-8</v>
      </c>
      <c r="Z266" s="5">
        <v>6.1710148573981801E-8</v>
      </c>
      <c r="AA266" s="5">
        <v>1.1366082750494801E-7</v>
      </c>
      <c r="AB266" s="5">
        <v>2.0536557248206799E-7</v>
      </c>
      <c r="AC266" s="5">
        <v>3.6432928169913E-7</v>
      </c>
      <c r="AD266" s="5">
        <v>6.3514596647896796E-7</v>
      </c>
      <c r="AE266" s="5">
        <v>3.8362480535430696E-6</v>
      </c>
      <c r="AF266" s="5">
        <v>5.2344186873462704E-6</v>
      </c>
      <c r="AG266" s="5">
        <v>7.0777824363643796E-6</v>
      </c>
      <c r="AH266" s="5">
        <v>9.4877315476184899E-6</v>
      </c>
      <c r="AI266" s="5">
        <v>1.26131584833331E-5</v>
      </c>
      <c r="AJ266" s="5">
        <v>1.6635372618748102E-5</v>
      </c>
      <c r="AK266" s="5">
        <v>2.1773640475390601E-5</v>
      </c>
      <c r="AL266" s="5">
        <v>3.6503106934420099E-5</v>
      </c>
      <c r="AM266" s="5">
        <v>5.9568305900430403E-5</v>
      </c>
      <c r="AN266" s="5">
        <v>1.18580006881499E-4</v>
      </c>
      <c r="AV266" s="5">
        <v>160000</v>
      </c>
      <c r="AW266">
        <v>7184</v>
      </c>
      <c r="AX266">
        <v>-273.14999999999998</v>
      </c>
      <c r="AY266">
        <v>58</v>
      </c>
      <c r="BD266">
        <v>0.57743999999999995</v>
      </c>
      <c r="BE266">
        <v>1.02</v>
      </c>
      <c r="BF266" s="5">
        <v>2500000000</v>
      </c>
      <c r="BG266">
        <v>0.60029999999999994</v>
      </c>
      <c r="BH266">
        <v>5100</v>
      </c>
      <c r="BI266" t="s">
        <v>305</v>
      </c>
      <c r="BO266" s="17">
        <v>900</v>
      </c>
      <c r="BP266" t="s">
        <v>82</v>
      </c>
      <c r="BQ266" t="s">
        <v>83</v>
      </c>
      <c r="BR266">
        <v>100</v>
      </c>
      <c r="BS266">
        <v>48</v>
      </c>
      <c r="BT266" t="s">
        <v>84</v>
      </c>
      <c r="BV266" t="s">
        <v>302</v>
      </c>
      <c r="BW266" t="s">
        <v>677</v>
      </c>
    </row>
    <row r="267" spans="1:75" x14ac:dyDescent="0.75">
      <c r="B267" t="s">
        <v>426</v>
      </c>
      <c r="C267" t="s">
        <v>300</v>
      </c>
      <c r="D267" t="s">
        <v>77</v>
      </c>
      <c r="E267" t="s">
        <v>77</v>
      </c>
      <c r="F267">
        <v>100</v>
      </c>
      <c r="G267">
        <v>1</v>
      </c>
      <c r="H267" t="s">
        <v>91</v>
      </c>
      <c r="J267">
        <f>1/8</f>
        <v>0.125</v>
      </c>
      <c r="R267" t="s">
        <v>84</v>
      </c>
      <c r="S267" s="5"/>
      <c r="T267" s="5"/>
      <c r="U267" s="5"/>
      <c r="V267" s="5"/>
      <c r="W267" s="5">
        <v>1.1595933748768099E-8</v>
      </c>
      <c r="X267" s="5"/>
      <c r="Y267" s="5">
        <v>2.8700651515946199E-8</v>
      </c>
      <c r="Z267" s="5">
        <v>6.8977148816292894E-8</v>
      </c>
      <c r="AA267" s="5">
        <v>1.61197382265327E-7</v>
      </c>
      <c r="AB267" s="5">
        <v>3.6679494611000699E-7</v>
      </c>
      <c r="AC267" s="5">
        <v>8.13652901788675E-7</v>
      </c>
      <c r="AD267" s="5">
        <v>5.9987463093434202E-6</v>
      </c>
      <c r="AE267" s="5">
        <v>8.5473336564294605E-6</v>
      </c>
      <c r="AF267" s="5">
        <v>1.20518418592168E-5</v>
      </c>
      <c r="AG267" s="5">
        <v>1.6823934734080798E-5</v>
      </c>
      <c r="AH267" s="5">
        <v>2.3261647420727699E-5</v>
      </c>
      <c r="AI267" s="5">
        <v>3.1869030721770799E-5</v>
      </c>
      <c r="AJ267" s="5">
        <v>4.3279238608697E-5</v>
      </c>
      <c r="AK267" s="5">
        <v>5.82814606883218E-5</v>
      </c>
      <c r="AL267" s="5">
        <v>1.03190740886507E-4</v>
      </c>
      <c r="AM267" s="5">
        <v>1.77337243686574E-4</v>
      </c>
      <c r="AN267" s="5">
        <v>3.7965591860463101E-4</v>
      </c>
      <c r="AV267" s="5">
        <v>1600000</v>
      </c>
      <c r="AW267">
        <v>7417</v>
      </c>
      <c r="AX267">
        <v>-261</v>
      </c>
      <c r="AY267">
        <v>56</v>
      </c>
      <c r="BD267">
        <v>0.66295999999999999</v>
      </c>
      <c r="BE267">
        <v>1.41</v>
      </c>
      <c r="BF267" s="5">
        <v>8500000000000000</v>
      </c>
      <c r="BG267">
        <v>0.66700000000000004</v>
      </c>
      <c r="BH267" s="5">
        <v>110000</v>
      </c>
      <c r="BI267" t="s">
        <v>306</v>
      </c>
      <c r="BO267" s="17">
        <v>900</v>
      </c>
      <c r="BP267" t="s">
        <v>82</v>
      </c>
      <c r="BQ267" t="s">
        <v>83</v>
      </c>
      <c r="BR267">
        <v>100</v>
      </c>
      <c r="BS267">
        <v>48</v>
      </c>
      <c r="BT267" t="s">
        <v>84</v>
      </c>
      <c r="BV267" t="s">
        <v>302</v>
      </c>
      <c r="BW267" t="s">
        <v>677</v>
      </c>
    </row>
    <row r="268" spans="1:75" x14ac:dyDescent="0.75">
      <c r="B268" t="s">
        <v>426</v>
      </c>
      <c r="C268" t="s">
        <v>300</v>
      </c>
      <c r="D268" t="s">
        <v>77</v>
      </c>
      <c r="E268" t="s">
        <v>77</v>
      </c>
      <c r="F268">
        <v>100</v>
      </c>
      <c r="G268">
        <v>1</v>
      </c>
      <c r="H268" t="s">
        <v>91</v>
      </c>
      <c r="J268">
        <f>1/12</f>
        <v>8.3333333333333329E-2</v>
      </c>
      <c r="R268" t="s">
        <v>84</v>
      </c>
      <c r="S268" s="5"/>
      <c r="T268" s="5"/>
      <c r="U268" s="5">
        <v>1.39965667613551E-8</v>
      </c>
      <c r="V268" s="5"/>
      <c r="W268" s="5">
        <v>3.3993045523327901E-8</v>
      </c>
      <c r="X268" s="5"/>
      <c r="Y268" s="5">
        <v>8.0176388663859803E-8</v>
      </c>
      <c r="Z268" s="5">
        <v>1.8391178555985699E-7</v>
      </c>
      <c r="AA268" s="5">
        <v>4.1082660640251101E-7</v>
      </c>
      <c r="AB268" s="5">
        <v>8.9482138525021497E-7</v>
      </c>
      <c r="AC268" s="5">
        <v>1.9026206283766301E-6</v>
      </c>
      <c r="AD268" s="5">
        <v>1.2128996432192399E-5</v>
      </c>
      <c r="AE268" s="5">
        <v>1.8131966578520801E-5</v>
      </c>
      <c r="AF268" s="5">
        <v>2.6785574755378299E-5</v>
      </c>
      <c r="AG268" s="5">
        <v>3.9121795564120699E-5</v>
      </c>
      <c r="AH268" s="5">
        <v>5.6521164684674097E-5</v>
      </c>
      <c r="AI268" s="5">
        <v>8.0812520713760696E-5</v>
      </c>
      <c r="AJ268" s="5">
        <v>1.14396026240306E-4</v>
      </c>
      <c r="AK268" s="5">
        <v>1.60393597021935E-4</v>
      </c>
      <c r="AL268" s="5">
        <v>3.0685902582745501E-4</v>
      </c>
      <c r="AM268" s="5">
        <v>5.6752323302759896E-4</v>
      </c>
      <c r="AN268" s="5">
        <v>1.3470973705118901E-3</v>
      </c>
      <c r="AV268" s="5">
        <v>170000000</v>
      </c>
      <c r="AW268">
        <v>8974</v>
      </c>
      <c r="AX268">
        <v>-273.14999999999998</v>
      </c>
      <c r="AY268">
        <v>56</v>
      </c>
      <c r="BD268">
        <v>0.72294999999999998</v>
      </c>
      <c r="BE268">
        <v>1.337</v>
      </c>
      <c r="BF268" s="5">
        <v>1300000000000000</v>
      </c>
      <c r="BG268">
        <v>0.75800000000000001</v>
      </c>
      <c r="BH268" s="5">
        <v>5200000</v>
      </c>
      <c r="BI268" t="s">
        <v>307</v>
      </c>
      <c r="BO268" s="17">
        <v>900</v>
      </c>
      <c r="BP268" t="s">
        <v>82</v>
      </c>
      <c r="BQ268" t="s">
        <v>83</v>
      </c>
      <c r="BR268">
        <v>100</v>
      </c>
      <c r="BS268">
        <v>48</v>
      </c>
      <c r="BT268" t="s">
        <v>84</v>
      </c>
      <c r="BV268" t="s">
        <v>302</v>
      </c>
      <c r="BW268" t="s">
        <v>677</v>
      </c>
    </row>
    <row r="269" spans="1:75" x14ac:dyDescent="0.75">
      <c r="B269" t="s">
        <v>426</v>
      </c>
      <c r="C269" t="s">
        <v>300</v>
      </c>
      <c r="D269" t="s">
        <v>77</v>
      </c>
      <c r="E269" t="s">
        <v>77</v>
      </c>
      <c r="F269">
        <v>100</v>
      </c>
      <c r="G269">
        <v>1</v>
      </c>
      <c r="H269" t="s">
        <v>91</v>
      </c>
      <c r="J269">
        <f>1/20</f>
        <v>0.05</v>
      </c>
      <c r="R269" t="s">
        <v>84</v>
      </c>
      <c r="S269" s="5"/>
      <c r="T269" s="5"/>
      <c r="U269" s="5">
        <v>2.3380062260679E-8</v>
      </c>
      <c r="V269" s="5"/>
      <c r="W269" s="5">
        <v>5.2186449071723801E-8</v>
      </c>
      <c r="X269" s="5"/>
      <c r="Y269" s="5">
        <v>1.1344017185901201E-7</v>
      </c>
      <c r="Z269" s="5">
        <v>2.4045454229953899E-7</v>
      </c>
      <c r="AA269" s="5">
        <v>4.97599861644754E-7</v>
      </c>
      <c r="AB269" s="5">
        <v>1.00646782365993E-6</v>
      </c>
      <c r="AC269" s="5">
        <v>1.9918321567715902E-6</v>
      </c>
      <c r="AD269" s="5">
        <v>3.8607485648717601E-6</v>
      </c>
      <c r="AE269" s="5">
        <v>3.0581949506907897E-5</v>
      </c>
      <c r="AF269" s="5">
        <v>4.5935231780784703E-5</v>
      </c>
      <c r="AG269" s="5">
        <v>6.8183276447410097E-5</v>
      </c>
      <c r="AH269" s="5">
        <v>1.00065153519333E-4</v>
      </c>
      <c r="AI269" s="5">
        <v>1.45268074988635E-4</v>
      </c>
      <c r="AJ269" s="5">
        <v>2.0870718426986399E-4</v>
      </c>
      <c r="AK269" s="5">
        <v>2.96873355954822E-4</v>
      </c>
      <c r="AL269" s="5">
        <v>5.8389595314554303E-4</v>
      </c>
      <c r="AM269" s="5">
        <v>1.1085761854459099E-3</v>
      </c>
      <c r="AN269" s="5">
        <v>2.7301503075765998E-3</v>
      </c>
      <c r="AV269" s="5">
        <v>860000000</v>
      </c>
      <c r="AW269">
        <v>9350</v>
      </c>
      <c r="AX269">
        <v>-273.14999999999998</v>
      </c>
      <c r="AY269">
        <v>58</v>
      </c>
      <c r="BD269">
        <v>0.68461000000000005</v>
      </c>
      <c r="BE269">
        <v>1.21</v>
      </c>
      <c r="BF269" s="5">
        <v>15000000000000</v>
      </c>
      <c r="BG269">
        <v>0.79</v>
      </c>
      <c r="BH269" s="5">
        <v>27000000</v>
      </c>
      <c r="BI269" t="s">
        <v>308</v>
      </c>
      <c r="BO269" s="17">
        <v>900</v>
      </c>
      <c r="BP269" t="s">
        <v>82</v>
      </c>
      <c r="BQ269" t="s">
        <v>83</v>
      </c>
      <c r="BR269">
        <v>100</v>
      </c>
      <c r="BS269">
        <v>48</v>
      </c>
      <c r="BT269" t="s">
        <v>84</v>
      </c>
      <c r="BV269" t="s">
        <v>302</v>
      </c>
      <c r="BW269" t="s">
        <v>677</v>
      </c>
    </row>
    <row r="270" spans="1:75" x14ac:dyDescent="0.75">
      <c r="B270" t="s">
        <v>426</v>
      </c>
      <c r="C270" t="s">
        <v>300</v>
      </c>
      <c r="D270" t="s">
        <v>77</v>
      </c>
      <c r="E270" t="s">
        <v>77</v>
      </c>
      <c r="F270">
        <v>100</v>
      </c>
      <c r="G270">
        <v>1</v>
      </c>
      <c r="H270" t="s">
        <v>91</v>
      </c>
      <c r="J270">
        <f>1/36</f>
        <v>2.7777777777777776E-2</v>
      </c>
      <c r="R270" t="s">
        <v>84</v>
      </c>
      <c r="S270" s="5"/>
      <c r="T270" s="5"/>
      <c r="U270" s="5"/>
      <c r="V270" s="5"/>
      <c r="W270" s="5"/>
      <c r="X270" s="5"/>
      <c r="Y270" s="5"/>
      <c r="Z270" s="5"/>
      <c r="AA270" s="5"/>
      <c r="AB270" s="5"/>
      <c r="AC270" s="5">
        <v>1.15206118336047E-8</v>
      </c>
      <c r="AD270" s="5">
        <v>2.7824411757418801E-8</v>
      </c>
      <c r="AE270" s="5">
        <v>2.6814285537074902E-6</v>
      </c>
      <c r="AF270" s="5">
        <v>4.0447496717697699E-6</v>
      </c>
      <c r="AG270" s="5">
        <v>6.0285729368246504E-6</v>
      </c>
      <c r="AH270" s="5">
        <v>8.88298634177478E-6</v>
      </c>
      <c r="AI270" s="5">
        <v>1.2946027625467001E-5</v>
      </c>
      <c r="AJ270" s="5">
        <v>1.8670105552831601E-5</v>
      </c>
      <c r="AK270" s="5">
        <v>2.6654981104188399E-5</v>
      </c>
      <c r="AL270" s="5">
        <v>5.2797059015831003E-5</v>
      </c>
      <c r="AM270" s="5">
        <v>1.00912931019957E-4</v>
      </c>
      <c r="AN270" s="5">
        <v>2.5087336150145798E-4</v>
      </c>
      <c r="AV270" s="5">
        <v>6100000</v>
      </c>
      <c r="AW270">
        <v>7500</v>
      </c>
      <c r="AX270">
        <v>-233.5</v>
      </c>
      <c r="AY270">
        <v>59</v>
      </c>
      <c r="BD270">
        <v>0.73099000000000003</v>
      </c>
      <c r="BE270">
        <v>1.61</v>
      </c>
      <c r="BF270" s="5">
        <v>1.6E+17</v>
      </c>
      <c r="BG270">
        <v>0.79800000000000004</v>
      </c>
      <c r="BH270" s="5">
        <v>3200000</v>
      </c>
      <c r="BI270" t="s">
        <v>309</v>
      </c>
      <c r="BO270" s="17">
        <v>900</v>
      </c>
      <c r="BP270" t="s">
        <v>82</v>
      </c>
      <c r="BQ270" t="s">
        <v>83</v>
      </c>
      <c r="BR270">
        <v>100</v>
      </c>
      <c r="BS270">
        <v>48</v>
      </c>
      <c r="BT270" t="s">
        <v>84</v>
      </c>
      <c r="BV270" t="s">
        <v>302</v>
      </c>
      <c r="BW270" t="s">
        <v>677</v>
      </c>
    </row>
    <row r="271" spans="1:75" x14ac:dyDescent="0.75">
      <c r="B271" t="s">
        <v>426</v>
      </c>
      <c r="C271" t="s">
        <v>300</v>
      </c>
      <c r="D271" t="s">
        <v>77</v>
      </c>
      <c r="E271" t="s">
        <v>77</v>
      </c>
      <c r="F271">
        <v>100</v>
      </c>
      <c r="G271">
        <v>1</v>
      </c>
      <c r="H271" t="s">
        <v>91</v>
      </c>
      <c r="J271">
        <f>1/100</f>
        <v>0.01</v>
      </c>
      <c r="R271" t="s">
        <v>84</v>
      </c>
      <c r="S271" s="5"/>
      <c r="T271" s="5"/>
      <c r="U271" s="5">
        <v>2.7755827685391901E-8</v>
      </c>
      <c r="V271" s="5"/>
      <c r="W271" s="5">
        <v>5.8065543010669599E-8</v>
      </c>
      <c r="X271" s="5"/>
      <c r="Y271" s="5">
        <v>1.18551855489298E-7</v>
      </c>
      <c r="Z271" s="5">
        <v>2.3650401217550899E-7</v>
      </c>
      <c r="AA271" s="5">
        <v>4.6152031961739799E-7</v>
      </c>
      <c r="AB271" s="5">
        <v>8.8189497826840597E-7</v>
      </c>
      <c r="AC271" s="5">
        <v>1.6517345963663201E-6</v>
      </c>
      <c r="AD271" s="5">
        <v>3.0350008635006702E-6</v>
      </c>
      <c r="AE271" s="5">
        <v>5.4757858346171002E-6</v>
      </c>
      <c r="AF271" s="5">
        <v>1.2786913979563101E-4</v>
      </c>
      <c r="AG271" s="5">
        <v>1.6490632009966301E-4</v>
      </c>
      <c r="AH271" s="5">
        <v>2.1112310042474401E-4</v>
      </c>
      <c r="AI271" s="5">
        <v>2.68408264772378E-4</v>
      </c>
      <c r="AJ271" s="5">
        <v>3.3895725925630802E-4</v>
      </c>
      <c r="AK271" s="5">
        <v>4.2530761883894698E-4</v>
      </c>
      <c r="AL271" s="5">
        <v>6.5750015677072703E-4</v>
      </c>
      <c r="AM271" s="5">
        <v>9.9360304162478502E-4</v>
      </c>
      <c r="AN271" s="5">
        <v>1.7754130347866299E-3</v>
      </c>
      <c r="AV271" s="5">
        <v>160000</v>
      </c>
      <c r="AW271">
        <v>6090</v>
      </c>
      <c r="AX271">
        <v>-273.14999999999998</v>
      </c>
      <c r="AY271">
        <v>66</v>
      </c>
      <c r="BD271">
        <v>0.51973999999999998</v>
      </c>
      <c r="BE271">
        <v>1.1100000000000001</v>
      </c>
      <c r="BF271" s="5">
        <v>360000000000</v>
      </c>
      <c r="BG271">
        <v>0.50900000000000001</v>
      </c>
      <c r="BH271" s="5">
        <v>4900</v>
      </c>
      <c r="BI271" t="s">
        <v>310</v>
      </c>
      <c r="BO271" s="17">
        <v>900</v>
      </c>
      <c r="BP271" t="s">
        <v>82</v>
      </c>
      <c r="BQ271" t="s">
        <v>83</v>
      </c>
      <c r="BR271">
        <v>100</v>
      </c>
      <c r="BS271">
        <v>48</v>
      </c>
      <c r="BT271" t="s">
        <v>84</v>
      </c>
      <c r="BV271" t="s">
        <v>302</v>
      </c>
      <c r="BW271" t="s">
        <v>677</v>
      </c>
    </row>
    <row r="272" spans="1:75" x14ac:dyDescent="0.75">
      <c r="B272" t="s">
        <v>426</v>
      </c>
      <c r="C272" t="s">
        <v>300</v>
      </c>
      <c r="D272" t="s">
        <v>77</v>
      </c>
      <c r="E272" t="s">
        <v>77</v>
      </c>
      <c r="F272">
        <v>100</v>
      </c>
      <c r="G272">
        <v>1</v>
      </c>
      <c r="H272" t="s">
        <v>90</v>
      </c>
      <c r="J272">
        <f>1/3</f>
        <v>0.33333333333333331</v>
      </c>
      <c r="R272" t="s">
        <v>84</v>
      </c>
      <c r="S272" s="5"/>
      <c r="T272" s="5"/>
      <c r="U272" s="5"/>
      <c r="V272" s="5"/>
      <c r="W272" s="5"/>
      <c r="X272" s="5"/>
      <c r="Y272" s="5"/>
      <c r="Z272" s="5"/>
      <c r="AA272" s="5"/>
      <c r="AB272" s="5"/>
      <c r="AC272" s="5"/>
      <c r="AD272" s="5"/>
      <c r="AE272" s="5"/>
      <c r="AF272" s="5"/>
      <c r="AG272" s="5"/>
      <c r="AH272" s="5"/>
      <c r="AI272" s="5">
        <v>8.4568705252805298E-9</v>
      </c>
      <c r="AJ272" s="5">
        <v>1.46083737245581E-8</v>
      </c>
      <c r="AK272" s="5">
        <v>2.4855087196227498E-8</v>
      </c>
      <c r="AL272" s="5">
        <v>6.8875986869609012E-8</v>
      </c>
      <c r="AM272" s="5">
        <v>1.810272912543201E-7</v>
      </c>
      <c r="AN272" s="5">
        <v>7.0431254081965095E-7</v>
      </c>
      <c r="AV272" s="5">
        <v>27000000000</v>
      </c>
      <c r="AW272" s="5">
        <v>14000</v>
      </c>
      <c r="AX272">
        <v>-273.14999999999998</v>
      </c>
      <c r="AY272" t="s">
        <v>311</v>
      </c>
      <c r="BD272">
        <v>1.1995</v>
      </c>
      <c r="BG272">
        <v>1.19</v>
      </c>
      <c r="BH272" s="5">
        <v>830000000</v>
      </c>
      <c r="BI272" t="s">
        <v>81</v>
      </c>
      <c r="BO272" s="17">
        <v>900</v>
      </c>
      <c r="BP272" t="s">
        <v>82</v>
      </c>
      <c r="BQ272" t="s">
        <v>83</v>
      </c>
      <c r="BR272">
        <v>100</v>
      </c>
      <c r="BS272">
        <v>48</v>
      </c>
      <c r="BT272" t="s">
        <v>84</v>
      </c>
      <c r="BV272" t="s">
        <v>302</v>
      </c>
      <c r="BW272" t="s">
        <v>677</v>
      </c>
    </row>
    <row r="273" spans="1:75" x14ac:dyDescent="0.75">
      <c r="B273" t="s">
        <v>426</v>
      </c>
      <c r="C273" t="s">
        <v>300</v>
      </c>
      <c r="D273" t="s">
        <v>77</v>
      </c>
      <c r="E273" t="s">
        <v>77</v>
      </c>
      <c r="F273">
        <v>100</v>
      </c>
      <c r="G273">
        <v>1</v>
      </c>
      <c r="H273" t="s">
        <v>90</v>
      </c>
      <c r="J273">
        <f>1/4</f>
        <v>0.25</v>
      </c>
      <c r="R273" t="s">
        <v>84</v>
      </c>
      <c r="S273" s="5"/>
      <c r="T273" s="5"/>
      <c r="U273" s="5"/>
      <c r="V273" s="5"/>
      <c r="W273" s="5"/>
      <c r="X273" s="5"/>
      <c r="Y273" s="5"/>
      <c r="Z273" s="5"/>
      <c r="AA273" s="5">
        <v>1.08720089270847E-8</v>
      </c>
      <c r="AB273" s="5">
        <v>3.3734103614839299E-8</v>
      </c>
      <c r="AC273" s="5">
        <v>1.0106734738645E-7</v>
      </c>
      <c r="AD273" s="5">
        <v>2.9284006273468301E-7</v>
      </c>
      <c r="AE273" s="5">
        <v>8.2182982626379803E-7</v>
      </c>
      <c r="AF273" s="5">
        <v>2.2370735893853699E-6</v>
      </c>
      <c r="AG273" s="5">
        <v>8.1457892174366397E-6</v>
      </c>
      <c r="AH273" s="5">
        <v>1.11014385749516E-5</v>
      </c>
      <c r="AI273" s="5">
        <v>1.49974802660865E-5</v>
      </c>
      <c r="AJ273" s="5">
        <v>2.0091378306434201E-5</v>
      </c>
      <c r="AK273" s="5">
        <v>2.6699567210730898E-5</v>
      </c>
      <c r="AL273" s="5">
        <v>4.6085538089569101E-5</v>
      </c>
      <c r="AM273" s="5">
        <v>7.7325061878347467E-5</v>
      </c>
      <c r="AN273" s="5">
        <v>1.5999921085367301E-4</v>
      </c>
      <c r="AV273" s="5">
        <v>170000</v>
      </c>
      <c r="AW273">
        <v>6685</v>
      </c>
      <c r="AX273">
        <v>-251</v>
      </c>
      <c r="AY273">
        <v>72</v>
      </c>
      <c r="BD273">
        <v>0.62907000000000002</v>
      </c>
      <c r="BE273">
        <v>1.94</v>
      </c>
      <c r="BF273" s="5">
        <v>2.1000000000000001E+23</v>
      </c>
      <c r="BG273">
        <v>0.63700000000000001</v>
      </c>
      <c r="BH273" s="5">
        <v>19000</v>
      </c>
      <c r="BI273" t="s">
        <v>312</v>
      </c>
      <c r="BO273" s="17">
        <v>900</v>
      </c>
      <c r="BP273" t="s">
        <v>82</v>
      </c>
      <c r="BQ273" t="s">
        <v>83</v>
      </c>
      <c r="BR273">
        <v>100</v>
      </c>
      <c r="BS273">
        <v>48</v>
      </c>
      <c r="BT273" t="s">
        <v>84</v>
      </c>
      <c r="BV273" t="s">
        <v>302</v>
      </c>
      <c r="BW273" t="s">
        <v>677</v>
      </c>
    </row>
    <row r="274" spans="1:75" x14ac:dyDescent="0.75">
      <c r="B274" t="s">
        <v>426</v>
      </c>
      <c r="C274" t="s">
        <v>300</v>
      </c>
      <c r="D274" t="s">
        <v>77</v>
      </c>
      <c r="E274" t="s">
        <v>77</v>
      </c>
      <c r="F274">
        <v>100</v>
      </c>
      <c r="G274">
        <v>1</v>
      </c>
      <c r="H274" t="s">
        <v>90</v>
      </c>
      <c r="J274">
        <f>1/5</f>
        <v>0.2</v>
      </c>
      <c r="R274" t="s">
        <v>84</v>
      </c>
      <c r="S274" s="5"/>
      <c r="T274" s="5"/>
      <c r="U274" s="5"/>
      <c r="V274" s="5"/>
      <c r="W274" s="5"/>
      <c r="X274" s="5"/>
      <c r="Y274" s="5"/>
      <c r="Z274" s="5"/>
      <c r="AA274" s="5"/>
      <c r="AB274" s="5"/>
      <c r="AC274" s="5">
        <v>7.4187076598005604E-9</v>
      </c>
      <c r="AD274" s="5">
        <v>3.1139439849744097E-8</v>
      </c>
      <c r="AE274" s="5">
        <v>1.25196899389553E-7</v>
      </c>
      <c r="AF274" s="5">
        <v>4.8306557872651598E-7</v>
      </c>
      <c r="AG274" s="5">
        <v>1.79196494758439E-6</v>
      </c>
      <c r="AH274" s="5">
        <v>6.4017706083022404E-6</v>
      </c>
      <c r="AI274" s="5">
        <v>1.6942494044624101E-5</v>
      </c>
      <c r="AJ274" s="5">
        <v>2.51477286445536E-5</v>
      </c>
      <c r="AK274" s="5">
        <v>3.6923004473400998E-5</v>
      </c>
      <c r="AL274" s="5">
        <v>7.7176228311257698E-5</v>
      </c>
      <c r="AM274" s="5">
        <v>1.5522322088657001E-4</v>
      </c>
      <c r="AN274" s="5">
        <v>4.1455637609950799E-4</v>
      </c>
      <c r="AV274" s="5">
        <v>10000000</v>
      </c>
      <c r="AW274">
        <v>7013</v>
      </c>
      <c r="AX274">
        <v>-210</v>
      </c>
      <c r="AY274">
        <v>78</v>
      </c>
      <c r="BD274">
        <v>0.79908999999999997</v>
      </c>
      <c r="BE274">
        <v>2.62</v>
      </c>
      <c r="BF274" s="5">
        <v>5.6999999999999997E+32</v>
      </c>
      <c r="BG274">
        <v>0.86</v>
      </c>
      <c r="BH274" s="5">
        <v>33000000</v>
      </c>
      <c r="BI274" t="s">
        <v>313</v>
      </c>
      <c r="BO274" s="17">
        <v>900</v>
      </c>
      <c r="BP274" t="s">
        <v>82</v>
      </c>
      <c r="BQ274" t="s">
        <v>83</v>
      </c>
      <c r="BR274">
        <v>100</v>
      </c>
      <c r="BS274">
        <v>48</v>
      </c>
      <c r="BT274" t="s">
        <v>84</v>
      </c>
      <c r="BV274" t="s">
        <v>302</v>
      </c>
      <c r="BW274" t="s">
        <v>677</v>
      </c>
    </row>
    <row r="275" spans="1:75" x14ac:dyDescent="0.75">
      <c r="B275" t="s">
        <v>426</v>
      </c>
      <c r="C275" t="s">
        <v>300</v>
      </c>
      <c r="D275" t="s">
        <v>77</v>
      </c>
      <c r="E275" t="s">
        <v>77</v>
      </c>
      <c r="F275">
        <v>100</v>
      </c>
      <c r="G275">
        <v>1</v>
      </c>
      <c r="H275" t="s">
        <v>90</v>
      </c>
      <c r="J275">
        <f>1/6</f>
        <v>0.16666666666666666</v>
      </c>
      <c r="R275" t="s">
        <v>84</v>
      </c>
      <c r="S275" s="5"/>
      <c r="T275" s="5"/>
      <c r="U275" s="5"/>
      <c r="V275" s="5"/>
      <c r="W275" s="5"/>
      <c r="X275" s="5"/>
      <c r="Y275" s="5">
        <v>6.62209534765538E-9</v>
      </c>
      <c r="Z275" s="5">
        <v>2.3968447572205398E-8</v>
      </c>
      <c r="AA275" s="5">
        <v>8.3261621619376295E-8</v>
      </c>
      <c r="AB275" s="5">
        <v>2.78132280729037E-7</v>
      </c>
      <c r="AC275" s="5">
        <v>8.9505255419125301E-7</v>
      </c>
      <c r="AD275" s="5">
        <v>2.7795675113187699E-6</v>
      </c>
      <c r="AE275" s="5">
        <v>8.3432245451916797E-6</v>
      </c>
      <c r="AF275" s="5">
        <v>2.4242305661216501E-5</v>
      </c>
      <c r="AG275" s="5">
        <v>8.9479240403361906E-5</v>
      </c>
      <c r="AH275" s="5">
        <v>1.21669075816707E-4</v>
      </c>
      <c r="AI275" s="5">
        <v>1.64005743727652E-4</v>
      </c>
      <c r="AJ275" s="5">
        <v>2.19238645163562E-4</v>
      </c>
      <c r="AK275" s="5">
        <v>2.9073942152885998E-4</v>
      </c>
      <c r="AL275" s="5">
        <v>4.9982961095255496E-4</v>
      </c>
      <c r="AM275" s="5">
        <v>8.3523475772700128E-4</v>
      </c>
      <c r="AN275" s="5"/>
      <c r="AV275" s="5">
        <v>130000</v>
      </c>
      <c r="AW275">
        <v>5030</v>
      </c>
      <c r="AX275">
        <v>-207</v>
      </c>
      <c r="AY275">
        <v>72</v>
      </c>
      <c r="BD275">
        <v>0.66188000000000002</v>
      </c>
      <c r="BE275">
        <v>2.0699999999999998</v>
      </c>
      <c r="BF275" s="5">
        <v>1.8000000000000001E+26</v>
      </c>
      <c r="BG275">
        <v>0.63</v>
      </c>
      <c r="BH275" s="5">
        <v>180000</v>
      </c>
      <c r="BI275" t="s">
        <v>314</v>
      </c>
      <c r="BO275" s="17">
        <v>900</v>
      </c>
      <c r="BP275" t="s">
        <v>82</v>
      </c>
      <c r="BQ275" t="s">
        <v>83</v>
      </c>
      <c r="BR275">
        <v>100</v>
      </c>
      <c r="BS275">
        <v>48</v>
      </c>
      <c r="BT275" t="s">
        <v>84</v>
      </c>
      <c r="BV275" t="s">
        <v>302</v>
      </c>
      <c r="BW275" t="s">
        <v>677</v>
      </c>
    </row>
    <row r="276" spans="1:75" x14ac:dyDescent="0.75">
      <c r="B276" t="s">
        <v>426</v>
      </c>
      <c r="C276" t="s">
        <v>300</v>
      </c>
      <c r="D276" t="s">
        <v>77</v>
      </c>
      <c r="E276" t="s">
        <v>77</v>
      </c>
      <c r="F276">
        <v>100</v>
      </c>
      <c r="G276">
        <v>1</v>
      </c>
      <c r="H276" t="s">
        <v>90</v>
      </c>
      <c r="J276">
        <f>1/7</f>
        <v>0.14285714285714285</v>
      </c>
      <c r="R276" t="s">
        <v>84</v>
      </c>
      <c r="S276" s="5"/>
      <c r="T276" s="5"/>
      <c r="U276" s="5"/>
      <c r="V276" s="5"/>
      <c r="W276" s="5"/>
      <c r="X276" s="5"/>
      <c r="Y276" s="5">
        <v>1.7397731392662801E-8</v>
      </c>
      <c r="Z276" s="5">
        <v>4.4746866415906598E-8</v>
      </c>
      <c r="AA276" s="5">
        <v>1.1166864443848E-7</v>
      </c>
      <c r="AB276" s="5">
        <v>2.7077974215378901E-7</v>
      </c>
      <c r="AC276" s="5">
        <v>6.3884702211619199E-7</v>
      </c>
      <c r="AD276" s="5">
        <v>1.4683091626051701E-6</v>
      </c>
      <c r="AE276" s="5">
        <v>3.2914673946457299E-6</v>
      </c>
      <c r="AF276" s="5">
        <v>7.2043408610772296E-6</v>
      </c>
      <c r="AG276" s="5">
        <v>1.5412914851496199E-5</v>
      </c>
      <c r="AH276" s="5">
        <v>1.09262722141112E-4</v>
      </c>
      <c r="AI276" s="5">
        <v>1.5431038592876801E-4</v>
      </c>
      <c r="AJ276" s="5">
        <v>2.15840160534128E-4</v>
      </c>
      <c r="AK276" s="5">
        <v>2.9912741333529101E-4</v>
      </c>
      <c r="AL276" s="5">
        <v>5.5964162368902202E-4</v>
      </c>
      <c r="AM276" s="5">
        <v>1.0132867977165894E-3</v>
      </c>
      <c r="AN276" s="5"/>
      <c r="AQ276" s="5"/>
      <c r="AV276" s="5">
        <v>840000</v>
      </c>
      <c r="AW276">
        <v>5372</v>
      </c>
      <c r="AX276">
        <v>-196</v>
      </c>
      <c r="AY276">
        <v>75</v>
      </c>
      <c r="BD276">
        <v>0.60189999999999999</v>
      </c>
      <c r="BE276">
        <v>1.52</v>
      </c>
      <c r="BF276" s="5">
        <v>3.4E+17</v>
      </c>
      <c r="BG276">
        <v>0.73</v>
      </c>
      <c r="BH276" s="5">
        <v>4200000</v>
      </c>
      <c r="BI276" t="s">
        <v>315</v>
      </c>
      <c r="BO276" s="17">
        <v>900</v>
      </c>
      <c r="BP276" t="s">
        <v>82</v>
      </c>
      <c r="BQ276" t="s">
        <v>83</v>
      </c>
      <c r="BR276">
        <v>100</v>
      </c>
      <c r="BS276">
        <v>48</v>
      </c>
      <c r="BT276" t="s">
        <v>84</v>
      </c>
      <c r="BV276" t="s">
        <v>302</v>
      </c>
      <c r="BW276" t="s">
        <v>677</v>
      </c>
    </row>
    <row r="277" spans="1:75" x14ac:dyDescent="0.75">
      <c r="B277" t="s">
        <v>426</v>
      </c>
      <c r="C277" t="s">
        <v>300</v>
      </c>
      <c r="D277" t="s">
        <v>77</v>
      </c>
      <c r="E277" t="s">
        <v>77</v>
      </c>
      <c r="F277">
        <v>100</v>
      </c>
      <c r="G277">
        <v>1</v>
      </c>
      <c r="H277" t="s">
        <v>90</v>
      </c>
      <c r="J277">
        <f>1/8</f>
        <v>0.125</v>
      </c>
      <c r="R277" t="s">
        <v>84</v>
      </c>
      <c r="S277" s="5"/>
      <c r="T277" s="5"/>
      <c r="U277" s="5"/>
      <c r="V277" s="5"/>
      <c r="W277" s="5"/>
      <c r="X277" s="5"/>
      <c r="Y277" s="5">
        <v>1.18767264154103E-8</v>
      </c>
      <c r="Z277" s="5">
        <v>4.56777505883453E-8</v>
      </c>
      <c r="AA277" s="5">
        <v>1.6827952129232201E-7</v>
      </c>
      <c r="AB277" s="5">
        <v>5.9505514175339201E-7</v>
      </c>
      <c r="AC277" s="5">
        <v>2.0235261071102999E-6</v>
      </c>
      <c r="AD277" s="5">
        <v>6.62921307176464E-6</v>
      </c>
      <c r="AE277" s="5">
        <v>2.0957816870145601E-5</v>
      </c>
      <c r="AF277" s="5">
        <v>7.6985148292823099E-5</v>
      </c>
      <c r="AG277" s="5">
        <v>1.1514190789216299E-4</v>
      </c>
      <c r="AH277" s="5">
        <v>1.70230865589882E-4</v>
      </c>
      <c r="AI277" s="5">
        <v>2.4890573312733402E-4</v>
      </c>
      <c r="AJ277" s="5">
        <v>3.60101208937117E-4</v>
      </c>
      <c r="AK277" s="5">
        <v>5.1570059846171704E-4</v>
      </c>
      <c r="AL277" s="5">
        <v>1.0275525477048699E-3</v>
      </c>
      <c r="AM277" s="5">
        <v>1.9750667011365001E-3</v>
      </c>
      <c r="AN277" s="5">
        <v>4.9490356149610197E-3</v>
      </c>
      <c r="AQ277" s="5"/>
      <c r="AV277">
        <v>8.1</v>
      </c>
      <c r="AW277">
        <v>601</v>
      </c>
      <c r="AX277">
        <v>-2</v>
      </c>
      <c r="AY277">
        <v>65</v>
      </c>
      <c r="BD277">
        <v>0.96155000000000002</v>
      </c>
      <c r="BE277">
        <v>2.17</v>
      </c>
      <c r="BF277" s="5">
        <v>1.3000000000000001E+28</v>
      </c>
      <c r="BG277">
        <v>0.95</v>
      </c>
      <c r="BH277" s="5">
        <v>10000000000</v>
      </c>
      <c r="BI277" t="s">
        <v>316</v>
      </c>
      <c r="BO277" s="17">
        <v>900</v>
      </c>
      <c r="BP277" t="s">
        <v>82</v>
      </c>
      <c r="BQ277" t="s">
        <v>83</v>
      </c>
      <c r="BR277">
        <v>100</v>
      </c>
      <c r="BS277">
        <v>48</v>
      </c>
      <c r="BT277" t="s">
        <v>84</v>
      </c>
      <c r="BV277" t="s">
        <v>302</v>
      </c>
      <c r="BW277" t="s">
        <v>677</v>
      </c>
    </row>
    <row r="278" spans="1:75" x14ac:dyDescent="0.75">
      <c r="B278" t="s">
        <v>426</v>
      </c>
      <c r="C278" t="s">
        <v>300</v>
      </c>
      <c r="D278" t="s">
        <v>77</v>
      </c>
      <c r="E278" t="s">
        <v>77</v>
      </c>
      <c r="F278">
        <v>100</v>
      </c>
      <c r="G278">
        <v>1</v>
      </c>
      <c r="H278" t="s">
        <v>90</v>
      </c>
      <c r="J278">
        <f>1/12</f>
        <v>8.3333333333333329E-2</v>
      </c>
      <c r="R278" t="s">
        <v>84</v>
      </c>
      <c r="S278" s="5"/>
      <c r="T278" s="5"/>
      <c r="U278" s="5">
        <v>8.8082333970971703E-9</v>
      </c>
      <c r="V278" s="5"/>
      <c r="W278" s="5">
        <v>3.42920722225718E-8</v>
      </c>
      <c r="X278" s="5"/>
      <c r="Y278" s="5">
        <v>1.2765160360325901E-7</v>
      </c>
      <c r="Z278" s="5">
        <v>4.5533844241834397E-7</v>
      </c>
      <c r="AA278" s="5">
        <v>1.55957113396915E-6</v>
      </c>
      <c r="AB278" s="5">
        <v>5.1389031952033903E-6</v>
      </c>
      <c r="AC278" s="5">
        <v>1.6319623961708E-5</v>
      </c>
      <c r="AD278" s="5">
        <v>1.9203389220048101E-4</v>
      </c>
      <c r="AE278" s="5">
        <v>2.5649081510248801E-4</v>
      </c>
      <c r="AF278" s="5">
        <v>3.3966331603241202E-4</v>
      </c>
      <c r="AG278" s="5">
        <v>4.4613967998055197E-4</v>
      </c>
      <c r="AH278" s="5">
        <v>5.8142216889557803E-4</v>
      </c>
      <c r="AI278" s="5">
        <v>7.5206491476756399E-4</v>
      </c>
      <c r="AJ278" s="3">
        <v>9.6582509492259302E-4</v>
      </c>
      <c r="AK278" s="5">
        <v>1.23182766699332E-3</v>
      </c>
      <c r="AL278" s="5">
        <v>1.9649833296539201E-3</v>
      </c>
      <c r="AM278" s="5">
        <v>3.0590134648066101E-3</v>
      </c>
      <c r="AN278" s="5">
        <v>5.6991563463808601E-3</v>
      </c>
      <c r="AQ278" s="5"/>
      <c r="AV278">
        <v>0.28499999999999998</v>
      </c>
      <c r="AW278">
        <v>130</v>
      </c>
      <c r="AX278">
        <v>31</v>
      </c>
      <c r="AY278">
        <v>52</v>
      </c>
      <c r="BD278">
        <v>0.51912000000000003</v>
      </c>
      <c r="BE278">
        <v>2.0499999999999998</v>
      </c>
      <c r="BF278" s="5">
        <v>1.4E+27</v>
      </c>
      <c r="BG278">
        <v>0.55000000000000004</v>
      </c>
      <c r="BH278" s="5">
        <v>46000</v>
      </c>
      <c r="BI278" t="s">
        <v>317</v>
      </c>
      <c r="BO278" s="17">
        <v>900</v>
      </c>
      <c r="BP278" t="s">
        <v>82</v>
      </c>
      <c r="BQ278" t="s">
        <v>83</v>
      </c>
      <c r="BR278">
        <v>100</v>
      </c>
      <c r="BS278">
        <v>48</v>
      </c>
      <c r="BT278" t="s">
        <v>84</v>
      </c>
      <c r="BV278" t="s">
        <v>302</v>
      </c>
      <c r="BW278" t="s">
        <v>677</v>
      </c>
    </row>
    <row r="279" spans="1:75" x14ac:dyDescent="0.75">
      <c r="B279" t="s">
        <v>426</v>
      </c>
      <c r="C279" t="s">
        <v>300</v>
      </c>
      <c r="D279" t="s">
        <v>77</v>
      </c>
      <c r="E279" t="s">
        <v>77</v>
      </c>
      <c r="F279">
        <v>100</v>
      </c>
      <c r="G279">
        <v>1</v>
      </c>
      <c r="H279" t="s">
        <v>90</v>
      </c>
      <c r="J279">
        <f>1/20</f>
        <v>0.05</v>
      </c>
      <c r="R279" t="s">
        <v>84</v>
      </c>
      <c r="S279" s="5"/>
      <c r="T279" s="5"/>
      <c r="U279" s="5"/>
      <c r="V279" s="5"/>
      <c r="W279" s="5">
        <v>1.47969348924826E-8</v>
      </c>
      <c r="X279" s="5"/>
      <c r="Y279" s="5">
        <v>5.9520844422671397E-8</v>
      </c>
      <c r="Z279" s="5">
        <v>2.28849212490589E-7</v>
      </c>
      <c r="AA279" s="5">
        <v>8.4285416773433498E-7</v>
      </c>
      <c r="AB279" s="5">
        <v>2.9796051990840902E-6</v>
      </c>
      <c r="AC279" s="5">
        <v>1.01296482889586E-5</v>
      </c>
      <c r="AD279" s="5">
        <v>1.10964170740343E-4</v>
      </c>
      <c r="AE279" s="5">
        <v>2.1839584026064901E-4</v>
      </c>
      <c r="AF279" s="5">
        <v>3.5390998906614899E-4</v>
      </c>
      <c r="AG279" s="5">
        <v>5.0773697686532795E-4</v>
      </c>
      <c r="AH279" s="5">
        <v>6.7150771597366697E-4</v>
      </c>
      <c r="AI279" s="5">
        <v>8.3887809213504096E-4</v>
      </c>
      <c r="AJ279" s="5">
        <v>1.00536121568319E-3</v>
      </c>
      <c r="AK279" s="3">
        <v>1.1679420608539999E-3</v>
      </c>
      <c r="AL279" s="5">
        <v>1.4744743701193799E-3</v>
      </c>
      <c r="AM279" s="5">
        <v>1.75105109803681E-3</v>
      </c>
      <c r="AN279" s="5"/>
      <c r="AV279">
        <v>0.13</v>
      </c>
      <c r="AW279">
        <v>104</v>
      </c>
      <c r="AX279">
        <v>30</v>
      </c>
      <c r="AY279">
        <v>57</v>
      </c>
      <c r="BD279" s="15">
        <v>0.26685999999999999</v>
      </c>
      <c r="BE279" s="17">
        <v>2.17</v>
      </c>
      <c r="BF279" s="27">
        <v>6.6E+28</v>
      </c>
      <c r="BG279" s="17">
        <v>0.45</v>
      </c>
      <c r="BH279" s="17">
        <v>1700</v>
      </c>
      <c r="BI279" s="17" t="s">
        <v>318</v>
      </c>
      <c r="BO279" s="17">
        <v>900</v>
      </c>
      <c r="BP279" t="s">
        <v>82</v>
      </c>
      <c r="BQ279" t="s">
        <v>83</v>
      </c>
      <c r="BR279">
        <v>100</v>
      </c>
      <c r="BS279">
        <v>48</v>
      </c>
      <c r="BT279" t="s">
        <v>84</v>
      </c>
      <c r="BV279" t="s">
        <v>302</v>
      </c>
      <c r="BW279" t="s">
        <v>677</v>
      </c>
    </row>
    <row r="280" spans="1:75" x14ac:dyDescent="0.75">
      <c r="B280" t="s">
        <v>426</v>
      </c>
      <c r="C280" t="s">
        <v>300</v>
      </c>
      <c r="D280" t="s">
        <v>77</v>
      </c>
      <c r="E280" t="s">
        <v>77</v>
      </c>
      <c r="F280">
        <v>100</v>
      </c>
      <c r="G280">
        <v>1</v>
      </c>
      <c r="H280" t="s">
        <v>90</v>
      </c>
      <c r="J280">
        <f>1/40</f>
        <v>2.5000000000000001E-2</v>
      </c>
      <c r="R280" t="s">
        <v>84</v>
      </c>
      <c r="S280" s="5"/>
      <c r="T280" s="5"/>
      <c r="U280" s="5">
        <v>1.5809001987280801E-8</v>
      </c>
      <c r="V280" s="5"/>
      <c r="W280" s="5">
        <v>4.6490116274479E-8</v>
      </c>
      <c r="X280" s="5"/>
      <c r="Y280" s="5">
        <v>1.3193616636351299E-7</v>
      </c>
      <c r="Z280" s="5">
        <v>3.6196481065685999E-7</v>
      </c>
      <c r="AA280" s="5">
        <v>9.6155089284434297E-7</v>
      </c>
      <c r="AB280" s="3">
        <v>2.4770885776510201E-6</v>
      </c>
      <c r="AC280" s="5">
        <v>6.1971669688475303E-6</v>
      </c>
      <c r="AD280" s="5">
        <v>1.50767797098108E-5</v>
      </c>
      <c r="AE280" s="5">
        <v>1.3933404725507701E-4</v>
      </c>
      <c r="AF280" s="5">
        <v>2.6294608546264002E-4</v>
      </c>
      <c r="AG280" s="5">
        <v>4.0412734809646198E-4</v>
      </c>
      <c r="AH280" s="3">
        <v>5.5067000723296798E-4</v>
      </c>
      <c r="AI280" s="5">
        <v>6.9502061348601402E-4</v>
      </c>
      <c r="AJ280" s="5">
        <v>8.3297565734776705E-4</v>
      </c>
      <c r="AK280" s="5">
        <v>9.6245381877970197E-4</v>
      </c>
      <c r="AL280" s="5">
        <v>1.1934541754962801E-3</v>
      </c>
      <c r="AM280" s="5">
        <v>1.38841465585492E-3</v>
      </c>
      <c r="AN280" s="5"/>
      <c r="AV280">
        <v>7.4999999999999997E-2</v>
      </c>
      <c r="AW280">
        <v>72</v>
      </c>
      <c r="AX280">
        <v>39</v>
      </c>
      <c r="AY280">
        <v>59</v>
      </c>
      <c r="BD280" s="15">
        <v>0.27349000000000001</v>
      </c>
      <c r="BE280" s="17">
        <v>1.62</v>
      </c>
      <c r="BF280" s="27">
        <v>1.4E+20</v>
      </c>
      <c r="BG280" s="17">
        <v>0.5</v>
      </c>
      <c r="BH280" s="17">
        <v>7300</v>
      </c>
      <c r="BI280" s="17" t="s">
        <v>319</v>
      </c>
      <c r="BO280" s="17">
        <v>900</v>
      </c>
      <c r="BP280" t="s">
        <v>82</v>
      </c>
      <c r="BQ280" t="s">
        <v>83</v>
      </c>
      <c r="BR280">
        <v>100</v>
      </c>
      <c r="BS280">
        <v>48</v>
      </c>
      <c r="BT280" t="s">
        <v>84</v>
      </c>
      <c r="BV280" t="s">
        <v>302</v>
      </c>
      <c r="BW280" t="s">
        <v>677</v>
      </c>
    </row>
    <row r="281" spans="1:75" x14ac:dyDescent="0.75">
      <c r="B281" t="s">
        <v>426</v>
      </c>
      <c r="C281" t="s">
        <v>300</v>
      </c>
      <c r="D281" t="s">
        <v>77</v>
      </c>
      <c r="E281" t="s">
        <v>77</v>
      </c>
      <c r="F281">
        <v>100</v>
      </c>
      <c r="G281">
        <v>1</v>
      </c>
      <c r="H281" t="s">
        <v>90</v>
      </c>
      <c r="J281">
        <f>1/100</f>
        <v>0.01</v>
      </c>
      <c r="R281" t="s">
        <v>84</v>
      </c>
      <c r="S281" s="5"/>
      <c r="T281" s="5"/>
      <c r="U281" s="5">
        <v>8.3023392314763499E-8</v>
      </c>
      <c r="V281" s="5"/>
      <c r="W281" s="5">
        <v>2.1902628875130499E-7</v>
      </c>
      <c r="X281" s="5"/>
      <c r="Y281" s="5">
        <v>5.5962195362251397E-7</v>
      </c>
      <c r="Z281" s="5">
        <v>1.3869872117220099E-6</v>
      </c>
      <c r="AA281" s="5">
        <v>3.3393555773398401E-6</v>
      </c>
      <c r="AB281" s="5">
        <v>7.8209379404404706E-6</v>
      </c>
      <c r="AC281" s="5">
        <v>1.7840939454039699E-5</v>
      </c>
      <c r="AD281" s="5">
        <v>3.9688264863577397E-5</v>
      </c>
      <c r="AE281" s="5">
        <v>6.2517761296409794E-5</v>
      </c>
      <c r="AF281" s="3">
        <v>7.5691306355938804E-5</v>
      </c>
      <c r="AG281" s="5">
        <v>8.9179259316206496E-5</v>
      </c>
      <c r="AH281" s="5">
        <v>1.02789413950774E-4</v>
      </c>
      <c r="AI281" s="5">
        <v>1.16368750396131E-4</v>
      </c>
      <c r="AJ281" s="5">
        <v>1.29798041798465E-4</v>
      </c>
      <c r="AK281" s="5">
        <v>1.4298634054724099E-4</v>
      </c>
      <c r="AL281" s="5">
        <v>1.6838766222971899E-4</v>
      </c>
      <c r="AM281" s="5">
        <v>1.9223353778356501E-4</v>
      </c>
      <c r="AN281" s="5"/>
      <c r="AV281">
        <v>1.7000000000000001E-2</v>
      </c>
      <c r="AW281">
        <v>169</v>
      </c>
      <c r="AX281">
        <v>-3</v>
      </c>
      <c r="AY281">
        <v>56</v>
      </c>
      <c r="BD281" s="15">
        <v>0.23332</v>
      </c>
      <c r="BE281" s="17">
        <v>1.46</v>
      </c>
      <c r="BF281" s="27">
        <v>1.1E+18</v>
      </c>
      <c r="BG281" s="17">
        <v>0.25</v>
      </c>
      <c r="BH281" s="17">
        <v>0.36</v>
      </c>
      <c r="BI281" s="17" t="s">
        <v>320</v>
      </c>
      <c r="BO281" s="17">
        <v>900</v>
      </c>
      <c r="BP281" t="s">
        <v>82</v>
      </c>
      <c r="BQ281" t="s">
        <v>83</v>
      </c>
      <c r="BR281">
        <v>100</v>
      </c>
      <c r="BS281">
        <v>48</v>
      </c>
      <c r="BT281" t="s">
        <v>84</v>
      </c>
      <c r="BV281" t="s">
        <v>302</v>
      </c>
      <c r="BW281" t="s">
        <v>677</v>
      </c>
    </row>
    <row r="282" spans="1:75" x14ac:dyDescent="0.75">
      <c r="B282" t="s">
        <v>426</v>
      </c>
      <c r="C282" t="s">
        <v>300</v>
      </c>
      <c r="D282" t="s">
        <v>77</v>
      </c>
      <c r="E282" t="s">
        <v>77</v>
      </c>
      <c r="F282">
        <v>100</v>
      </c>
      <c r="G282">
        <v>1</v>
      </c>
      <c r="H282" t="s">
        <v>321</v>
      </c>
      <c r="J282">
        <f>1/4</f>
        <v>0.25</v>
      </c>
      <c r="R282" t="s">
        <v>84</v>
      </c>
      <c r="S282" s="5"/>
      <c r="T282" s="5"/>
      <c r="U282" s="5"/>
      <c r="V282" s="5"/>
      <c r="W282" s="5"/>
      <c r="X282" s="5"/>
      <c r="Y282" s="5"/>
      <c r="Z282" s="5"/>
      <c r="AA282" s="5"/>
      <c r="AB282" s="5"/>
      <c r="AC282" s="5"/>
      <c r="AD282" s="5"/>
      <c r="AE282" s="5"/>
      <c r="AF282" s="5"/>
      <c r="AG282" s="5"/>
      <c r="AH282" s="5"/>
      <c r="AI282" s="5">
        <v>1.58394151388583E-8</v>
      </c>
      <c r="AJ282" s="5">
        <v>3.6146601647426597E-8</v>
      </c>
      <c r="AK282" s="5">
        <v>8.0391349002300598E-8</v>
      </c>
      <c r="AL282" s="5">
        <v>3.6979350176901001E-7</v>
      </c>
      <c r="AM282" s="5">
        <v>1.5550486118609399E-6</v>
      </c>
      <c r="AN282" s="5">
        <v>1.1522281500452499E-5</v>
      </c>
      <c r="AV282" s="5">
        <v>2.4E+16</v>
      </c>
      <c r="AW282" s="5">
        <v>16000</v>
      </c>
      <c r="AX282">
        <v>-232</v>
      </c>
      <c r="AY282" t="s">
        <v>80</v>
      </c>
      <c r="BG282">
        <v>1.78</v>
      </c>
      <c r="BH282" s="5">
        <v>3.6E+17</v>
      </c>
      <c r="BI282" t="s">
        <v>81</v>
      </c>
      <c r="BO282" s="17">
        <v>900</v>
      </c>
      <c r="BP282" t="s">
        <v>82</v>
      </c>
      <c r="BQ282" t="s">
        <v>83</v>
      </c>
      <c r="BR282">
        <v>100</v>
      </c>
      <c r="BS282">
        <v>48</v>
      </c>
      <c r="BT282" t="s">
        <v>84</v>
      </c>
      <c r="BV282" t="s">
        <v>302</v>
      </c>
      <c r="BW282" t="s">
        <v>677</v>
      </c>
    </row>
    <row r="283" spans="1:75" x14ac:dyDescent="0.75">
      <c r="B283" t="s">
        <v>426</v>
      </c>
      <c r="C283" t="s">
        <v>300</v>
      </c>
      <c r="D283" t="s">
        <v>77</v>
      </c>
      <c r="E283" t="s">
        <v>77</v>
      </c>
      <c r="F283">
        <v>100</v>
      </c>
      <c r="G283">
        <v>1</v>
      </c>
      <c r="H283" t="s">
        <v>321</v>
      </c>
      <c r="J283">
        <f>1/8</f>
        <v>0.125</v>
      </c>
      <c r="R283" t="s">
        <v>84</v>
      </c>
      <c r="S283" s="5"/>
      <c r="T283" s="5"/>
      <c r="U283" s="5"/>
      <c r="V283" s="5"/>
      <c r="W283" s="5">
        <v>1.6580622493375202E-8</v>
      </c>
      <c r="X283" s="5"/>
      <c r="Y283" s="5">
        <v>4.1652598830083302E-8</v>
      </c>
      <c r="Z283" s="5">
        <v>1.0155500807760399E-7</v>
      </c>
      <c r="AA283" s="3">
        <v>2.40658053678069E-7</v>
      </c>
      <c r="AB283" s="5">
        <v>5.5503711006919404E-7</v>
      </c>
      <c r="AC283" s="5">
        <v>1.2474205504185801E-6</v>
      </c>
      <c r="AD283" s="5">
        <v>6.0088792193328199E-6</v>
      </c>
      <c r="AE283" s="3">
        <v>8.7921946677295797E-6</v>
      </c>
      <c r="AF283" s="5">
        <v>1.27193362690011E-5</v>
      </c>
      <c r="AG283" s="5">
        <v>1.82016782702821E-5</v>
      </c>
      <c r="AH283" s="5">
        <v>2.5777588604310099E-5</v>
      </c>
      <c r="AI283" s="5">
        <v>3.6145104012108802E-5</v>
      </c>
      <c r="AJ283" s="5">
        <v>5.0201270079717403E-5</v>
      </c>
      <c r="AK283" s="5">
        <v>6.9089117004289397E-5</v>
      </c>
      <c r="AL283" s="5">
        <v>1.27505602810872E-4</v>
      </c>
      <c r="AM283" s="5">
        <v>2.2782734593527199E-4</v>
      </c>
      <c r="AN283" s="5"/>
      <c r="AV283" s="5">
        <v>19000000</v>
      </c>
      <c r="AW283">
        <v>8500</v>
      </c>
      <c r="AX283">
        <v>-273.14999999999998</v>
      </c>
      <c r="AY283">
        <v>54</v>
      </c>
      <c r="BD283">
        <v>0.72333999999999998</v>
      </c>
      <c r="BE283">
        <v>1.43</v>
      </c>
      <c r="BF283" s="5">
        <v>3E+16</v>
      </c>
      <c r="BG283">
        <v>0.71599999999999997</v>
      </c>
      <c r="BH283" s="5">
        <v>600000</v>
      </c>
      <c r="BI283" t="s">
        <v>322</v>
      </c>
      <c r="BO283" s="17">
        <v>900</v>
      </c>
      <c r="BP283" t="s">
        <v>82</v>
      </c>
      <c r="BQ283" t="s">
        <v>83</v>
      </c>
      <c r="BR283">
        <v>100</v>
      </c>
      <c r="BS283">
        <v>48</v>
      </c>
      <c r="BT283" t="s">
        <v>84</v>
      </c>
      <c r="BV283" t="s">
        <v>302</v>
      </c>
      <c r="BW283" t="s">
        <v>677</v>
      </c>
    </row>
    <row r="284" spans="1:75" x14ac:dyDescent="0.75">
      <c r="B284" t="s">
        <v>426</v>
      </c>
      <c r="C284" t="s">
        <v>300</v>
      </c>
      <c r="D284" t="s">
        <v>77</v>
      </c>
      <c r="E284" t="s">
        <v>77</v>
      </c>
      <c r="F284">
        <v>100</v>
      </c>
      <c r="G284">
        <v>1</v>
      </c>
      <c r="H284" t="s">
        <v>321</v>
      </c>
      <c r="J284">
        <f>1/12</f>
        <v>8.3333333333333329E-2</v>
      </c>
      <c r="R284" t="s">
        <v>84</v>
      </c>
      <c r="S284" s="5"/>
      <c r="T284" s="5"/>
      <c r="U284" s="5"/>
      <c r="V284" s="5"/>
      <c r="W284" s="5">
        <v>1.0818379660090301E-8</v>
      </c>
      <c r="Y284" s="5">
        <v>3.69371329804434E-8</v>
      </c>
      <c r="Z284" s="5">
        <v>1.21187439479487E-7</v>
      </c>
      <c r="AA284" s="5">
        <v>3.8280225529196002E-7</v>
      </c>
      <c r="AB284" s="5">
        <v>1.16624741477213E-6</v>
      </c>
      <c r="AC284" s="5">
        <v>3.4326934655366099E-6</v>
      </c>
      <c r="AD284" s="5">
        <v>3.3960868833758201E-5</v>
      </c>
      <c r="AE284" s="5">
        <v>4.9781891399293101E-5</v>
      </c>
      <c r="AF284" s="5">
        <v>7.21526341899206E-5</v>
      </c>
      <c r="AG284" s="5">
        <v>1.0345128625868099E-4</v>
      </c>
      <c r="AH284" s="5">
        <v>1.4679960184891901E-4</v>
      </c>
      <c r="AI284" s="5">
        <v>2.0625764389747801E-4</v>
      </c>
      <c r="AJ284" s="5">
        <v>2.87059332567469E-4</v>
      </c>
      <c r="AK284" s="5">
        <v>3.9589503672568402E-4</v>
      </c>
      <c r="AL284" s="5">
        <v>7.3379168624524999E-4</v>
      </c>
      <c r="AM284" s="5">
        <v>1.31697216828463E-3</v>
      </c>
      <c r="AN284" s="5">
        <v>2.9968072371584298E-3</v>
      </c>
      <c r="AV284" s="5">
        <v>120000000</v>
      </c>
      <c r="AW284">
        <v>8540</v>
      </c>
      <c r="AX284">
        <v>-273.14999999999998</v>
      </c>
      <c r="AY284">
        <v>57</v>
      </c>
      <c r="BD284">
        <v>0.70503000000000005</v>
      </c>
      <c r="BE284">
        <v>1.9</v>
      </c>
      <c r="BF284" s="5">
        <v>2.2999999999999999E+24</v>
      </c>
      <c r="BG284">
        <v>0.72</v>
      </c>
      <c r="BH284" s="5">
        <v>4000000</v>
      </c>
      <c r="BI284" t="s">
        <v>323</v>
      </c>
      <c r="BO284" s="17">
        <v>900</v>
      </c>
      <c r="BP284" t="s">
        <v>82</v>
      </c>
      <c r="BQ284" t="s">
        <v>83</v>
      </c>
      <c r="BR284">
        <v>100</v>
      </c>
      <c r="BS284">
        <v>48</v>
      </c>
      <c r="BT284" t="s">
        <v>84</v>
      </c>
      <c r="BV284" t="s">
        <v>302</v>
      </c>
      <c r="BW284" t="s">
        <v>677</v>
      </c>
    </row>
    <row r="285" spans="1:75" x14ac:dyDescent="0.75">
      <c r="B285" t="s">
        <v>426</v>
      </c>
      <c r="C285" t="s">
        <v>300</v>
      </c>
      <c r="D285" t="s">
        <v>77</v>
      </c>
      <c r="E285" t="s">
        <v>77</v>
      </c>
      <c r="F285">
        <v>100</v>
      </c>
      <c r="G285">
        <v>1</v>
      </c>
      <c r="H285" t="s">
        <v>321</v>
      </c>
      <c r="J285">
        <f>1/20</f>
        <v>0.05</v>
      </c>
      <c r="R285" t="s">
        <v>84</v>
      </c>
      <c r="S285" s="5"/>
      <c r="T285" s="5"/>
      <c r="U285" s="5"/>
      <c r="V285" s="5"/>
      <c r="W285" s="5"/>
      <c r="X285" s="5"/>
      <c r="Y285" s="5">
        <v>5.9450534931034546E-9</v>
      </c>
      <c r="Z285" s="5">
        <v>3.0264795950764199E-8</v>
      </c>
      <c r="AA285" s="5">
        <v>1.46286506746376E-7</v>
      </c>
      <c r="AB285" s="5">
        <v>6.7291950756449503E-7</v>
      </c>
      <c r="AC285" s="5">
        <v>2.9526545717278598E-6</v>
      </c>
      <c r="AD285" s="5">
        <v>1.2384838234674601E-5</v>
      </c>
      <c r="AE285" s="5">
        <v>2.4777959039516798E-4</v>
      </c>
      <c r="AF285" s="5">
        <v>3.5004085716212099E-4</v>
      </c>
      <c r="AG285" s="5">
        <v>4.8955233893262803E-4</v>
      </c>
      <c r="AH285" s="5">
        <v>6.7810212681806005E-4</v>
      </c>
      <c r="AI285" s="5">
        <v>9.3064575589721604E-4</v>
      </c>
      <c r="AJ285" s="5">
        <v>1.2660032516400401E-3</v>
      </c>
      <c r="AK285" s="5">
        <v>1.7076738663348301E-3</v>
      </c>
      <c r="AL285" s="5">
        <v>3.0331647221234202E-3</v>
      </c>
      <c r="AM285" s="5">
        <v>5.2283410181519904E-3</v>
      </c>
      <c r="AN285" s="5"/>
      <c r="AV285" s="5">
        <v>110000000</v>
      </c>
      <c r="AW285">
        <v>7960</v>
      </c>
      <c r="AX285">
        <v>-273.14999999999998</v>
      </c>
      <c r="AY285">
        <v>58</v>
      </c>
      <c r="BD285">
        <v>0.62887999999999999</v>
      </c>
      <c r="BE285">
        <v>2.62</v>
      </c>
      <c r="BF285" s="5">
        <v>2.1999999999999999E+35</v>
      </c>
      <c r="BG285">
        <v>0.67</v>
      </c>
      <c r="BH285" s="5">
        <v>3500000</v>
      </c>
      <c r="BI285" t="s">
        <v>324</v>
      </c>
      <c r="BO285" s="17">
        <v>900</v>
      </c>
      <c r="BP285" t="s">
        <v>82</v>
      </c>
      <c r="BQ285" t="s">
        <v>83</v>
      </c>
      <c r="BR285">
        <v>100</v>
      </c>
      <c r="BS285">
        <v>48</v>
      </c>
      <c r="BT285" t="s">
        <v>84</v>
      </c>
      <c r="BV285" t="s">
        <v>302</v>
      </c>
      <c r="BW285" t="s">
        <v>677</v>
      </c>
    </row>
    <row r="286" spans="1:75" x14ac:dyDescent="0.75">
      <c r="B286" t="s">
        <v>426</v>
      </c>
      <c r="C286" t="s">
        <v>300</v>
      </c>
      <c r="D286" t="s">
        <v>77</v>
      </c>
      <c r="E286" t="s">
        <v>77</v>
      </c>
      <c r="F286">
        <v>100</v>
      </c>
      <c r="G286">
        <v>1</v>
      </c>
      <c r="H286" t="s">
        <v>321</v>
      </c>
      <c r="J286">
        <f>1/36</f>
        <v>2.7777777777777776E-2</v>
      </c>
      <c r="R286" t="s">
        <v>84</v>
      </c>
      <c r="S286" s="5"/>
      <c r="T286" s="5"/>
      <c r="U286" s="5"/>
      <c r="V286" s="5"/>
      <c r="X286" s="5"/>
      <c r="Y286" s="5">
        <v>2.5475178582505017E-9</v>
      </c>
      <c r="Z286" s="5">
        <v>1.35253908000964E-8</v>
      </c>
      <c r="AA286" s="5">
        <v>6.8076389188514397E-8</v>
      </c>
      <c r="AB286" s="5">
        <v>3.2567390204624598E-7</v>
      </c>
      <c r="AC286" s="5">
        <v>1.48433918344751E-6</v>
      </c>
      <c r="AD286" s="5">
        <v>6.4596454201944E-6</v>
      </c>
      <c r="AE286" s="5">
        <v>2.4069971257943701E-4</v>
      </c>
      <c r="AF286" s="5">
        <v>3.1280708667896502E-4</v>
      </c>
      <c r="AG286" s="5">
        <v>4.0342353618252701E-4</v>
      </c>
      <c r="AH286" s="5">
        <v>5.1650246896846699E-4</v>
      </c>
      <c r="AI286" s="5">
        <v>6.5666653840788195E-4</v>
      </c>
      <c r="AJ286" s="5">
        <v>8.2928909017731796E-4</v>
      </c>
      <c r="AK286" s="5">
        <v>1.04058091151906E-3</v>
      </c>
      <c r="AL286" s="5">
        <v>1.6087589401382E-3</v>
      </c>
      <c r="AM286" s="5">
        <v>2.4312237804118481E-3</v>
      </c>
      <c r="AN286" s="5"/>
      <c r="AV286" s="5">
        <v>370000</v>
      </c>
      <c r="AW286">
        <v>6082</v>
      </c>
      <c r="AX286">
        <v>-273.14999999999998</v>
      </c>
      <c r="AY286">
        <v>58</v>
      </c>
      <c r="BD286">
        <v>0.47598000000000001</v>
      </c>
      <c r="BE286">
        <v>2.6880000000000002</v>
      </c>
      <c r="BF286" s="5">
        <v>1.2E+36</v>
      </c>
      <c r="BG286">
        <v>0.50900000000000001</v>
      </c>
      <c r="BH286" s="5">
        <v>12000</v>
      </c>
      <c r="BI286" t="s">
        <v>324</v>
      </c>
      <c r="BO286" s="17">
        <v>900</v>
      </c>
      <c r="BP286" t="s">
        <v>82</v>
      </c>
      <c r="BQ286" t="s">
        <v>83</v>
      </c>
      <c r="BR286">
        <v>100</v>
      </c>
      <c r="BS286">
        <v>48</v>
      </c>
      <c r="BT286" t="s">
        <v>84</v>
      </c>
      <c r="BV286" t="s">
        <v>302</v>
      </c>
      <c r="BW286" t="s">
        <v>677</v>
      </c>
    </row>
    <row r="287" spans="1:75" x14ac:dyDescent="0.75">
      <c r="A287" s="1"/>
      <c r="B287" t="s">
        <v>426</v>
      </c>
      <c r="C287" s="1" t="s">
        <v>300</v>
      </c>
      <c r="D287" t="s">
        <v>77</v>
      </c>
      <c r="E287" t="s">
        <v>77</v>
      </c>
      <c r="F287">
        <v>100</v>
      </c>
      <c r="G287">
        <v>1</v>
      </c>
      <c r="H287" s="1" t="s">
        <v>321</v>
      </c>
      <c r="I287" s="1"/>
      <c r="J287" s="1">
        <f>1/100</f>
        <v>0.01</v>
      </c>
      <c r="K287" s="1"/>
      <c r="L287" s="1"/>
      <c r="M287" s="1"/>
      <c r="N287" s="1"/>
      <c r="O287" s="1"/>
      <c r="P287" s="1"/>
      <c r="Q287" s="1"/>
      <c r="R287" t="s">
        <v>84</v>
      </c>
      <c r="S287" s="3"/>
      <c r="T287" s="3"/>
      <c r="U287" s="3">
        <v>1.6094757338717601E-8</v>
      </c>
      <c r="V287" s="3"/>
      <c r="W287" s="3">
        <v>4.4664171611456402E-8</v>
      </c>
      <c r="X287" s="3"/>
      <c r="Y287" s="5">
        <v>1.1984277027564801E-7</v>
      </c>
      <c r="Z287" s="5">
        <v>3.1142529139049298E-7</v>
      </c>
      <c r="AA287" s="5">
        <v>7.8496758312567601E-7</v>
      </c>
      <c r="AB287" s="5">
        <v>1.92189562858655E-6</v>
      </c>
      <c r="AC287" s="5">
        <v>4.5769260496349902E-6</v>
      </c>
      <c r="AD287" s="5">
        <v>1.06153445398098E-5</v>
      </c>
      <c r="AE287" s="5">
        <v>4.4407293231367602E-4</v>
      </c>
      <c r="AF287" s="5">
        <v>5.2454663210651305E-4</v>
      </c>
      <c r="AG287" s="5">
        <v>6.1660364092693302E-4</v>
      </c>
      <c r="AH287" s="5">
        <v>7.2145801583911595E-4</v>
      </c>
      <c r="AI287" s="5">
        <v>8.4039741833629095E-4</v>
      </c>
      <c r="AJ287" s="5">
        <v>9.7478292306162496E-4</v>
      </c>
      <c r="AK287" s="5">
        <v>1.12604852017954E-3</v>
      </c>
      <c r="AL287" s="3">
        <v>1.4853154703124299E-3</v>
      </c>
      <c r="AM287" s="3"/>
      <c r="AN287" s="3"/>
      <c r="AO287" s="1"/>
      <c r="AP287" s="1"/>
      <c r="AQ287" s="1"/>
      <c r="AR287" s="1"/>
      <c r="AS287" s="1"/>
      <c r="AT287" s="1"/>
      <c r="AU287" s="1"/>
      <c r="AV287" s="1">
        <v>124</v>
      </c>
      <c r="AW287" s="1">
        <v>2546</v>
      </c>
      <c r="AX287" s="1">
        <v>-204</v>
      </c>
      <c r="AY287" s="1">
        <v>60</v>
      </c>
      <c r="AZ287" s="1"/>
      <c r="BA287" s="1"/>
      <c r="BB287" s="1"/>
      <c r="BC287" s="1"/>
      <c r="BD287" s="1">
        <v>0.62336000000000003</v>
      </c>
      <c r="BE287" s="1">
        <v>1.5369999999999999</v>
      </c>
      <c r="BF287" s="3">
        <v>4.4E+18</v>
      </c>
      <c r="BG287" s="1">
        <v>0.32</v>
      </c>
      <c r="BH287" s="1">
        <v>34.6</v>
      </c>
      <c r="BI287" s="1" t="s">
        <v>325</v>
      </c>
      <c r="BJ287" s="1"/>
      <c r="BK287" s="1"/>
      <c r="BL287" s="1"/>
      <c r="BM287" s="1"/>
      <c r="BN287" s="1"/>
      <c r="BO287" s="19">
        <v>900</v>
      </c>
      <c r="BP287" s="1" t="s">
        <v>82</v>
      </c>
      <c r="BQ287" s="1" t="s">
        <v>83</v>
      </c>
      <c r="BR287" s="1">
        <v>100</v>
      </c>
      <c r="BS287" s="1">
        <v>48</v>
      </c>
      <c r="BT287" t="s">
        <v>84</v>
      </c>
      <c r="BU287" s="1"/>
      <c r="BV287" t="s">
        <v>302</v>
      </c>
      <c r="BW287" t="s">
        <v>677</v>
      </c>
    </row>
    <row r="288" spans="1:75" x14ac:dyDescent="0.75">
      <c r="A288" t="s">
        <v>326</v>
      </c>
      <c r="B288" t="s">
        <v>426</v>
      </c>
      <c r="C288" t="s">
        <v>300</v>
      </c>
      <c r="D288" t="s">
        <v>77</v>
      </c>
      <c r="E288" t="s">
        <v>77</v>
      </c>
      <c r="F288">
        <v>100</v>
      </c>
      <c r="G288">
        <v>1</v>
      </c>
      <c r="H288" t="s">
        <v>91</v>
      </c>
      <c r="J288">
        <f>1/8</f>
        <v>0.125</v>
      </c>
      <c r="R288" t="s">
        <v>84</v>
      </c>
      <c r="S288" s="5"/>
      <c r="T288" s="5"/>
      <c r="U288" s="5"/>
      <c r="V288" s="5"/>
      <c r="X288" s="5"/>
      <c r="Y288" s="5"/>
      <c r="Z288" s="5"/>
      <c r="AA288" s="5"/>
      <c r="AB288" s="5"/>
      <c r="AC288" s="5"/>
      <c r="AD288" s="5"/>
      <c r="AE288" s="5"/>
      <c r="AF288" s="5"/>
      <c r="AG288" s="5"/>
      <c r="AH288" s="5"/>
      <c r="AI288" s="5"/>
      <c r="AJ288" s="5">
        <v>2.4357000000000001E-5</v>
      </c>
      <c r="AK288" s="5"/>
      <c r="AL288" s="5"/>
      <c r="AM288" s="5"/>
      <c r="AN288" s="5">
        <v>2.162E-4</v>
      </c>
      <c r="BD288">
        <v>0.63322000000000001</v>
      </c>
      <c r="BI288" t="s">
        <v>327</v>
      </c>
      <c r="BO288" s="17">
        <v>1000</v>
      </c>
      <c r="BP288" t="s">
        <v>82</v>
      </c>
      <c r="BQ288" t="s">
        <v>83</v>
      </c>
      <c r="BR288" s="30"/>
      <c r="BS288" s="30"/>
      <c r="BT288" s="47" t="s">
        <v>125</v>
      </c>
      <c r="BV288" t="s">
        <v>328</v>
      </c>
      <c r="BW288" t="s">
        <v>678</v>
      </c>
    </row>
    <row r="289" spans="1:75" x14ac:dyDescent="0.75">
      <c r="A289" t="s">
        <v>329</v>
      </c>
      <c r="B289" t="s">
        <v>426</v>
      </c>
      <c r="C289" t="s">
        <v>300</v>
      </c>
      <c r="D289" t="s">
        <v>77</v>
      </c>
      <c r="E289" t="s">
        <v>77</v>
      </c>
      <c r="F289">
        <v>100</v>
      </c>
      <c r="G289">
        <v>1</v>
      </c>
      <c r="H289" t="s">
        <v>91</v>
      </c>
      <c r="J289">
        <f>1/12</f>
        <v>8.3333333333333329E-2</v>
      </c>
      <c r="R289" t="s">
        <v>84</v>
      </c>
      <c r="S289" s="5"/>
      <c r="T289" s="5"/>
      <c r="U289" s="5"/>
      <c r="V289" s="5"/>
      <c r="X289" s="5"/>
      <c r="Y289" s="5"/>
      <c r="Z289" s="5"/>
      <c r="AA289" s="5"/>
      <c r="AB289" s="5"/>
      <c r="AC289" s="5"/>
      <c r="AD289" s="5"/>
      <c r="AE289" s="5"/>
      <c r="AF289" s="5"/>
      <c r="AG289" s="5"/>
      <c r="AH289" s="5"/>
      <c r="AI289" s="5"/>
      <c r="AJ289" s="5">
        <v>3.8213999999999997E-5</v>
      </c>
      <c r="AK289" s="5"/>
      <c r="AL289" s="5"/>
      <c r="AM289" s="5"/>
      <c r="AN289" s="5">
        <v>3.4712000000000002E-4</v>
      </c>
      <c r="BD289">
        <v>0.66074999999999995</v>
      </c>
      <c r="BO289" s="17">
        <v>1000</v>
      </c>
      <c r="BP289" t="s">
        <v>82</v>
      </c>
      <c r="BQ289" t="s">
        <v>83</v>
      </c>
      <c r="BR289" s="30"/>
      <c r="BS289" s="30"/>
      <c r="BT289" s="47" t="s">
        <v>125</v>
      </c>
      <c r="BV289" t="s">
        <v>328</v>
      </c>
      <c r="BW289" t="s">
        <v>678</v>
      </c>
    </row>
    <row r="290" spans="1:75" x14ac:dyDescent="0.75">
      <c r="A290" t="s">
        <v>330</v>
      </c>
      <c r="B290" t="s">
        <v>426</v>
      </c>
      <c r="C290" t="s">
        <v>300</v>
      </c>
      <c r="D290" t="s">
        <v>77</v>
      </c>
      <c r="E290" t="s">
        <v>77</v>
      </c>
      <c r="F290">
        <v>100</v>
      </c>
      <c r="G290">
        <v>1</v>
      </c>
      <c r="H290" t="s">
        <v>91</v>
      </c>
      <c r="J290">
        <f>1/20</f>
        <v>0.05</v>
      </c>
      <c r="R290" t="s">
        <v>84</v>
      </c>
      <c r="S290" s="5"/>
      <c r="T290" s="5"/>
      <c r="U290" s="5"/>
      <c r="V290" s="5"/>
      <c r="X290" s="5"/>
      <c r="Y290" s="5"/>
      <c r="Z290" s="5"/>
      <c r="AA290" s="5"/>
      <c r="AB290" s="5"/>
      <c r="AC290" s="5"/>
      <c r="AD290" s="5"/>
      <c r="AE290" s="5"/>
      <c r="AF290" s="5"/>
      <c r="AG290" s="5"/>
      <c r="AH290" s="5"/>
      <c r="AI290" s="5"/>
      <c r="AJ290" s="5">
        <v>6.5234999999999995E-5</v>
      </c>
      <c r="AK290" s="5"/>
      <c r="AL290" s="5"/>
      <c r="AM290" s="5"/>
      <c r="AN290" s="5">
        <v>4.8149E-4</v>
      </c>
      <c r="BD290">
        <v>0.58911000000000002</v>
      </c>
      <c r="BO290" s="17">
        <v>1000</v>
      </c>
      <c r="BP290" t="s">
        <v>82</v>
      </c>
      <c r="BQ290" t="s">
        <v>83</v>
      </c>
      <c r="BR290" s="30"/>
      <c r="BS290" s="30"/>
      <c r="BT290" s="47" t="s">
        <v>125</v>
      </c>
      <c r="BV290" t="s">
        <v>328</v>
      </c>
      <c r="BW290" t="s">
        <v>678</v>
      </c>
    </row>
    <row r="291" spans="1:75" x14ac:dyDescent="0.75">
      <c r="B291" t="s">
        <v>426</v>
      </c>
      <c r="C291" t="s">
        <v>300</v>
      </c>
      <c r="D291" t="s">
        <v>77</v>
      </c>
      <c r="E291" t="s">
        <v>77</v>
      </c>
      <c r="F291">
        <v>100</v>
      </c>
      <c r="G291">
        <v>1</v>
      </c>
      <c r="H291" t="s">
        <v>91</v>
      </c>
      <c r="J291">
        <f>1/100</f>
        <v>0.01</v>
      </c>
      <c r="R291" t="s">
        <v>84</v>
      </c>
      <c r="S291" s="5"/>
      <c r="T291" s="5"/>
      <c r="U291" s="5"/>
      <c r="V291" s="5"/>
      <c r="X291" s="5"/>
      <c r="Y291" s="5"/>
      <c r="Z291" s="5"/>
      <c r="AA291" s="5"/>
      <c r="AB291" s="5"/>
      <c r="AC291" s="5"/>
      <c r="AD291" s="5"/>
      <c r="AE291" s="5"/>
      <c r="AF291" s="5"/>
      <c r="AG291" s="5"/>
      <c r="AH291" s="5"/>
      <c r="AI291" s="5"/>
      <c r="AJ291" s="5">
        <v>2.9292999999999999E-5</v>
      </c>
      <c r="AK291" s="5"/>
      <c r="AL291" s="5"/>
      <c r="AM291" s="5"/>
      <c r="AN291" s="5">
        <v>8.1438000000000002E-5</v>
      </c>
      <c r="BD291">
        <v>0.32135999999999998</v>
      </c>
      <c r="BO291" s="17">
        <v>1000</v>
      </c>
      <c r="BP291" t="s">
        <v>82</v>
      </c>
      <c r="BQ291" t="s">
        <v>83</v>
      </c>
      <c r="BR291" s="30"/>
      <c r="BS291" s="30"/>
      <c r="BT291" s="47" t="s">
        <v>125</v>
      </c>
      <c r="BV291" t="s">
        <v>328</v>
      </c>
      <c r="BW291" t="s">
        <v>678</v>
      </c>
    </row>
    <row r="292" spans="1:75" x14ac:dyDescent="0.75">
      <c r="B292" t="s">
        <v>426</v>
      </c>
      <c r="C292" t="s">
        <v>300</v>
      </c>
      <c r="D292" t="s">
        <v>77</v>
      </c>
      <c r="E292" t="s">
        <v>77</v>
      </c>
      <c r="F292">
        <v>100</v>
      </c>
      <c r="G292">
        <v>1</v>
      </c>
      <c r="H292" t="s">
        <v>91</v>
      </c>
      <c r="J292">
        <f>1/4</f>
        <v>0.25</v>
      </c>
      <c r="R292" t="s">
        <v>84</v>
      </c>
      <c r="S292" s="5"/>
      <c r="T292" s="5"/>
      <c r="U292" s="5"/>
      <c r="V292" s="5"/>
      <c r="X292" s="5"/>
      <c r="Y292" s="5"/>
      <c r="Z292" s="5"/>
      <c r="AA292" s="5"/>
      <c r="AB292" s="5"/>
      <c r="AC292" s="5"/>
      <c r="AD292" s="5"/>
      <c r="AE292" s="5"/>
      <c r="AF292" s="5"/>
      <c r="AG292" s="5"/>
      <c r="AH292" s="5"/>
      <c r="AI292" s="5"/>
      <c r="AJ292" s="5">
        <v>2.4451000000000001E-6</v>
      </c>
      <c r="AK292" s="5"/>
      <c r="AL292" s="5"/>
      <c r="AM292" s="5"/>
      <c r="AN292" s="5">
        <v>3.9232E-5</v>
      </c>
      <c r="BD292">
        <v>0.75983999999999996</v>
      </c>
      <c r="BO292" s="17">
        <v>900</v>
      </c>
      <c r="BP292" t="s">
        <v>82</v>
      </c>
      <c r="BQ292" t="s">
        <v>83</v>
      </c>
      <c r="BR292" s="30"/>
      <c r="BS292" s="30"/>
      <c r="BT292" s="47" t="s">
        <v>125</v>
      </c>
      <c r="BV292" t="s">
        <v>328</v>
      </c>
      <c r="BW292" t="s">
        <v>678</v>
      </c>
    </row>
    <row r="293" spans="1:75" x14ac:dyDescent="0.75">
      <c r="B293" t="s">
        <v>426</v>
      </c>
      <c r="C293" t="s">
        <v>300</v>
      </c>
      <c r="D293" t="s">
        <v>77</v>
      </c>
      <c r="E293" t="s">
        <v>77</v>
      </c>
      <c r="F293">
        <v>100</v>
      </c>
      <c r="G293">
        <v>1</v>
      </c>
      <c r="H293" t="s">
        <v>91</v>
      </c>
      <c r="J293">
        <f>1/5</f>
        <v>0.2</v>
      </c>
      <c r="R293" t="s">
        <v>84</v>
      </c>
      <c r="S293" s="5"/>
      <c r="T293" s="5"/>
      <c r="U293" s="5"/>
      <c r="V293" s="5"/>
      <c r="W293" s="5"/>
      <c r="X293" s="5"/>
      <c r="Y293" s="5"/>
      <c r="Z293" s="5"/>
      <c r="AA293" s="5"/>
      <c r="AB293" s="5"/>
      <c r="AC293" s="5"/>
      <c r="AD293" s="5"/>
      <c r="AE293" s="5"/>
      <c r="AF293" s="5"/>
      <c r="AG293" s="5"/>
      <c r="AH293" s="5"/>
      <c r="AI293" s="5"/>
      <c r="AJ293" s="5">
        <v>3.6581000000000002E-6</v>
      </c>
      <c r="AK293" s="5"/>
      <c r="AL293" s="5"/>
      <c r="AM293" s="5"/>
      <c r="AN293" s="5">
        <v>5.0330000000000001E-5</v>
      </c>
      <c r="BD293">
        <v>0.74043000000000003</v>
      </c>
      <c r="BO293" s="17">
        <v>900</v>
      </c>
      <c r="BP293" t="s">
        <v>82</v>
      </c>
      <c r="BQ293" t="s">
        <v>83</v>
      </c>
      <c r="BR293" s="30"/>
      <c r="BS293" s="30"/>
      <c r="BT293" s="47" t="s">
        <v>125</v>
      </c>
      <c r="BV293" t="s">
        <v>328</v>
      </c>
      <c r="BW293" t="s">
        <v>678</v>
      </c>
    </row>
    <row r="294" spans="1:75" x14ac:dyDescent="0.75">
      <c r="B294" t="s">
        <v>426</v>
      </c>
      <c r="C294" t="s">
        <v>300</v>
      </c>
      <c r="D294" t="s">
        <v>77</v>
      </c>
      <c r="E294" t="s">
        <v>77</v>
      </c>
      <c r="F294">
        <v>100</v>
      </c>
      <c r="G294">
        <v>1</v>
      </c>
      <c r="H294" t="s">
        <v>91</v>
      </c>
      <c r="J294">
        <f>1/6</f>
        <v>0.16666666666666666</v>
      </c>
      <c r="R294" t="s">
        <v>84</v>
      </c>
      <c r="S294" s="5"/>
      <c r="T294" s="5"/>
      <c r="U294" s="5"/>
      <c r="V294" s="5"/>
      <c r="W294" s="5"/>
      <c r="X294" s="5"/>
      <c r="Y294" s="5"/>
      <c r="Z294" s="5"/>
      <c r="AA294" s="5"/>
      <c r="AB294" s="5"/>
      <c r="AC294" s="5"/>
      <c r="AD294" s="5"/>
      <c r="AE294" s="5"/>
      <c r="AF294" s="5"/>
      <c r="AG294" s="5"/>
      <c r="AH294" s="5"/>
      <c r="AI294" s="5"/>
      <c r="AJ294" s="5">
        <v>7.1010000000000003E-6</v>
      </c>
      <c r="AK294" s="5"/>
      <c r="AL294" s="5"/>
      <c r="AM294" s="5"/>
      <c r="AN294" s="5">
        <v>7.2387999999999999E-5</v>
      </c>
      <c r="BD294">
        <v>0.63688999999999996</v>
      </c>
      <c r="BO294" s="17">
        <v>900</v>
      </c>
      <c r="BP294" t="s">
        <v>82</v>
      </c>
      <c r="BQ294" t="s">
        <v>83</v>
      </c>
      <c r="BR294" s="30"/>
      <c r="BS294" s="30"/>
      <c r="BT294" s="47" t="s">
        <v>125</v>
      </c>
      <c r="BV294" t="s">
        <v>328</v>
      </c>
      <c r="BW294" t="s">
        <v>678</v>
      </c>
    </row>
    <row r="295" spans="1:75" x14ac:dyDescent="0.75">
      <c r="B295" t="s">
        <v>426</v>
      </c>
      <c r="C295" t="s">
        <v>300</v>
      </c>
      <c r="D295" t="s">
        <v>77</v>
      </c>
      <c r="E295" t="s">
        <v>77</v>
      </c>
      <c r="F295">
        <v>100</v>
      </c>
      <c r="G295">
        <v>1</v>
      </c>
      <c r="H295" t="s">
        <v>91</v>
      </c>
      <c r="J295">
        <f>1/7</f>
        <v>0.14285714285714285</v>
      </c>
      <c r="R295" t="s">
        <v>84</v>
      </c>
      <c r="S295" s="5"/>
      <c r="T295" s="5"/>
      <c r="U295" s="5"/>
      <c r="V295" s="5"/>
      <c r="W295" s="5"/>
      <c r="X295" s="5"/>
      <c r="Y295" s="5"/>
      <c r="Z295" s="5"/>
      <c r="AA295" s="5"/>
      <c r="AB295" s="5"/>
      <c r="AC295" s="5"/>
      <c r="AD295" s="5"/>
      <c r="AE295" s="5"/>
      <c r="AF295" s="5"/>
      <c r="AG295" s="5"/>
      <c r="AH295" s="5"/>
      <c r="AI295" s="5"/>
      <c r="AJ295" s="5">
        <v>1.6443000000000002E-5</v>
      </c>
      <c r="AK295" s="5"/>
      <c r="AL295" s="5"/>
      <c r="AM295" s="5"/>
      <c r="AN295" s="5">
        <v>1.1678E-4</v>
      </c>
      <c r="BD295">
        <v>0.57557999999999998</v>
      </c>
      <c r="BO295" s="17">
        <v>900</v>
      </c>
      <c r="BP295" t="s">
        <v>82</v>
      </c>
      <c r="BQ295" t="s">
        <v>83</v>
      </c>
      <c r="BR295" s="30"/>
      <c r="BS295" s="30"/>
      <c r="BT295" s="47" t="s">
        <v>125</v>
      </c>
      <c r="BV295" t="s">
        <v>328</v>
      </c>
      <c r="BW295" t="s">
        <v>678</v>
      </c>
    </row>
    <row r="296" spans="1:75" x14ac:dyDescent="0.75">
      <c r="B296" t="s">
        <v>426</v>
      </c>
      <c r="C296" t="s">
        <v>300</v>
      </c>
      <c r="D296" t="s">
        <v>77</v>
      </c>
      <c r="E296" t="s">
        <v>77</v>
      </c>
      <c r="F296">
        <v>100</v>
      </c>
      <c r="G296">
        <v>1</v>
      </c>
      <c r="H296" t="s">
        <v>91</v>
      </c>
      <c r="J296">
        <f>1/8</f>
        <v>0.125</v>
      </c>
      <c r="R296" t="s">
        <v>84</v>
      </c>
      <c r="S296" s="5"/>
      <c r="T296" s="5"/>
      <c r="U296" s="5"/>
      <c r="V296" s="5"/>
      <c r="W296" s="5"/>
      <c r="X296" s="5"/>
      <c r="Y296" s="5"/>
      <c r="Z296" s="5"/>
      <c r="AA296" s="5"/>
      <c r="AB296" s="5"/>
      <c r="AC296" s="5"/>
      <c r="AD296" s="5"/>
      <c r="AE296" s="5"/>
      <c r="AF296" s="5"/>
      <c r="AG296" s="5"/>
      <c r="AH296" s="5"/>
      <c r="AI296" s="5"/>
      <c r="AJ296" s="5">
        <v>3.1897000000000003E-5</v>
      </c>
      <c r="AK296" s="5"/>
      <c r="AL296" s="5"/>
      <c r="AM296" s="5"/>
      <c r="AN296" s="5">
        <v>2.3727000000000001E-4</v>
      </c>
      <c r="BD296">
        <v>0.62910999999999995</v>
      </c>
      <c r="BO296" s="17">
        <v>900</v>
      </c>
      <c r="BP296" t="s">
        <v>82</v>
      </c>
      <c r="BQ296" t="s">
        <v>83</v>
      </c>
      <c r="BR296" s="30"/>
      <c r="BS296" s="30"/>
      <c r="BT296" s="47" t="s">
        <v>125</v>
      </c>
      <c r="BV296" t="s">
        <v>328</v>
      </c>
      <c r="BW296" t="s">
        <v>678</v>
      </c>
    </row>
    <row r="297" spans="1:75" x14ac:dyDescent="0.75">
      <c r="B297" t="s">
        <v>426</v>
      </c>
      <c r="C297" t="s">
        <v>300</v>
      </c>
      <c r="D297" t="s">
        <v>77</v>
      </c>
      <c r="E297" t="s">
        <v>77</v>
      </c>
      <c r="F297">
        <v>100</v>
      </c>
      <c r="G297">
        <v>1</v>
      </c>
      <c r="H297" t="s">
        <v>91</v>
      </c>
      <c r="J297">
        <f>1/12</f>
        <v>8.3333333333333329E-2</v>
      </c>
      <c r="R297" t="s">
        <v>84</v>
      </c>
      <c r="S297" s="5"/>
      <c r="T297" s="5"/>
      <c r="U297" s="5"/>
      <c r="V297" s="5"/>
      <c r="W297" s="5"/>
      <c r="X297" s="5"/>
      <c r="Y297" s="5"/>
      <c r="Z297" s="5"/>
      <c r="AA297" s="5"/>
      <c r="AB297" s="5"/>
      <c r="AC297" s="5"/>
      <c r="AD297" s="5"/>
      <c r="AE297" s="5"/>
      <c r="AF297" s="5"/>
      <c r="AG297" s="5"/>
      <c r="AH297" s="5"/>
      <c r="AI297" s="5"/>
      <c r="AJ297" s="5">
        <v>2.0589E-4</v>
      </c>
      <c r="AK297" s="5"/>
      <c r="AL297" s="5"/>
      <c r="AM297" s="5"/>
      <c r="AN297" s="5">
        <v>1.8847E-3</v>
      </c>
      <c r="BD297">
        <v>0.72291000000000005</v>
      </c>
      <c r="BO297" s="17">
        <v>900</v>
      </c>
      <c r="BP297" t="s">
        <v>82</v>
      </c>
      <c r="BQ297" t="s">
        <v>83</v>
      </c>
      <c r="BR297" s="30"/>
      <c r="BS297" s="30"/>
      <c r="BT297" s="47" t="s">
        <v>125</v>
      </c>
      <c r="BV297" t="s">
        <v>328</v>
      </c>
      <c r="BW297" t="s">
        <v>678</v>
      </c>
    </row>
    <row r="298" spans="1:75" x14ac:dyDescent="0.75">
      <c r="B298" t="s">
        <v>426</v>
      </c>
      <c r="C298" t="s">
        <v>300</v>
      </c>
      <c r="D298" t="s">
        <v>77</v>
      </c>
      <c r="E298" t="s">
        <v>77</v>
      </c>
      <c r="F298">
        <v>100</v>
      </c>
      <c r="G298">
        <v>1</v>
      </c>
      <c r="H298" t="s">
        <v>91</v>
      </c>
      <c r="J298">
        <f>1/20</f>
        <v>0.05</v>
      </c>
      <c r="R298" t="s">
        <v>84</v>
      </c>
      <c r="S298" s="5"/>
      <c r="T298" s="5"/>
      <c r="U298" s="5"/>
      <c r="V298" s="5"/>
      <c r="W298" s="5"/>
      <c r="X298" s="5"/>
      <c r="Y298" s="5"/>
      <c r="Z298" s="5"/>
      <c r="AA298" s="5"/>
      <c r="AB298" s="5"/>
      <c r="AC298" s="5"/>
      <c r="AD298" s="5"/>
      <c r="AE298" s="5"/>
      <c r="AF298" s="5"/>
      <c r="AG298" s="5"/>
      <c r="AH298" s="5"/>
      <c r="AI298" s="5"/>
      <c r="AJ298" s="5">
        <v>1.9895000000000001E-4</v>
      </c>
      <c r="AK298" s="5"/>
      <c r="AL298" s="5"/>
      <c r="AM298" s="5"/>
      <c r="AN298" s="5">
        <v>2.7583E-3</v>
      </c>
      <c r="BD298">
        <v>0.68732000000000004</v>
      </c>
      <c r="BO298" s="17">
        <v>900</v>
      </c>
      <c r="BP298" t="s">
        <v>82</v>
      </c>
      <c r="BQ298" t="s">
        <v>83</v>
      </c>
      <c r="BR298" s="30"/>
      <c r="BS298" s="30"/>
      <c r="BT298" s="47" t="s">
        <v>125</v>
      </c>
      <c r="BV298" t="s">
        <v>328</v>
      </c>
      <c r="BW298" t="s">
        <v>678</v>
      </c>
    </row>
    <row r="299" spans="1:75" x14ac:dyDescent="0.75">
      <c r="B299" t="s">
        <v>426</v>
      </c>
      <c r="C299" t="s">
        <v>300</v>
      </c>
      <c r="D299" t="s">
        <v>77</v>
      </c>
      <c r="E299" t="s">
        <v>77</v>
      </c>
      <c r="F299">
        <v>100</v>
      </c>
      <c r="G299">
        <v>1</v>
      </c>
      <c r="H299" t="s">
        <v>91</v>
      </c>
      <c r="J299">
        <f>1/36</f>
        <v>2.7777777777777776E-2</v>
      </c>
      <c r="R299" t="s">
        <v>84</v>
      </c>
      <c r="S299" s="5"/>
      <c r="T299" s="5"/>
      <c r="U299" s="5"/>
      <c r="V299" s="5"/>
      <c r="W299" s="5"/>
      <c r="X299" s="5"/>
      <c r="Y299" s="5"/>
      <c r="Z299" s="5"/>
      <c r="AA299" s="5"/>
      <c r="AB299" s="5"/>
      <c r="AC299" s="5"/>
      <c r="AD299" s="5"/>
      <c r="AE299" s="5"/>
      <c r="AF299" s="5"/>
      <c r="AG299" s="5"/>
      <c r="AH299" s="5"/>
      <c r="AI299" s="5"/>
      <c r="AJ299" s="5">
        <v>1.7312E-5</v>
      </c>
      <c r="AK299" s="5"/>
      <c r="AL299" s="5"/>
      <c r="AM299" s="5"/>
      <c r="AN299" s="5">
        <v>2.6322999999999999E-4</v>
      </c>
      <c r="BD299">
        <v>0.73041999999999996</v>
      </c>
      <c r="BO299" s="17">
        <v>900</v>
      </c>
      <c r="BP299" t="s">
        <v>82</v>
      </c>
      <c r="BQ299" t="s">
        <v>83</v>
      </c>
      <c r="BR299" s="30"/>
      <c r="BS299" s="30"/>
      <c r="BT299" s="47" t="s">
        <v>125</v>
      </c>
      <c r="BV299" t="s">
        <v>328</v>
      </c>
      <c r="BW299" t="s">
        <v>678</v>
      </c>
    </row>
    <row r="300" spans="1:75" x14ac:dyDescent="0.75">
      <c r="B300" t="s">
        <v>426</v>
      </c>
      <c r="C300" t="s">
        <v>300</v>
      </c>
      <c r="D300" t="s">
        <v>77</v>
      </c>
      <c r="E300" t="s">
        <v>77</v>
      </c>
      <c r="F300">
        <v>100</v>
      </c>
      <c r="G300">
        <v>1</v>
      </c>
      <c r="H300" t="s">
        <v>91</v>
      </c>
      <c r="J300">
        <f>1/100</f>
        <v>0.01</v>
      </c>
      <c r="R300" t="s">
        <v>84</v>
      </c>
      <c r="S300" s="5"/>
      <c r="T300" s="5"/>
      <c r="U300" s="5"/>
      <c r="V300" s="5"/>
      <c r="W300" s="5"/>
      <c r="X300" s="5"/>
      <c r="Y300" s="5"/>
      <c r="Z300" s="5"/>
      <c r="AA300" s="5"/>
      <c r="AB300" s="5"/>
      <c r="AC300" s="5"/>
      <c r="AD300" s="5"/>
      <c r="AE300" s="5"/>
      <c r="AF300" s="5"/>
      <c r="AG300" s="5"/>
      <c r="AH300" s="5"/>
      <c r="AI300" s="5"/>
      <c r="AJ300" s="5">
        <v>3.0558000000000001E-4</v>
      </c>
      <c r="AK300" s="5"/>
      <c r="AL300" s="5"/>
      <c r="AM300" s="5"/>
      <c r="AN300" s="5">
        <v>1.8186999999999999E-3</v>
      </c>
      <c r="BD300">
        <v>0.52205999999999997</v>
      </c>
      <c r="BO300" s="17">
        <v>900</v>
      </c>
      <c r="BP300" t="s">
        <v>82</v>
      </c>
      <c r="BQ300" t="s">
        <v>83</v>
      </c>
      <c r="BR300" s="30"/>
      <c r="BS300" s="30"/>
      <c r="BT300" s="47" t="s">
        <v>125</v>
      </c>
      <c r="BV300" t="s">
        <v>328</v>
      </c>
      <c r="BW300" t="s">
        <v>678</v>
      </c>
    </row>
    <row r="301" spans="1:75" x14ac:dyDescent="0.75">
      <c r="B301" t="s">
        <v>426</v>
      </c>
      <c r="C301" t="s">
        <v>300</v>
      </c>
      <c r="D301" t="s">
        <v>77</v>
      </c>
      <c r="E301" t="s">
        <v>77</v>
      </c>
      <c r="F301">
        <v>100</v>
      </c>
      <c r="G301">
        <v>1</v>
      </c>
      <c r="H301" t="s">
        <v>90</v>
      </c>
      <c r="J301">
        <f>1/8</f>
        <v>0.125</v>
      </c>
      <c r="R301" t="s">
        <v>84</v>
      </c>
      <c r="S301" s="5"/>
      <c r="T301" s="5"/>
      <c r="U301" s="5"/>
      <c r="V301" s="5"/>
      <c r="W301" s="5"/>
      <c r="X301" s="5"/>
      <c r="Y301" s="5"/>
      <c r="Z301" s="5"/>
      <c r="AA301" s="5"/>
      <c r="AB301" s="5"/>
      <c r="AC301" s="5"/>
      <c r="AD301" s="5"/>
      <c r="AE301" s="5"/>
      <c r="AF301" s="5"/>
      <c r="AG301" s="5"/>
      <c r="AH301" s="5"/>
      <c r="AI301" s="5"/>
      <c r="AJ301" s="5"/>
      <c r="AK301" s="5"/>
      <c r="AL301" s="5"/>
      <c r="AM301" s="5"/>
      <c r="AN301" s="5">
        <v>8.4778000000000002E-4</v>
      </c>
      <c r="BD301">
        <v>1.0417000000000001</v>
      </c>
      <c r="BO301" s="17">
        <v>1000</v>
      </c>
      <c r="BP301" t="s">
        <v>82</v>
      </c>
      <c r="BQ301" t="s">
        <v>83</v>
      </c>
      <c r="BR301" s="30"/>
      <c r="BS301" s="30"/>
      <c r="BT301" s="47" t="s">
        <v>125</v>
      </c>
      <c r="BV301" t="s">
        <v>328</v>
      </c>
      <c r="BW301" t="s">
        <v>678</v>
      </c>
    </row>
    <row r="302" spans="1:75" x14ac:dyDescent="0.75">
      <c r="B302" t="s">
        <v>426</v>
      </c>
      <c r="C302" t="s">
        <v>300</v>
      </c>
      <c r="D302" t="s">
        <v>77</v>
      </c>
      <c r="E302" t="s">
        <v>77</v>
      </c>
      <c r="F302">
        <v>100</v>
      </c>
      <c r="G302">
        <v>1</v>
      </c>
      <c r="H302" t="s">
        <v>90</v>
      </c>
      <c r="J302">
        <f>1/12</f>
        <v>8.3333333333333329E-2</v>
      </c>
      <c r="R302" t="s">
        <v>84</v>
      </c>
      <c r="S302" s="5"/>
      <c r="T302" s="5"/>
      <c r="U302" s="5"/>
      <c r="V302" s="5"/>
      <c r="W302" s="5"/>
      <c r="X302" s="5"/>
      <c r="Y302" s="5"/>
      <c r="Z302" s="5"/>
      <c r="AA302" s="5"/>
      <c r="AB302" s="5"/>
      <c r="AC302" s="5"/>
      <c r="AD302" s="5"/>
      <c r="AE302" s="5"/>
      <c r="AF302" s="5"/>
      <c r="AG302" s="5"/>
      <c r="AH302" s="5"/>
      <c r="AI302" s="5"/>
      <c r="AJ302" s="5">
        <v>1.7194000000000001E-4</v>
      </c>
      <c r="AK302" s="5"/>
      <c r="AL302" s="5"/>
      <c r="AM302" s="5"/>
      <c r="AN302" s="5">
        <v>2.5363999999999999E-3</v>
      </c>
      <c r="BD302">
        <v>0.69779000000000002</v>
      </c>
      <c r="BO302" s="17">
        <v>1000</v>
      </c>
      <c r="BP302" t="s">
        <v>82</v>
      </c>
      <c r="BQ302" t="s">
        <v>83</v>
      </c>
      <c r="BR302" s="30"/>
      <c r="BS302" s="30"/>
      <c r="BT302" s="47" t="s">
        <v>125</v>
      </c>
      <c r="BV302" t="s">
        <v>328</v>
      </c>
      <c r="BW302" t="s">
        <v>678</v>
      </c>
    </row>
    <row r="303" spans="1:75" x14ac:dyDescent="0.75">
      <c r="B303" t="s">
        <v>426</v>
      </c>
      <c r="C303" t="s">
        <v>300</v>
      </c>
      <c r="D303" t="s">
        <v>77</v>
      </c>
      <c r="E303" t="s">
        <v>77</v>
      </c>
      <c r="F303">
        <v>100</v>
      </c>
      <c r="G303">
        <v>1</v>
      </c>
      <c r="H303" t="s">
        <v>90</v>
      </c>
      <c r="J303">
        <f>1/20</f>
        <v>0.05</v>
      </c>
      <c r="R303" t="s">
        <v>84</v>
      </c>
      <c r="S303" s="5"/>
      <c r="T303" s="5"/>
      <c r="U303" s="5"/>
      <c r="V303" s="5"/>
      <c r="W303" s="5"/>
      <c r="X303" s="5"/>
      <c r="Y303" s="5"/>
      <c r="Z303" s="5"/>
      <c r="AA303" s="5"/>
      <c r="AB303" s="5"/>
      <c r="AC303" s="5"/>
      <c r="AD303" s="5"/>
      <c r="AE303" s="5"/>
      <c r="AF303" s="5"/>
      <c r="AG303" s="5"/>
      <c r="AH303" s="5"/>
      <c r="AI303" s="5"/>
      <c r="AJ303" s="5">
        <v>9.9343000000000001E-4</v>
      </c>
      <c r="AK303" s="5"/>
      <c r="AL303" s="5"/>
      <c r="AM303" s="5"/>
      <c r="AN303" s="5">
        <v>4.1732000000000002E-3</v>
      </c>
      <c r="BD303">
        <v>0.49231000000000003</v>
      </c>
      <c r="BO303" s="17">
        <v>1000</v>
      </c>
      <c r="BP303" t="s">
        <v>82</v>
      </c>
      <c r="BQ303" t="s">
        <v>83</v>
      </c>
      <c r="BR303" s="30"/>
      <c r="BS303" s="30"/>
      <c r="BT303" s="47" t="s">
        <v>125</v>
      </c>
      <c r="BV303" t="s">
        <v>328</v>
      </c>
      <c r="BW303" t="s">
        <v>678</v>
      </c>
    </row>
    <row r="304" spans="1:75" x14ac:dyDescent="0.75">
      <c r="B304" t="s">
        <v>426</v>
      </c>
      <c r="C304" t="s">
        <v>300</v>
      </c>
      <c r="D304" t="s">
        <v>77</v>
      </c>
      <c r="E304" t="s">
        <v>77</v>
      </c>
      <c r="F304">
        <v>100</v>
      </c>
      <c r="G304">
        <v>1</v>
      </c>
      <c r="H304" t="s">
        <v>90</v>
      </c>
      <c r="J304">
        <f>1/100</f>
        <v>0.01</v>
      </c>
      <c r="R304" t="s">
        <v>84</v>
      </c>
      <c r="S304" s="5"/>
      <c r="T304" s="5"/>
      <c r="U304" s="5"/>
      <c r="V304" s="5"/>
      <c r="W304" s="5"/>
      <c r="X304" s="5"/>
      <c r="Y304" s="5"/>
      <c r="Z304" s="5"/>
      <c r="AA304" s="5"/>
      <c r="AB304" s="5"/>
      <c r="AC304" s="5"/>
      <c r="AD304" s="5"/>
      <c r="AE304" s="5"/>
      <c r="AF304" s="5"/>
      <c r="AG304" s="5"/>
      <c r="AH304" s="5"/>
      <c r="AI304" s="5"/>
      <c r="AJ304" s="5">
        <v>1.5648999999999999E-4</v>
      </c>
      <c r="AK304" s="5"/>
      <c r="AL304" s="5"/>
      <c r="AM304" s="5"/>
      <c r="AN304" s="5">
        <v>9.0666E-4</v>
      </c>
      <c r="BD304">
        <v>0.32774999999999999</v>
      </c>
      <c r="BO304" s="17">
        <v>1000</v>
      </c>
      <c r="BP304" t="s">
        <v>82</v>
      </c>
      <c r="BQ304" t="s">
        <v>83</v>
      </c>
      <c r="BR304" s="30"/>
      <c r="BS304" s="30"/>
      <c r="BT304" s="47" t="s">
        <v>125</v>
      </c>
      <c r="BV304" t="s">
        <v>328</v>
      </c>
      <c r="BW304" t="s">
        <v>678</v>
      </c>
    </row>
    <row r="305" spans="1:75" x14ac:dyDescent="0.75">
      <c r="B305" t="s">
        <v>426</v>
      </c>
      <c r="C305" t="s">
        <v>300</v>
      </c>
      <c r="D305" t="s">
        <v>77</v>
      </c>
      <c r="E305" t="s">
        <v>77</v>
      </c>
      <c r="F305">
        <v>100</v>
      </c>
      <c r="G305">
        <v>1</v>
      </c>
      <c r="H305" t="s">
        <v>90</v>
      </c>
      <c r="J305">
        <f>1/3</f>
        <v>0.33333333333333331</v>
      </c>
      <c r="R305" t="s">
        <v>84</v>
      </c>
      <c r="S305" s="5"/>
      <c r="T305" s="5"/>
      <c r="U305" s="5"/>
      <c r="V305" s="5"/>
      <c r="W305" s="5"/>
      <c r="X305" s="5"/>
      <c r="Y305" s="5"/>
      <c r="Z305" s="5"/>
      <c r="AA305" s="5"/>
      <c r="AB305" s="5"/>
      <c r="AC305" s="5"/>
      <c r="AD305" s="5"/>
      <c r="AE305" s="5"/>
      <c r="AF305" s="5"/>
      <c r="AG305" s="5"/>
      <c r="AH305" s="5"/>
      <c r="AI305" s="5"/>
      <c r="AJ305" s="5"/>
      <c r="AK305" s="5"/>
      <c r="AL305" s="5"/>
      <c r="AM305" s="5"/>
      <c r="AN305" s="5">
        <v>3.2567999999999999E-6</v>
      </c>
      <c r="BD305">
        <v>1.2068000000000001</v>
      </c>
      <c r="BO305" s="17">
        <v>900</v>
      </c>
      <c r="BP305" t="s">
        <v>82</v>
      </c>
      <c r="BQ305" t="s">
        <v>83</v>
      </c>
      <c r="BR305" s="30"/>
      <c r="BS305" s="30"/>
      <c r="BT305" s="47" t="s">
        <v>125</v>
      </c>
      <c r="BV305" t="s">
        <v>328</v>
      </c>
      <c r="BW305" t="s">
        <v>678</v>
      </c>
    </row>
    <row r="306" spans="1:75" x14ac:dyDescent="0.75">
      <c r="B306" t="s">
        <v>426</v>
      </c>
      <c r="C306" t="s">
        <v>300</v>
      </c>
      <c r="D306" t="s">
        <v>77</v>
      </c>
      <c r="E306" t="s">
        <v>77</v>
      </c>
      <c r="F306">
        <v>100</v>
      </c>
      <c r="G306">
        <v>1</v>
      </c>
      <c r="H306" t="s">
        <v>90</v>
      </c>
      <c r="J306">
        <f>1/4</f>
        <v>0.25</v>
      </c>
      <c r="R306" t="s">
        <v>84</v>
      </c>
      <c r="S306" s="5"/>
      <c r="T306" s="5"/>
      <c r="U306" s="5"/>
      <c r="V306" s="5"/>
      <c r="W306" s="5"/>
      <c r="X306" s="5"/>
      <c r="Y306" s="5"/>
      <c r="Z306" s="5"/>
      <c r="AA306" s="5"/>
      <c r="AB306" s="5"/>
      <c r="AC306" s="5"/>
      <c r="AD306" s="5"/>
      <c r="AE306" s="5"/>
      <c r="AF306" s="5"/>
      <c r="AG306" s="5"/>
      <c r="AH306" s="5"/>
      <c r="AI306" s="5"/>
      <c r="AJ306" s="5">
        <v>1.8023999999999999E-5</v>
      </c>
      <c r="AK306" s="5"/>
      <c r="AL306" s="5"/>
      <c r="AM306" s="5"/>
      <c r="AN306" s="5">
        <v>1.4935E-4</v>
      </c>
      <c r="BD306">
        <v>0.64127000000000001</v>
      </c>
      <c r="BO306" s="17">
        <v>900</v>
      </c>
      <c r="BP306" t="s">
        <v>82</v>
      </c>
      <c r="BQ306" t="s">
        <v>83</v>
      </c>
      <c r="BR306" s="30"/>
      <c r="BS306" s="30"/>
      <c r="BT306" s="47" t="s">
        <v>125</v>
      </c>
      <c r="BV306" t="s">
        <v>328</v>
      </c>
      <c r="BW306" t="s">
        <v>678</v>
      </c>
    </row>
    <row r="307" spans="1:75" x14ac:dyDescent="0.75">
      <c r="B307" t="s">
        <v>426</v>
      </c>
      <c r="C307" t="s">
        <v>300</v>
      </c>
      <c r="D307" t="s">
        <v>77</v>
      </c>
      <c r="E307" t="s">
        <v>77</v>
      </c>
      <c r="F307">
        <v>100</v>
      </c>
      <c r="G307">
        <v>1</v>
      </c>
      <c r="H307" t="s">
        <v>90</v>
      </c>
      <c r="J307">
        <f>1/5</f>
        <v>0.2</v>
      </c>
      <c r="R307" t="s">
        <v>84</v>
      </c>
      <c r="S307" s="5"/>
      <c r="T307" s="5"/>
      <c r="U307" s="5"/>
      <c r="V307" s="5"/>
      <c r="W307" s="5"/>
      <c r="X307" s="5"/>
      <c r="Y307" s="5"/>
      <c r="Z307" s="5"/>
      <c r="AA307" s="5"/>
      <c r="AB307" s="5"/>
      <c r="AC307" s="5"/>
      <c r="AD307" s="5"/>
      <c r="AE307" s="5"/>
      <c r="AF307" s="5"/>
      <c r="AG307" s="5"/>
      <c r="AH307" s="5"/>
      <c r="AI307" s="5"/>
      <c r="AJ307" s="5">
        <v>3.0090000000000002E-5</v>
      </c>
      <c r="AK307" s="5"/>
      <c r="AL307" s="5"/>
      <c r="AM307" s="5"/>
      <c r="AN307" s="5">
        <v>4.0047999999999999E-4</v>
      </c>
      <c r="BD307">
        <v>0.80791999999999997</v>
      </c>
      <c r="BO307" s="17">
        <v>900</v>
      </c>
      <c r="BP307" t="s">
        <v>82</v>
      </c>
      <c r="BQ307" t="s">
        <v>83</v>
      </c>
      <c r="BR307" s="30"/>
      <c r="BS307" s="30"/>
      <c r="BT307" s="47" t="s">
        <v>125</v>
      </c>
      <c r="BV307" t="s">
        <v>328</v>
      </c>
      <c r="BW307" t="s">
        <v>678</v>
      </c>
    </row>
    <row r="308" spans="1:75" x14ac:dyDescent="0.75">
      <c r="B308" t="s">
        <v>426</v>
      </c>
      <c r="C308" t="s">
        <v>300</v>
      </c>
      <c r="D308" t="s">
        <v>77</v>
      </c>
      <c r="E308" t="s">
        <v>77</v>
      </c>
      <c r="F308">
        <v>100</v>
      </c>
      <c r="G308">
        <v>1</v>
      </c>
      <c r="H308" t="s">
        <v>90</v>
      </c>
      <c r="J308">
        <f>1/6</f>
        <v>0.16666666666666666</v>
      </c>
      <c r="R308" t="s">
        <v>84</v>
      </c>
      <c r="S308" s="5"/>
      <c r="T308" s="5"/>
      <c r="U308" s="5"/>
      <c r="V308" s="5"/>
      <c r="W308" s="5"/>
      <c r="X308" s="5"/>
      <c r="Y308" s="5"/>
      <c r="Z308" s="5"/>
      <c r="AA308" s="5"/>
      <c r="AB308" s="5"/>
      <c r="AC308" s="5"/>
      <c r="AD308" s="5"/>
      <c r="AE308" s="5"/>
      <c r="AF308" s="5"/>
      <c r="AG308" s="5"/>
      <c r="AH308" s="5"/>
      <c r="AI308" s="5"/>
      <c r="AJ308" s="5">
        <v>2.0739E-4</v>
      </c>
      <c r="AK308" s="5"/>
      <c r="AL308" s="5"/>
      <c r="AM308" s="5"/>
      <c r="AN308" s="5">
        <v>1.5234000000000001E-3</v>
      </c>
      <c r="BD308">
        <v>0.66869000000000001</v>
      </c>
      <c r="BO308" s="17">
        <v>900</v>
      </c>
      <c r="BP308" t="s">
        <v>82</v>
      </c>
      <c r="BQ308" t="s">
        <v>83</v>
      </c>
      <c r="BR308" s="30"/>
      <c r="BS308" s="30"/>
      <c r="BT308" s="47" t="s">
        <v>125</v>
      </c>
      <c r="BV308" t="s">
        <v>328</v>
      </c>
      <c r="BW308" t="s">
        <v>678</v>
      </c>
    </row>
    <row r="309" spans="1:75" x14ac:dyDescent="0.75">
      <c r="B309" t="s">
        <v>426</v>
      </c>
      <c r="C309" t="s">
        <v>300</v>
      </c>
      <c r="D309" t="s">
        <v>77</v>
      </c>
      <c r="E309" t="s">
        <v>77</v>
      </c>
      <c r="F309">
        <v>100</v>
      </c>
      <c r="G309">
        <v>1</v>
      </c>
      <c r="H309" t="s">
        <v>90</v>
      </c>
      <c r="J309">
        <f>1/7</f>
        <v>0.14285714285714285</v>
      </c>
      <c r="R309" t="s">
        <v>84</v>
      </c>
      <c r="S309" s="5"/>
      <c r="T309" s="5"/>
      <c r="U309" s="5"/>
      <c r="V309" s="5"/>
      <c r="W309" s="5"/>
      <c r="X309" s="5"/>
      <c r="Y309" s="5"/>
      <c r="Z309" s="5"/>
      <c r="AA309" s="5"/>
      <c r="AB309" s="5"/>
      <c r="AC309" s="5"/>
      <c r="AD309" s="5"/>
      <c r="AE309" s="5"/>
      <c r="AF309" s="5"/>
      <c r="AG309" s="5"/>
      <c r="AH309" s="5"/>
      <c r="AI309" s="5"/>
      <c r="AJ309" s="5">
        <v>2.2505E-4</v>
      </c>
      <c r="AK309" s="5"/>
      <c r="AL309" s="5"/>
      <c r="AM309" s="5"/>
      <c r="AN309" s="5">
        <v>2.4082000000000001E-3</v>
      </c>
      <c r="BD309">
        <v>0.60655000000000003</v>
      </c>
      <c r="BO309" s="17">
        <v>900</v>
      </c>
      <c r="BP309" t="s">
        <v>82</v>
      </c>
      <c r="BQ309" t="s">
        <v>83</v>
      </c>
      <c r="BR309" s="30"/>
      <c r="BS309" s="30"/>
      <c r="BT309" s="47" t="s">
        <v>125</v>
      </c>
      <c r="BV309" t="s">
        <v>328</v>
      </c>
      <c r="BW309" t="s">
        <v>678</v>
      </c>
    </row>
    <row r="310" spans="1:75" x14ac:dyDescent="0.75">
      <c r="B310" t="s">
        <v>426</v>
      </c>
      <c r="C310" t="s">
        <v>300</v>
      </c>
      <c r="D310" t="s">
        <v>77</v>
      </c>
      <c r="E310" t="s">
        <v>77</v>
      </c>
      <c r="F310">
        <v>100</v>
      </c>
      <c r="G310">
        <v>1</v>
      </c>
      <c r="H310" t="s">
        <v>90</v>
      </c>
      <c r="J310">
        <f>1/8</f>
        <v>0.125</v>
      </c>
      <c r="R310" t="s">
        <v>84</v>
      </c>
      <c r="S310" s="5"/>
      <c r="T310" s="5"/>
      <c r="U310" s="5"/>
      <c r="V310" s="5"/>
      <c r="W310" s="5"/>
      <c r="X310" s="5"/>
      <c r="Y310" s="5"/>
      <c r="Z310" s="5"/>
      <c r="AA310" s="5"/>
      <c r="AB310" s="5"/>
      <c r="AC310" s="5"/>
      <c r="AD310" s="5"/>
      <c r="AE310" s="5"/>
      <c r="AF310" s="5"/>
      <c r="AG310" s="5"/>
      <c r="AH310" s="5"/>
      <c r="AI310" s="5"/>
      <c r="AJ310" s="5">
        <v>4.1689E-4</v>
      </c>
      <c r="AK310" s="5"/>
      <c r="AL310" s="5"/>
      <c r="AM310" s="5"/>
      <c r="AN310" s="5">
        <v>3.1798E-3</v>
      </c>
      <c r="BD310">
        <v>0.96223000000000003</v>
      </c>
      <c r="BO310" s="17">
        <v>900</v>
      </c>
      <c r="BP310" t="s">
        <v>82</v>
      </c>
      <c r="BQ310" t="s">
        <v>83</v>
      </c>
      <c r="BR310" s="30"/>
      <c r="BS310" s="30"/>
      <c r="BT310" s="47" t="s">
        <v>125</v>
      </c>
      <c r="BV310" t="s">
        <v>328</v>
      </c>
      <c r="BW310" t="s">
        <v>678</v>
      </c>
    </row>
    <row r="311" spans="1:75" x14ac:dyDescent="0.75">
      <c r="B311" t="s">
        <v>426</v>
      </c>
      <c r="C311" t="s">
        <v>300</v>
      </c>
      <c r="D311" t="s">
        <v>77</v>
      </c>
      <c r="E311" t="s">
        <v>77</v>
      </c>
      <c r="F311">
        <v>100</v>
      </c>
      <c r="G311">
        <v>1</v>
      </c>
      <c r="H311" t="s">
        <v>90</v>
      </c>
      <c r="J311">
        <f>1/12</f>
        <v>8.3333333333333329E-2</v>
      </c>
      <c r="R311" t="s">
        <v>84</v>
      </c>
      <c r="S311" s="5"/>
      <c r="T311" s="5"/>
      <c r="U311" s="5"/>
      <c r="V311" s="5"/>
      <c r="W311" s="5"/>
      <c r="X311" s="5"/>
      <c r="Y311" s="5"/>
      <c r="Z311" s="5"/>
      <c r="AA311" s="5"/>
      <c r="AB311" s="5"/>
      <c r="AC311" s="5"/>
      <c r="AD311" s="5"/>
      <c r="AE311" s="5"/>
      <c r="AF311" s="5"/>
      <c r="AG311" s="5"/>
      <c r="AH311" s="5"/>
      <c r="AI311" s="5"/>
      <c r="AJ311" s="5">
        <v>1.1061000000000001E-3</v>
      </c>
      <c r="AK311" s="5"/>
      <c r="AL311" s="5"/>
      <c r="AM311" s="5"/>
      <c r="AN311" s="5">
        <v>4.3502000000000002E-3</v>
      </c>
      <c r="BD311">
        <v>0.52280000000000004</v>
      </c>
      <c r="BO311" s="17">
        <v>900</v>
      </c>
      <c r="BP311" t="s">
        <v>82</v>
      </c>
      <c r="BQ311" t="s">
        <v>83</v>
      </c>
      <c r="BR311" s="30"/>
      <c r="BS311" s="30"/>
      <c r="BT311" s="47" t="s">
        <v>125</v>
      </c>
      <c r="BV311" t="s">
        <v>328</v>
      </c>
      <c r="BW311" t="s">
        <v>678</v>
      </c>
    </row>
    <row r="312" spans="1:75" x14ac:dyDescent="0.75">
      <c r="B312" t="s">
        <v>426</v>
      </c>
      <c r="C312" t="s">
        <v>300</v>
      </c>
      <c r="D312" t="s">
        <v>77</v>
      </c>
      <c r="E312" t="s">
        <v>77</v>
      </c>
      <c r="F312">
        <v>100</v>
      </c>
      <c r="G312">
        <v>1</v>
      </c>
      <c r="H312" t="s">
        <v>90</v>
      </c>
      <c r="J312">
        <f>1/20</f>
        <v>0.05</v>
      </c>
      <c r="R312" t="s">
        <v>84</v>
      </c>
      <c r="S312" s="5"/>
      <c r="T312" s="5"/>
      <c r="U312" s="5"/>
      <c r="V312" s="5"/>
      <c r="W312" s="5"/>
      <c r="X312" s="5"/>
      <c r="Y312" s="5"/>
      <c r="Z312" s="5"/>
      <c r="AA312" s="5"/>
      <c r="AB312" s="5"/>
      <c r="AC312" s="5"/>
      <c r="AD312" s="5"/>
      <c r="AE312" s="5"/>
      <c r="AF312" s="5"/>
      <c r="AG312" s="5"/>
      <c r="AH312" s="5"/>
      <c r="AI312" s="5"/>
      <c r="AJ312" s="5">
        <v>9.6338000000000001E-4</v>
      </c>
      <c r="AK312" s="5"/>
      <c r="AL312" s="5"/>
      <c r="AM312" s="5"/>
      <c r="AN312" s="5">
        <v>2.2545999999999998E-3</v>
      </c>
      <c r="BD312">
        <v>0.26982</v>
      </c>
      <c r="BO312" s="17">
        <v>900</v>
      </c>
      <c r="BP312" t="s">
        <v>82</v>
      </c>
      <c r="BQ312" t="s">
        <v>83</v>
      </c>
      <c r="BR312" s="30"/>
      <c r="BS312" s="30"/>
      <c r="BT312" s="47" t="s">
        <v>125</v>
      </c>
      <c r="BV312" t="s">
        <v>328</v>
      </c>
      <c r="BW312" t="s">
        <v>678</v>
      </c>
    </row>
    <row r="313" spans="1:75" x14ac:dyDescent="0.75">
      <c r="B313" t="s">
        <v>426</v>
      </c>
      <c r="C313" t="s">
        <v>300</v>
      </c>
      <c r="D313" t="s">
        <v>77</v>
      </c>
      <c r="E313" t="s">
        <v>77</v>
      </c>
      <c r="F313">
        <v>100</v>
      </c>
      <c r="G313">
        <v>1</v>
      </c>
      <c r="H313" t="s">
        <v>90</v>
      </c>
      <c r="J313">
        <f>1/40</f>
        <v>2.5000000000000001E-2</v>
      </c>
      <c r="R313" t="s">
        <v>84</v>
      </c>
      <c r="S313" s="5"/>
      <c r="T313" s="5"/>
      <c r="U313" s="5"/>
      <c r="V313" s="5"/>
      <c r="W313" s="5"/>
      <c r="X313" s="5"/>
      <c r="Y313" s="5"/>
      <c r="Z313" s="5"/>
      <c r="AA313" s="5"/>
      <c r="AB313" s="5"/>
      <c r="AC313" s="5"/>
      <c r="AD313" s="5"/>
      <c r="AE313" s="5"/>
      <c r="AF313" s="5"/>
      <c r="AG313" s="5"/>
      <c r="AH313" s="5"/>
      <c r="AI313" s="5"/>
      <c r="AJ313" s="5">
        <v>7.4660999999999998E-4</v>
      </c>
      <c r="AK313" s="5"/>
      <c r="AL313" s="5"/>
      <c r="AM313" s="5"/>
      <c r="AN313" s="5">
        <v>1.3427999999999999E-3</v>
      </c>
      <c r="BD313">
        <v>0.27745999999999998</v>
      </c>
      <c r="BO313" s="17">
        <v>900</v>
      </c>
      <c r="BP313" t="s">
        <v>82</v>
      </c>
      <c r="BQ313" t="s">
        <v>83</v>
      </c>
      <c r="BR313" s="30"/>
      <c r="BS313" s="30"/>
      <c r="BT313" s="47" t="s">
        <v>125</v>
      </c>
      <c r="BV313" t="s">
        <v>328</v>
      </c>
      <c r="BW313" t="s">
        <v>678</v>
      </c>
    </row>
    <row r="314" spans="1:75" x14ac:dyDescent="0.75">
      <c r="A314" s="1"/>
      <c r="B314" t="s">
        <v>426</v>
      </c>
      <c r="C314" s="1" t="s">
        <v>300</v>
      </c>
      <c r="D314" t="s">
        <v>77</v>
      </c>
      <c r="E314" t="s">
        <v>77</v>
      </c>
      <c r="F314">
        <v>100</v>
      </c>
      <c r="G314">
        <v>1</v>
      </c>
      <c r="H314" s="1" t="s">
        <v>90</v>
      </c>
      <c r="I314" s="1"/>
      <c r="J314" s="1">
        <f>1/100</f>
        <v>0.01</v>
      </c>
      <c r="K314" s="1"/>
      <c r="L314" s="1"/>
      <c r="M314" s="1"/>
      <c r="N314" s="1"/>
      <c r="O314" s="1"/>
      <c r="P314" s="1"/>
      <c r="Q314" s="1"/>
      <c r="R314" t="s">
        <v>84</v>
      </c>
      <c r="S314" s="3"/>
      <c r="T314" s="3"/>
      <c r="U314" s="3"/>
      <c r="V314" s="3"/>
      <c r="W314" s="3"/>
      <c r="X314" s="3"/>
      <c r="Y314" s="3"/>
      <c r="Z314" s="3"/>
      <c r="AA314" s="3"/>
      <c r="AB314" s="3"/>
      <c r="AC314" s="3"/>
      <c r="AD314" s="3"/>
      <c r="AE314" s="3"/>
      <c r="AF314" s="3"/>
      <c r="AG314" s="3"/>
      <c r="AH314" s="3"/>
      <c r="AI314" s="3"/>
      <c r="AJ314" s="3">
        <v>1.3009999999999999E-4</v>
      </c>
      <c r="AK314" s="3"/>
      <c r="AL314" s="3"/>
      <c r="AM314" s="3"/>
      <c r="AN314" s="3">
        <v>2.219E-4</v>
      </c>
      <c r="AO314" s="1"/>
      <c r="AP314" s="1"/>
      <c r="AQ314" s="1"/>
      <c r="AR314" s="1"/>
      <c r="AS314" s="1"/>
      <c r="AT314" s="1"/>
      <c r="AU314" s="1"/>
      <c r="AV314" s="1"/>
      <c r="AW314" s="1"/>
      <c r="AX314" s="1"/>
      <c r="AY314" s="1"/>
      <c r="AZ314" s="1"/>
      <c r="BA314" s="1"/>
      <c r="BB314" s="1"/>
      <c r="BC314" s="1"/>
      <c r="BD314" s="1">
        <v>0.23965</v>
      </c>
      <c r="BE314" s="1"/>
      <c r="BF314" s="1"/>
      <c r="BG314" s="1"/>
      <c r="BH314" s="1"/>
      <c r="BI314" s="1"/>
      <c r="BJ314" s="1"/>
      <c r="BK314" s="1"/>
      <c r="BL314" s="1"/>
      <c r="BM314" s="1"/>
      <c r="BN314" s="1"/>
      <c r="BO314" s="19">
        <v>900</v>
      </c>
      <c r="BP314" s="1" t="s">
        <v>82</v>
      </c>
      <c r="BQ314" s="1" t="s">
        <v>83</v>
      </c>
      <c r="BR314" s="30"/>
      <c r="BS314" s="30"/>
      <c r="BT314" s="47" t="s">
        <v>125</v>
      </c>
      <c r="BU314" s="1"/>
      <c r="BV314" t="s">
        <v>328</v>
      </c>
      <c r="BW314" t="s">
        <v>678</v>
      </c>
    </row>
    <row r="315" spans="1:75" x14ac:dyDescent="0.75">
      <c r="B315" t="s">
        <v>426</v>
      </c>
      <c r="C315" t="s">
        <v>300</v>
      </c>
      <c r="D315" t="s">
        <v>77</v>
      </c>
      <c r="E315" t="s">
        <v>77</v>
      </c>
      <c r="F315">
        <v>100</v>
      </c>
      <c r="G315">
        <v>1</v>
      </c>
      <c r="H315" t="s">
        <v>331</v>
      </c>
      <c r="J315">
        <f>1/18</f>
        <v>5.5555555555555552E-2</v>
      </c>
      <c r="L315">
        <v>-36.520000000000003</v>
      </c>
      <c r="N315">
        <v>82.1</v>
      </c>
      <c r="O315" s="6"/>
      <c r="P315" s="6"/>
      <c r="Q315">
        <v>38.4</v>
      </c>
      <c r="R315" t="s">
        <v>84</v>
      </c>
      <c r="S315" s="5"/>
      <c r="T315" s="5"/>
      <c r="U315" s="5"/>
      <c r="V315" s="5"/>
      <c r="W315" s="5"/>
      <c r="X315" s="5">
        <f>10^-5.8269</f>
        <v>1.4897040552577078E-6</v>
      </c>
      <c r="Y315" s="5"/>
      <c r="Z315" s="5"/>
      <c r="AA315" s="5"/>
      <c r="AB315" s="5"/>
      <c r="AC315" s="5"/>
      <c r="AD315" s="5"/>
      <c r="AE315" s="5"/>
      <c r="AF315" s="5"/>
      <c r="AG315" s="5"/>
      <c r="AH315" s="5"/>
      <c r="AI315" s="5"/>
      <c r="AJ315" s="5"/>
      <c r="AK315" s="5"/>
      <c r="AL315" s="5"/>
      <c r="AM315" s="5"/>
      <c r="AN315" s="5"/>
      <c r="BC315">
        <v>1.64</v>
      </c>
      <c r="BO315" s="17">
        <v>400</v>
      </c>
      <c r="BP315" t="s">
        <v>82</v>
      </c>
      <c r="BQ315" t="s">
        <v>83</v>
      </c>
      <c r="BR315">
        <v>60</v>
      </c>
      <c r="BS315">
        <v>36</v>
      </c>
      <c r="BT315" t="s">
        <v>84</v>
      </c>
      <c r="BU315" t="s">
        <v>332</v>
      </c>
      <c r="BV315" t="s">
        <v>333</v>
      </c>
      <c r="BW315" t="s">
        <v>334</v>
      </c>
    </row>
    <row r="316" spans="1:75" x14ac:dyDescent="0.75">
      <c r="B316" t="s">
        <v>426</v>
      </c>
      <c r="C316" t="s">
        <v>300</v>
      </c>
      <c r="D316" t="s">
        <v>77</v>
      </c>
      <c r="E316" t="s">
        <v>77</v>
      </c>
      <c r="F316">
        <v>100</v>
      </c>
      <c r="G316">
        <v>1</v>
      </c>
      <c r="H316" t="s">
        <v>331</v>
      </c>
      <c r="J316">
        <f>1/15</f>
        <v>6.6666666666666666E-2</v>
      </c>
      <c r="L316">
        <v>-35.69</v>
      </c>
      <c r="N316">
        <v>70.8</v>
      </c>
      <c r="O316" s="6"/>
      <c r="P316" s="6"/>
      <c r="Q316">
        <v>33.1</v>
      </c>
      <c r="R316" t="s">
        <v>84</v>
      </c>
      <c r="S316" s="5"/>
      <c r="T316" s="5"/>
      <c r="U316" s="5"/>
      <c r="V316" s="5"/>
      <c r="W316" s="5"/>
      <c r="X316" s="5">
        <f>10^-5.7789</f>
        <v>1.6637957093869988E-6</v>
      </c>
      <c r="Y316" s="5"/>
      <c r="Z316" s="5"/>
      <c r="AA316" s="5"/>
      <c r="AB316" s="5"/>
      <c r="AC316" s="5"/>
      <c r="AD316" s="5"/>
      <c r="AE316" s="5"/>
      <c r="AF316" s="5"/>
      <c r="AG316" s="5"/>
      <c r="AH316" s="5"/>
      <c r="AI316" s="5"/>
      <c r="AJ316" s="5"/>
      <c r="AK316" s="5"/>
      <c r="AL316" s="5"/>
      <c r="AM316" s="5"/>
      <c r="AN316" s="5"/>
      <c r="BC316">
        <v>1.69</v>
      </c>
      <c r="BO316" s="17">
        <v>400</v>
      </c>
      <c r="BP316" t="s">
        <v>82</v>
      </c>
      <c r="BQ316" t="s">
        <v>83</v>
      </c>
      <c r="BR316">
        <v>60</v>
      </c>
      <c r="BS316">
        <v>36</v>
      </c>
      <c r="BT316" t="s">
        <v>84</v>
      </c>
      <c r="BU316" t="s">
        <v>332</v>
      </c>
      <c r="BV316" t="s">
        <v>333</v>
      </c>
      <c r="BW316" t="s">
        <v>334</v>
      </c>
    </row>
    <row r="317" spans="1:75" x14ac:dyDescent="0.75">
      <c r="B317" t="s">
        <v>426</v>
      </c>
      <c r="C317" t="s">
        <v>300</v>
      </c>
      <c r="D317" t="s">
        <v>77</v>
      </c>
      <c r="E317" t="s">
        <v>77</v>
      </c>
      <c r="F317">
        <v>100</v>
      </c>
      <c r="G317">
        <v>1</v>
      </c>
      <c r="H317" t="s">
        <v>331</v>
      </c>
      <c r="J317">
        <f>1/12</f>
        <v>8.3333333333333329E-2</v>
      </c>
      <c r="L317">
        <v>-36.35</v>
      </c>
      <c r="N317">
        <v>51.9</v>
      </c>
      <c r="O317" s="6"/>
      <c r="P317" s="6"/>
      <c r="Q317">
        <v>24.3</v>
      </c>
      <c r="R317" t="s">
        <v>84</v>
      </c>
      <c r="S317" s="5"/>
      <c r="T317" s="5">
        <v>9.4678573694474505E-9</v>
      </c>
      <c r="U317" s="5">
        <v>3.7049677727797301E-8</v>
      </c>
      <c r="V317" s="5"/>
      <c r="W317" s="5">
        <v>1.3849800495334301E-7</v>
      </c>
      <c r="X317" s="5">
        <f>10^-6.6305</f>
        <v>2.341531475169302E-7</v>
      </c>
      <c r="Y317" s="5">
        <v>4.9569245925746005E-7</v>
      </c>
      <c r="Z317" s="5">
        <v>1.7021990846714299E-6</v>
      </c>
      <c r="AA317" s="5">
        <v>5.6195099491837203E-6</v>
      </c>
      <c r="AB317" s="5">
        <v>1.7868301841154998E-5</v>
      </c>
      <c r="AC317" s="5"/>
      <c r="AD317" s="5"/>
      <c r="AE317" s="5"/>
      <c r="AF317" s="5"/>
      <c r="AG317" s="5"/>
      <c r="AH317" s="5"/>
      <c r="AI317" s="5"/>
      <c r="AJ317" s="5"/>
      <c r="AK317" s="5"/>
      <c r="AL317" s="5"/>
      <c r="AM317" s="5"/>
      <c r="AN317" s="5"/>
      <c r="AV317" s="5">
        <v>2.7E+26</v>
      </c>
      <c r="AW317">
        <v>20883</v>
      </c>
      <c r="AX317">
        <v>-258</v>
      </c>
      <c r="AY317" t="s">
        <v>80</v>
      </c>
      <c r="AZ317" s="5">
        <v>5200000</v>
      </c>
      <c r="BA317">
        <v>3127</v>
      </c>
      <c r="BB317">
        <v>-86</v>
      </c>
      <c r="BC317">
        <v>1.98</v>
      </c>
      <c r="BG317">
        <v>1.98</v>
      </c>
      <c r="BH317" s="5">
        <v>5.2E+26</v>
      </c>
      <c r="BI317" t="s">
        <v>81</v>
      </c>
      <c r="BO317" s="17">
        <v>400</v>
      </c>
      <c r="BP317" t="s">
        <v>82</v>
      </c>
      <c r="BQ317" t="s">
        <v>83</v>
      </c>
      <c r="BR317">
        <v>60</v>
      </c>
      <c r="BS317">
        <v>36</v>
      </c>
      <c r="BT317" t="s">
        <v>84</v>
      </c>
      <c r="BU317" t="s">
        <v>332</v>
      </c>
      <c r="BV317" t="s">
        <v>333</v>
      </c>
      <c r="BW317" t="s">
        <v>334</v>
      </c>
    </row>
    <row r="318" spans="1:75" x14ac:dyDescent="0.75">
      <c r="B318" t="s">
        <v>426</v>
      </c>
      <c r="C318" t="s">
        <v>300</v>
      </c>
      <c r="D318" t="s">
        <v>77</v>
      </c>
      <c r="E318" t="s">
        <v>77</v>
      </c>
      <c r="F318">
        <v>100</v>
      </c>
      <c r="G318">
        <v>1</v>
      </c>
      <c r="H318" t="s">
        <v>331</v>
      </c>
      <c r="J318">
        <f>1/9</f>
        <v>0.1111111111111111</v>
      </c>
      <c r="L318">
        <v>-35.54</v>
      </c>
      <c r="N318">
        <v>24.7</v>
      </c>
      <c r="O318" s="6"/>
      <c r="P318" s="6"/>
      <c r="Q318">
        <v>11.5</v>
      </c>
      <c r="R318" t="s">
        <v>84</v>
      </c>
      <c r="S318" s="5"/>
      <c r="T318" s="5"/>
      <c r="U318" s="5"/>
      <c r="V318" s="5"/>
      <c r="W318" s="5"/>
      <c r="X318" s="5">
        <f>10^-4.1468</f>
        <v>7.1318138667973938E-5</v>
      </c>
      <c r="Y318" s="5"/>
      <c r="Z318" s="5"/>
      <c r="AA318" s="5"/>
      <c r="AB318" s="5"/>
      <c r="AC318" s="5"/>
      <c r="AD318" s="5"/>
      <c r="AE318" s="5"/>
      <c r="AF318" s="5"/>
      <c r="AG318" s="5"/>
      <c r="AH318" s="5"/>
      <c r="AI318" s="5"/>
      <c r="AJ318" s="5"/>
      <c r="AK318" s="5"/>
      <c r="AL318" s="5"/>
      <c r="AM318" s="5"/>
      <c r="AN318" s="5"/>
      <c r="BC318">
        <v>1.31</v>
      </c>
      <c r="BO318" s="17">
        <v>400</v>
      </c>
      <c r="BP318" t="s">
        <v>82</v>
      </c>
      <c r="BQ318" t="s">
        <v>83</v>
      </c>
      <c r="BR318">
        <v>60</v>
      </c>
      <c r="BS318">
        <v>36</v>
      </c>
      <c r="BT318" t="s">
        <v>84</v>
      </c>
      <c r="BU318" t="s">
        <v>332</v>
      </c>
      <c r="BV318" t="s">
        <v>333</v>
      </c>
      <c r="BW318" t="s">
        <v>334</v>
      </c>
    </row>
    <row r="319" spans="1:75" x14ac:dyDescent="0.75">
      <c r="B319" t="s">
        <v>426</v>
      </c>
      <c r="C319" t="s">
        <v>300</v>
      </c>
      <c r="D319" t="s">
        <v>77</v>
      </c>
      <c r="E319" t="s">
        <v>77</v>
      </c>
      <c r="F319">
        <v>100</v>
      </c>
      <c r="G319">
        <v>1</v>
      </c>
      <c r="H319" t="s">
        <v>90</v>
      </c>
      <c r="J319">
        <f>1/18</f>
        <v>5.5555555555555552E-2</v>
      </c>
      <c r="L319">
        <v>-31.25</v>
      </c>
      <c r="N319">
        <v>60.3</v>
      </c>
      <c r="O319" s="6"/>
      <c r="P319" s="6"/>
      <c r="Q319">
        <v>38.299999999999997</v>
      </c>
      <c r="R319" t="s">
        <v>84</v>
      </c>
      <c r="S319" s="5">
        <v>4.9258569880452E-9</v>
      </c>
      <c r="T319" s="5">
        <v>1.6081960818379801E-7</v>
      </c>
      <c r="U319" s="5">
        <v>4.7482185903257798E-7</v>
      </c>
      <c r="V319" s="5"/>
      <c r="W319" s="5">
        <v>1.3519234504369399E-6</v>
      </c>
      <c r="X319" s="5">
        <f>10^-5.7449</f>
        <v>1.7992851681549357E-6</v>
      </c>
      <c r="Y319" s="5">
        <v>3.7186346665048401E-6</v>
      </c>
      <c r="Z319" s="5">
        <v>9.8981633609672697E-6</v>
      </c>
      <c r="AA319" s="5"/>
      <c r="AB319" s="5"/>
      <c r="AC319" s="5"/>
      <c r="AD319" s="5"/>
      <c r="AE319" s="5"/>
      <c r="AF319" s="5"/>
      <c r="AG319" s="5"/>
      <c r="AH319" s="5"/>
      <c r="AI319" s="5"/>
      <c r="AJ319" s="5"/>
      <c r="AK319" s="5"/>
      <c r="AL319" s="5"/>
      <c r="AM319" s="5"/>
      <c r="AN319" s="5"/>
      <c r="AV319" s="5">
        <v>1.3E+21</v>
      </c>
      <c r="AW319">
        <v>17013</v>
      </c>
      <c r="AX319">
        <v>-262</v>
      </c>
      <c r="AY319" t="s">
        <v>80</v>
      </c>
      <c r="AZ319">
        <v>976</v>
      </c>
      <c r="BA319">
        <v>1863</v>
      </c>
      <c r="BB319">
        <v>-81</v>
      </c>
      <c r="BC319">
        <v>1.57</v>
      </c>
      <c r="BG319">
        <v>1.58</v>
      </c>
      <c r="BH319" s="5">
        <v>5.9E+20</v>
      </c>
      <c r="BI319" t="s">
        <v>81</v>
      </c>
      <c r="BO319" s="17">
        <v>400</v>
      </c>
      <c r="BP319" t="s">
        <v>82</v>
      </c>
      <c r="BQ319" t="s">
        <v>83</v>
      </c>
      <c r="BR319">
        <v>60</v>
      </c>
      <c r="BS319">
        <v>36</v>
      </c>
      <c r="BT319" t="s">
        <v>84</v>
      </c>
      <c r="BU319" t="s">
        <v>332</v>
      </c>
      <c r="BV319" t="s">
        <v>333</v>
      </c>
      <c r="BW319" t="s">
        <v>334</v>
      </c>
    </row>
    <row r="320" spans="1:75" x14ac:dyDescent="0.75">
      <c r="B320" t="s">
        <v>426</v>
      </c>
      <c r="C320" t="s">
        <v>300</v>
      </c>
      <c r="D320" t="s">
        <v>77</v>
      </c>
      <c r="E320" t="s">
        <v>77</v>
      </c>
      <c r="F320">
        <v>100</v>
      </c>
      <c r="G320">
        <v>1</v>
      </c>
      <c r="H320" t="s">
        <v>90</v>
      </c>
      <c r="J320">
        <f>1/15</f>
        <v>6.6666666666666666E-2</v>
      </c>
      <c r="L320">
        <v>-31.22</v>
      </c>
      <c r="N320">
        <v>59</v>
      </c>
      <c r="O320" s="6"/>
      <c r="P320" s="6"/>
      <c r="Q320">
        <v>30.1</v>
      </c>
      <c r="R320" t="s">
        <v>84</v>
      </c>
      <c r="S320" s="5">
        <v>3.6398790502436198E-7</v>
      </c>
      <c r="T320" s="5">
        <v>4.8121857662403698E-6</v>
      </c>
      <c r="U320" s="5">
        <v>1.07298877789113E-5</v>
      </c>
      <c r="V320" s="5"/>
      <c r="W320" s="5">
        <v>2.3289894403433901E-5</v>
      </c>
      <c r="X320" s="5">
        <f>10^-4.5033</f>
        <v>3.1383400564324014E-5</v>
      </c>
      <c r="Y320" s="5">
        <v>4.9276216804242697E-5</v>
      </c>
      <c r="Z320" s="5">
        <v>1.01752511292449E-4</v>
      </c>
      <c r="AA320" s="5">
        <v>2.0530370345833401E-4</v>
      </c>
      <c r="AB320" s="5"/>
      <c r="AC320" s="5"/>
      <c r="AD320" s="5"/>
      <c r="AE320" s="5"/>
      <c r="AF320" s="5"/>
      <c r="AG320" s="5"/>
      <c r="AH320" s="5"/>
      <c r="AI320" s="5"/>
      <c r="AJ320" s="5"/>
      <c r="AK320" s="5"/>
      <c r="AL320" s="5"/>
      <c r="AM320" s="5"/>
      <c r="AN320" s="5"/>
      <c r="AV320" s="5">
        <v>42000000000000</v>
      </c>
      <c r="AW320">
        <v>10206</v>
      </c>
      <c r="AX320">
        <v>-235</v>
      </c>
      <c r="AY320" t="s">
        <v>80</v>
      </c>
      <c r="AZ320">
        <v>31.5</v>
      </c>
      <c r="BA320">
        <v>1204</v>
      </c>
      <c r="BB320">
        <v>-81</v>
      </c>
      <c r="BC320">
        <v>1.2</v>
      </c>
      <c r="BG320">
        <v>1.1200000000000001</v>
      </c>
      <c r="BH320" s="5">
        <v>1300000000000000</v>
      </c>
      <c r="BI320" t="s">
        <v>81</v>
      </c>
      <c r="BO320" s="17">
        <v>400</v>
      </c>
      <c r="BP320" t="s">
        <v>82</v>
      </c>
      <c r="BQ320" t="s">
        <v>83</v>
      </c>
      <c r="BR320">
        <v>60</v>
      </c>
      <c r="BS320">
        <v>36</v>
      </c>
      <c r="BT320" t="s">
        <v>84</v>
      </c>
      <c r="BU320" t="s">
        <v>332</v>
      </c>
      <c r="BV320" t="s">
        <v>333</v>
      </c>
      <c r="BW320" t="s">
        <v>334</v>
      </c>
    </row>
    <row r="321" spans="1:75" x14ac:dyDescent="0.75">
      <c r="B321" t="s">
        <v>426</v>
      </c>
      <c r="C321" t="s">
        <v>300</v>
      </c>
      <c r="D321" t="s">
        <v>77</v>
      </c>
      <c r="E321" t="s">
        <v>77</v>
      </c>
      <c r="F321">
        <v>100</v>
      </c>
      <c r="G321">
        <v>1</v>
      </c>
      <c r="H321" t="s">
        <v>90</v>
      </c>
      <c r="J321">
        <f>1/12</f>
        <v>8.3333333333333329E-2</v>
      </c>
      <c r="L321">
        <v>-31.56</v>
      </c>
      <c r="N321">
        <v>52.6</v>
      </c>
      <c r="O321" s="6"/>
      <c r="P321" s="6"/>
      <c r="Q321">
        <v>22.6</v>
      </c>
      <c r="R321" t="s">
        <v>84</v>
      </c>
      <c r="S321" s="5">
        <v>1.5536390054844901E-9</v>
      </c>
      <c r="T321" s="5">
        <v>1.04971221029891E-7</v>
      </c>
      <c r="U321" s="5">
        <v>3.8847797824227098E-7</v>
      </c>
      <c r="V321" s="5"/>
      <c r="W321" s="5">
        <v>1.37594734417339E-6</v>
      </c>
      <c r="X321" s="5">
        <f>10^-5.6881</f>
        <v>2.0506899356510229E-6</v>
      </c>
      <c r="Y321" s="5">
        <v>4.6743326053269597E-6</v>
      </c>
      <c r="Z321" s="5">
        <v>1.52616580544537E-5</v>
      </c>
      <c r="AA321" s="5">
        <v>4.7981490120043197E-5</v>
      </c>
      <c r="AB321" s="5"/>
      <c r="AC321" s="5"/>
      <c r="AD321" s="5"/>
      <c r="AE321" s="5"/>
      <c r="AF321" s="5"/>
      <c r="AG321" s="5"/>
      <c r="AH321" s="5"/>
      <c r="AI321" s="5"/>
      <c r="AJ321" s="5"/>
      <c r="AK321" s="5"/>
      <c r="AL321" s="5"/>
      <c r="AM321" s="5"/>
      <c r="AN321" s="5"/>
      <c r="AV321" s="5">
        <v>1.9E+25</v>
      </c>
      <c r="AW321">
        <v>19021</v>
      </c>
      <c r="AX321">
        <v>-251</v>
      </c>
      <c r="AY321" t="s">
        <v>80</v>
      </c>
      <c r="AZ321" s="5">
        <v>360000</v>
      </c>
      <c r="BA321">
        <v>2489</v>
      </c>
      <c r="BB321">
        <v>-82</v>
      </c>
      <c r="BC321">
        <v>1.88</v>
      </c>
      <c r="BG321">
        <v>1.9</v>
      </c>
      <c r="BH321" s="5">
        <v>2.2000000000000001E+26</v>
      </c>
      <c r="BI321" t="s">
        <v>81</v>
      </c>
      <c r="BO321" s="17">
        <v>400</v>
      </c>
      <c r="BP321" t="s">
        <v>82</v>
      </c>
      <c r="BQ321" t="s">
        <v>83</v>
      </c>
      <c r="BR321">
        <v>60</v>
      </c>
      <c r="BS321">
        <v>36</v>
      </c>
      <c r="BT321" t="s">
        <v>84</v>
      </c>
      <c r="BU321" t="s">
        <v>332</v>
      </c>
      <c r="BV321" t="s">
        <v>333</v>
      </c>
      <c r="BW321" t="s">
        <v>334</v>
      </c>
    </row>
    <row r="322" spans="1:75" x14ac:dyDescent="0.75">
      <c r="B322" t="s">
        <v>426</v>
      </c>
      <c r="C322" t="s">
        <v>300</v>
      </c>
      <c r="D322" t="s">
        <v>77</v>
      </c>
      <c r="E322" t="s">
        <v>77</v>
      </c>
      <c r="F322">
        <v>100</v>
      </c>
      <c r="G322">
        <v>1</v>
      </c>
      <c r="H322" t="s">
        <v>90</v>
      </c>
      <c r="J322">
        <f>1/9</f>
        <v>0.1111111111111111</v>
      </c>
      <c r="L322">
        <v>-31.28</v>
      </c>
      <c r="N322">
        <v>39.6</v>
      </c>
      <c r="O322" s="6"/>
      <c r="P322" s="6"/>
      <c r="Q322">
        <v>0.93</v>
      </c>
      <c r="R322" t="s">
        <v>84</v>
      </c>
      <c r="S322" s="5">
        <v>1.5747389909151701E-6</v>
      </c>
      <c r="T322" s="5">
        <v>2.1265495462052601E-5</v>
      </c>
      <c r="U322" s="5">
        <v>4.77297671993159E-5</v>
      </c>
      <c r="V322" s="5"/>
      <c r="W322" s="5">
        <v>1.04262158466623E-4</v>
      </c>
      <c r="X322" s="5">
        <f>10^-3.8622</f>
        <v>1.3734093509770002E-4</v>
      </c>
      <c r="Y322" s="5"/>
      <c r="Z322" s="5"/>
      <c r="AA322" s="5"/>
      <c r="AB322" s="5"/>
      <c r="AC322" s="5"/>
      <c r="AD322" s="5"/>
      <c r="AE322" s="5"/>
      <c r="AF322" s="5"/>
      <c r="AG322" s="5"/>
      <c r="AH322" s="5"/>
      <c r="AI322" s="5"/>
      <c r="AJ322" s="5"/>
      <c r="AK322" s="5"/>
      <c r="AL322" s="5"/>
      <c r="AM322" s="5"/>
      <c r="AN322" s="5"/>
      <c r="AV322" s="5">
        <v>210000000000000</v>
      </c>
      <c r="AW322">
        <v>10307</v>
      </c>
      <c r="AX322">
        <v>-237</v>
      </c>
      <c r="AY322" t="s">
        <v>80</v>
      </c>
      <c r="AZ322">
        <v>13.7</v>
      </c>
      <c r="BA322">
        <v>1032</v>
      </c>
      <c r="BB322">
        <v>-81</v>
      </c>
      <c r="BC322">
        <v>1.18</v>
      </c>
      <c r="BG322">
        <v>1.18</v>
      </c>
      <c r="BH322" s="5">
        <v>8200000000000000</v>
      </c>
      <c r="BI322" t="s">
        <v>81</v>
      </c>
      <c r="BO322" s="17">
        <v>400</v>
      </c>
      <c r="BP322" t="s">
        <v>82</v>
      </c>
      <c r="BQ322" t="s">
        <v>83</v>
      </c>
      <c r="BR322">
        <v>60</v>
      </c>
      <c r="BS322">
        <v>36</v>
      </c>
      <c r="BT322" t="s">
        <v>84</v>
      </c>
      <c r="BU322" t="s">
        <v>332</v>
      </c>
      <c r="BV322" t="s">
        <v>333</v>
      </c>
      <c r="BW322" t="s">
        <v>334</v>
      </c>
    </row>
    <row r="323" spans="1:75" x14ac:dyDescent="0.75">
      <c r="B323" t="s">
        <v>426</v>
      </c>
      <c r="C323" t="s">
        <v>300</v>
      </c>
      <c r="D323" t="s">
        <v>77</v>
      </c>
      <c r="E323" t="s">
        <v>77</v>
      </c>
      <c r="F323">
        <v>100</v>
      </c>
      <c r="G323">
        <v>1</v>
      </c>
      <c r="H323" t="s">
        <v>91</v>
      </c>
      <c r="J323">
        <f>1/18</f>
        <v>5.5555555555555552E-2</v>
      </c>
      <c r="L323">
        <v>-41.88</v>
      </c>
      <c r="N323">
        <v>95.5</v>
      </c>
      <c r="O323" s="6"/>
      <c r="P323" s="6"/>
      <c r="Q323">
        <v>44.7</v>
      </c>
      <c r="R323" t="s">
        <v>84</v>
      </c>
      <c r="S323" s="5"/>
      <c r="T323" s="5"/>
      <c r="U323" s="5"/>
      <c r="V323" s="5"/>
      <c r="W323" s="5"/>
      <c r="X323" s="5">
        <f>10^-6.22543</f>
        <v>5.9507266341068961E-7</v>
      </c>
      <c r="Y323" s="5"/>
      <c r="Z323" s="5"/>
      <c r="AA323" s="5"/>
      <c r="AB323" s="5"/>
      <c r="AC323" s="5"/>
      <c r="AD323" s="5"/>
      <c r="AE323" s="5"/>
      <c r="AF323" s="5"/>
      <c r="AG323" s="5"/>
      <c r="AH323" s="5"/>
      <c r="AI323" s="5"/>
      <c r="AJ323" s="5"/>
      <c r="AK323" s="5"/>
      <c r="AL323" s="5"/>
      <c r="AM323" s="5"/>
      <c r="AN323" s="5"/>
      <c r="BC323">
        <v>1.18</v>
      </c>
      <c r="BO323" s="17">
        <v>400</v>
      </c>
      <c r="BP323" t="s">
        <v>82</v>
      </c>
      <c r="BQ323" t="s">
        <v>83</v>
      </c>
      <c r="BR323">
        <v>60</v>
      </c>
      <c r="BS323">
        <v>36</v>
      </c>
      <c r="BT323" t="s">
        <v>84</v>
      </c>
      <c r="BU323" t="s">
        <v>332</v>
      </c>
      <c r="BV323" t="s">
        <v>333</v>
      </c>
      <c r="BW323" t="s">
        <v>334</v>
      </c>
    </row>
    <row r="324" spans="1:75" x14ac:dyDescent="0.75">
      <c r="B324" t="s">
        <v>426</v>
      </c>
      <c r="C324" t="s">
        <v>300</v>
      </c>
      <c r="D324" t="s">
        <v>77</v>
      </c>
      <c r="E324" t="s">
        <v>77</v>
      </c>
      <c r="F324">
        <v>100</v>
      </c>
      <c r="G324">
        <v>1</v>
      </c>
      <c r="H324" t="s">
        <v>91</v>
      </c>
      <c r="J324">
        <f>1/15</f>
        <v>6.6666666666666666E-2</v>
      </c>
      <c r="L324">
        <v>-42.57</v>
      </c>
      <c r="N324">
        <v>89</v>
      </c>
      <c r="O324" s="6"/>
      <c r="P324" s="6"/>
      <c r="Q324">
        <v>41.6</v>
      </c>
      <c r="R324" t="s">
        <v>84</v>
      </c>
      <c r="S324" s="5"/>
      <c r="T324" s="5"/>
      <c r="U324" s="5"/>
      <c r="V324" s="5"/>
      <c r="W324" s="5"/>
      <c r="X324" s="5">
        <f>10^-6.49194</f>
        <v>3.2215138291237915E-7</v>
      </c>
      <c r="Y324" s="5"/>
      <c r="Z324" s="5"/>
      <c r="AA324" s="5"/>
      <c r="AB324" s="5"/>
      <c r="AC324" s="5"/>
      <c r="AD324" s="5"/>
      <c r="AE324" s="5"/>
      <c r="AF324" s="5"/>
      <c r="AG324" s="5"/>
      <c r="AH324" s="5"/>
      <c r="AI324" s="5"/>
      <c r="AJ324" s="5"/>
      <c r="AK324" s="5"/>
      <c r="AL324" s="5"/>
      <c r="AM324" s="5"/>
      <c r="AN324" s="5"/>
      <c r="BC324">
        <v>1.06</v>
      </c>
      <c r="BO324" s="17">
        <v>400</v>
      </c>
      <c r="BP324" t="s">
        <v>82</v>
      </c>
      <c r="BQ324" t="s">
        <v>83</v>
      </c>
      <c r="BR324">
        <v>60</v>
      </c>
      <c r="BS324">
        <v>36</v>
      </c>
      <c r="BT324" t="s">
        <v>84</v>
      </c>
      <c r="BU324" t="s">
        <v>332</v>
      </c>
      <c r="BV324" t="s">
        <v>333</v>
      </c>
      <c r="BW324" t="s">
        <v>334</v>
      </c>
    </row>
    <row r="325" spans="1:75" x14ac:dyDescent="0.75">
      <c r="B325" t="s">
        <v>426</v>
      </c>
      <c r="C325" t="s">
        <v>300</v>
      </c>
      <c r="D325" t="s">
        <v>77</v>
      </c>
      <c r="E325" t="s">
        <v>77</v>
      </c>
      <c r="F325">
        <v>100</v>
      </c>
      <c r="G325">
        <v>1</v>
      </c>
      <c r="H325" t="s">
        <v>91</v>
      </c>
      <c r="J325">
        <f>1/12</f>
        <v>8.3333333333333329E-2</v>
      </c>
      <c r="L325">
        <v>-43.78</v>
      </c>
      <c r="N325">
        <v>78.2</v>
      </c>
      <c r="O325" s="6"/>
      <c r="P325" s="6"/>
      <c r="Q325">
        <v>36.6</v>
      </c>
      <c r="R325" t="s">
        <v>84</v>
      </c>
      <c r="S325" s="5">
        <v>4.20179488876011E-10</v>
      </c>
      <c r="T325" s="5">
        <v>7.0059654823458702E-9</v>
      </c>
      <c r="U325" s="5">
        <v>1.6788872270945499E-8</v>
      </c>
      <c r="V325" s="5"/>
      <c r="W325" s="5">
        <v>3.9070122144451997E-8</v>
      </c>
      <c r="X325" s="5">
        <f>10^-7.2962</f>
        <v>5.055917747662173E-8</v>
      </c>
      <c r="Y325" s="5">
        <v>8.8423484573404505E-8</v>
      </c>
      <c r="Z325" s="5">
        <v>1.9488531363513801E-7</v>
      </c>
      <c r="AA325" s="5">
        <v>4.18823101331389E-7</v>
      </c>
      <c r="AB325" s="5">
        <v>8.7869652634557901E-7</v>
      </c>
      <c r="AC325" s="5">
        <v>1.8017258548937299E-6</v>
      </c>
      <c r="AD325" s="5"/>
      <c r="AE325" s="5"/>
      <c r="AF325" s="5"/>
      <c r="AG325" s="5"/>
      <c r="AH325" s="5"/>
      <c r="AI325" s="5"/>
      <c r="AJ325" s="5"/>
      <c r="AK325" s="5"/>
      <c r="AL325" s="5"/>
      <c r="AM325" s="5"/>
      <c r="AN325" s="5"/>
      <c r="AV325" s="5">
        <v>3600000000000000</v>
      </c>
      <c r="AW325" s="5">
        <v>15000</v>
      </c>
      <c r="AX325">
        <v>-273.14999999999998</v>
      </c>
      <c r="AY325" t="s">
        <v>80</v>
      </c>
      <c r="AZ325">
        <v>100.4</v>
      </c>
      <c r="BA325">
        <v>2211</v>
      </c>
      <c r="BB325">
        <v>-94</v>
      </c>
      <c r="BC325">
        <v>1.27</v>
      </c>
      <c r="BG325">
        <v>1.3</v>
      </c>
      <c r="BH325" s="5">
        <v>130000000000000</v>
      </c>
      <c r="BI325" t="s">
        <v>81</v>
      </c>
      <c r="BO325" s="17">
        <v>400</v>
      </c>
      <c r="BP325" t="s">
        <v>82</v>
      </c>
      <c r="BQ325" t="s">
        <v>83</v>
      </c>
      <c r="BR325">
        <v>60</v>
      </c>
      <c r="BS325">
        <v>36</v>
      </c>
      <c r="BT325" t="s">
        <v>84</v>
      </c>
      <c r="BU325" t="s">
        <v>332</v>
      </c>
      <c r="BV325" t="s">
        <v>333</v>
      </c>
      <c r="BW325" t="s">
        <v>334</v>
      </c>
    </row>
    <row r="326" spans="1:75" x14ac:dyDescent="0.75">
      <c r="A326" s="1"/>
      <c r="B326" t="s">
        <v>426</v>
      </c>
      <c r="C326" s="1" t="s">
        <v>300</v>
      </c>
      <c r="D326" t="s">
        <v>77</v>
      </c>
      <c r="E326" t="s">
        <v>77</v>
      </c>
      <c r="F326">
        <v>100</v>
      </c>
      <c r="G326">
        <v>1</v>
      </c>
      <c r="H326" s="1" t="s">
        <v>91</v>
      </c>
      <c r="I326" s="1"/>
      <c r="J326" s="1">
        <f>1/9</f>
        <v>0.1111111111111111</v>
      </c>
      <c r="K326" s="1"/>
      <c r="L326" s="1">
        <v>-42.63</v>
      </c>
      <c r="M326" s="1"/>
      <c r="N326" s="1">
        <v>59</v>
      </c>
      <c r="O326" s="26"/>
      <c r="P326" s="26"/>
      <c r="Q326" s="1">
        <v>27.6</v>
      </c>
      <c r="R326" t="s">
        <v>84</v>
      </c>
      <c r="S326" s="3"/>
      <c r="T326" s="3"/>
      <c r="U326" s="3"/>
      <c r="V326" s="3"/>
      <c r="W326" s="3"/>
      <c r="X326" s="3">
        <f>10^-5.17841</f>
        <v>6.6311675288026036E-6</v>
      </c>
      <c r="Y326" s="3"/>
      <c r="Z326" s="3"/>
      <c r="AA326" s="3"/>
      <c r="AB326" s="3"/>
      <c r="AC326" s="3"/>
      <c r="AD326" s="3"/>
      <c r="AE326" s="3"/>
      <c r="AF326" s="3"/>
      <c r="AG326" s="3"/>
      <c r="AH326" s="3"/>
      <c r="AI326" s="3"/>
      <c r="AJ326" s="3"/>
      <c r="AK326" s="3"/>
      <c r="AL326" s="3"/>
      <c r="AM326" s="3"/>
      <c r="AN326" s="3"/>
      <c r="AO326" s="1"/>
      <c r="AP326" s="1"/>
      <c r="AQ326" s="1"/>
      <c r="AR326" s="1"/>
      <c r="AS326" s="1"/>
      <c r="AT326" s="1"/>
      <c r="AU326" s="1"/>
      <c r="AV326" s="1"/>
      <c r="AW326" s="1"/>
      <c r="AX326" s="1"/>
      <c r="AY326" s="1"/>
      <c r="AZ326" s="1"/>
      <c r="BA326" s="1"/>
      <c r="BB326" s="1"/>
      <c r="BC326" s="1">
        <v>1.1599999999999999</v>
      </c>
      <c r="BD326" s="1"/>
      <c r="BE326" s="1"/>
      <c r="BF326" s="1"/>
      <c r="BG326" s="1"/>
      <c r="BH326" s="1"/>
      <c r="BI326" s="1"/>
      <c r="BJ326" s="1"/>
      <c r="BK326" s="1"/>
      <c r="BL326" s="1"/>
      <c r="BM326" s="1"/>
      <c r="BN326" s="1"/>
      <c r="BO326" s="19">
        <v>400</v>
      </c>
      <c r="BP326" s="1" t="s">
        <v>82</v>
      </c>
      <c r="BQ326" s="1" t="s">
        <v>83</v>
      </c>
      <c r="BR326" s="1">
        <v>60</v>
      </c>
      <c r="BS326" s="1">
        <v>36</v>
      </c>
      <c r="BT326" s="1" t="s">
        <v>84</v>
      </c>
      <c r="BU326" s="1" t="s">
        <v>332</v>
      </c>
      <c r="BV326" t="s">
        <v>333</v>
      </c>
      <c r="BW326" t="s">
        <v>334</v>
      </c>
    </row>
    <row r="327" spans="1:75" x14ac:dyDescent="0.75">
      <c r="A327" t="s">
        <v>335</v>
      </c>
      <c r="B327" t="s">
        <v>426</v>
      </c>
      <c r="C327" t="s">
        <v>300</v>
      </c>
      <c r="D327" t="s">
        <v>77</v>
      </c>
      <c r="E327" t="s">
        <v>77</v>
      </c>
      <c r="F327">
        <v>100</v>
      </c>
      <c r="G327">
        <v>1</v>
      </c>
      <c r="H327" t="s">
        <v>336</v>
      </c>
      <c r="J327">
        <v>0.5</v>
      </c>
      <c r="R327" t="s">
        <v>84</v>
      </c>
      <c r="S327" s="5"/>
      <c r="T327" s="5"/>
      <c r="U327" s="5"/>
      <c r="V327" s="5"/>
      <c r="W327" s="5"/>
      <c r="X327" s="5"/>
      <c r="Y327" s="5"/>
      <c r="Z327" s="5"/>
      <c r="AA327" s="5"/>
      <c r="AB327" s="5"/>
      <c r="AC327" s="5"/>
      <c r="AD327" s="5"/>
      <c r="AE327" s="5"/>
      <c r="AF327" s="5"/>
      <c r="AG327" s="5">
        <v>6.8661120896420101E-10</v>
      </c>
      <c r="AH327" s="5">
        <v>1.04800421419626E-9</v>
      </c>
      <c r="AI327" s="5">
        <v>1.58057376335578E-9</v>
      </c>
      <c r="AJ327" s="5">
        <v>2.3565893487103901E-9</v>
      </c>
      <c r="AK327" s="5">
        <v>3.4751716597376899E-9</v>
      </c>
      <c r="AL327" s="5">
        <v>7.3248488838888999E-9</v>
      </c>
      <c r="AM327" s="5"/>
      <c r="AN327" s="5"/>
      <c r="AV327">
        <v>0.19</v>
      </c>
      <c r="AW327">
        <v>2915</v>
      </c>
      <c r="AX327">
        <v>-106</v>
      </c>
      <c r="AY327" t="s">
        <v>80</v>
      </c>
      <c r="BD327">
        <v>0.90066000000000002</v>
      </c>
      <c r="BG327">
        <v>0.87</v>
      </c>
      <c r="BH327">
        <v>4211</v>
      </c>
      <c r="BI327" t="s">
        <v>81</v>
      </c>
      <c r="BO327" s="17">
        <v>500</v>
      </c>
      <c r="BP327" t="s">
        <v>82</v>
      </c>
      <c r="BQ327" t="s">
        <v>83</v>
      </c>
      <c r="BR327">
        <v>25</v>
      </c>
      <c r="BS327">
        <v>48</v>
      </c>
      <c r="BT327" t="s">
        <v>125</v>
      </c>
      <c r="BV327" t="s">
        <v>337</v>
      </c>
      <c r="BW327" t="s">
        <v>679</v>
      </c>
    </row>
    <row r="328" spans="1:75" x14ac:dyDescent="0.75">
      <c r="B328" t="s">
        <v>426</v>
      </c>
      <c r="C328" t="s">
        <v>300</v>
      </c>
      <c r="D328" t="s">
        <v>77</v>
      </c>
      <c r="E328" t="s">
        <v>77</v>
      </c>
      <c r="F328">
        <v>100</v>
      </c>
      <c r="G328">
        <v>1</v>
      </c>
      <c r="H328" t="s">
        <v>336</v>
      </c>
      <c r="J328">
        <v>0.33</v>
      </c>
      <c r="R328" t="s">
        <v>84</v>
      </c>
      <c r="S328" s="5"/>
      <c r="T328" s="5"/>
      <c r="U328" s="5"/>
      <c r="V328" s="5"/>
      <c r="W328" s="5"/>
      <c r="X328" s="5"/>
      <c r="Y328" s="5"/>
      <c r="Z328" s="5"/>
      <c r="AA328" s="5"/>
      <c r="AB328" s="5"/>
      <c r="AC328" s="5"/>
      <c r="AD328" s="5"/>
      <c r="AE328" s="5"/>
      <c r="AF328" s="5"/>
      <c r="AG328" s="5">
        <v>4.8304895177254496E-9</v>
      </c>
      <c r="AH328" s="5">
        <v>6.9895425591532298E-9</v>
      </c>
      <c r="AI328" s="5">
        <v>1.00083561771219E-8</v>
      </c>
      <c r="AJ328" s="5">
        <v>1.4188073707627201E-8</v>
      </c>
      <c r="AK328" s="5">
        <v>1.9920976286411601E-8</v>
      </c>
      <c r="AL328" s="5">
        <v>3.8215148515525397E-8</v>
      </c>
      <c r="AM328" s="5"/>
      <c r="AN328" s="5"/>
      <c r="AV328">
        <v>22420</v>
      </c>
      <c r="AW328">
        <v>9007</v>
      </c>
      <c r="AX328">
        <v>-273.14999999999998</v>
      </c>
      <c r="AY328" t="s">
        <v>80</v>
      </c>
      <c r="BD328">
        <v>0.76844000000000001</v>
      </c>
      <c r="BG328">
        <v>0.76</v>
      </c>
      <c r="BH328">
        <v>719</v>
      </c>
      <c r="BI328" t="s">
        <v>81</v>
      </c>
      <c r="BO328" s="17">
        <v>500</v>
      </c>
      <c r="BP328" t="s">
        <v>82</v>
      </c>
      <c r="BQ328" t="s">
        <v>83</v>
      </c>
      <c r="BR328">
        <v>25</v>
      </c>
      <c r="BS328">
        <v>48</v>
      </c>
      <c r="BT328" t="s">
        <v>125</v>
      </c>
      <c r="BV328" t="s">
        <v>337</v>
      </c>
      <c r="BW328" t="s">
        <v>679</v>
      </c>
    </row>
    <row r="329" spans="1:75" x14ac:dyDescent="0.75">
      <c r="B329" t="s">
        <v>426</v>
      </c>
      <c r="C329" t="s">
        <v>300</v>
      </c>
      <c r="D329" t="s">
        <v>77</v>
      </c>
      <c r="E329" t="s">
        <v>77</v>
      </c>
      <c r="F329">
        <v>100</v>
      </c>
      <c r="G329">
        <v>1</v>
      </c>
      <c r="H329" t="s">
        <v>336</v>
      </c>
      <c r="J329">
        <v>0.2</v>
      </c>
      <c r="R329" t="s">
        <v>84</v>
      </c>
      <c r="S329" s="5"/>
      <c r="T329" s="5"/>
      <c r="U329" s="5"/>
      <c r="V329" s="5"/>
      <c r="W329" s="5"/>
      <c r="X329" s="5"/>
      <c r="Y329" s="5"/>
      <c r="Z329" s="5"/>
      <c r="AA329" s="5"/>
      <c r="AB329" s="5"/>
      <c r="AC329" s="5"/>
      <c r="AD329" s="5"/>
      <c r="AE329" s="5"/>
      <c r="AF329" s="5"/>
      <c r="AG329" s="5">
        <v>3.1358982218457698E-7</v>
      </c>
      <c r="AH329" s="5">
        <v>4.2793211703432601E-7</v>
      </c>
      <c r="AI329" s="5">
        <v>5.7884821911637499E-7</v>
      </c>
      <c r="AJ329" s="5">
        <v>7.7641074194467403E-7</v>
      </c>
      <c r="AK329" s="5">
        <v>1.0330151348878601E-6</v>
      </c>
      <c r="AL329" s="5">
        <v>1.7871729539677401E-6</v>
      </c>
      <c r="AM329" s="5"/>
      <c r="AN329" s="5"/>
      <c r="AV329">
        <v>24621</v>
      </c>
      <c r="AW329">
        <v>7607</v>
      </c>
      <c r="AX329">
        <v>-273.14999999999998</v>
      </c>
      <c r="AY329" t="s">
        <v>80</v>
      </c>
      <c r="BD329">
        <v>0.64405000000000001</v>
      </c>
      <c r="BG329">
        <v>0.64</v>
      </c>
      <c r="BH329">
        <v>789</v>
      </c>
      <c r="BI329" t="s">
        <v>81</v>
      </c>
      <c r="BO329" s="17">
        <v>500</v>
      </c>
      <c r="BP329" t="s">
        <v>82</v>
      </c>
      <c r="BQ329" t="s">
        <v>83</v>
      </c>
      <c r="BR329">
        <v>25</v>
      </c>
      <c r="BS329">
        <v>48</v>
      </c>
      <c r="BT329" t="s">
        <v>125</v>
      </c>
      <c r="BV329" t="s">
        <v>337</v>
      </c>
      <c r="BW329" t="s">
        <v>679</v>
      </c>
    </row>
    <row r="330" spans="1:75" x14ac:dyDescent="0.75">
      <c r="B330" t="s">
        <v>426</v>
      </c>
      <c r="C330" t="s">
        <v>300</v>
      </c>
      <c r="D330" t="s">
        <v>77</v>
      </c>
      <c r="E330" t="s">
        <v>77</v>
      </c>
      <c r="F330">
        <v>100</v>
      </c>
      <c r="G330">
        <v>1</v>
      </c>
      <c r="H330" t="s">
        <v>336</v>
      </c>
      <c r="J330">
        <v>0.11</v>
      </c>
      <c r="R330" t="s">
        <v>84</v>
      </c>
      <c r="S330" s="5"/>
      <c r="T330" s="5"/>
      <c r="U330" s="5"/>
      <c r="V330" s="5"/>
      <c r="W330" s="5"/>
      <c r="X330" s="5"/>
      <c r="Y330" s="5"/>
      <c r="Z330" s="5"/>
      <c r="AA330" s="5"/>
      <c r="AB330" s="5"/>
      <c r="AC330" s="5"/>
      <c r="AD330" s="5"/>
      <c r="AE330" s="5"/>
      <c r="AF330" s="5"/>
      <c r="AG330" s="5">
        <v>2.8020279886135199E-5</v>
      </c>
      <c r="AH330" s="5">
        <v>3.7685002656387001E-5</v>
      </c>
      <c r="AI330" s="5">
        <v>5.02597586361507E-5</v>
      </c>
      <c r="AJ330" s="5">
        <v>6.6493721734889601E-5</v>
      </c>
      <c r="AK330" s="5">
        <v>8.7295830451235797E-5</v>
      </c>
      <c r="AL330" s="5">
        <v>1.4720254019435301E-4</v>
      </c>
      <c r="AM330" s="5"/>
      <c r="AN330" s="5"/>
      <c r="AV330" s="5">
        <v>800000</v>
      </c>
      <c r="AW330">
        <v>7259</v>
      </c>
      <c r="AX330">
        <v>-273.14999999999998</v>
      </c>
      <c r="AY330" t="s">
        <v>80</v>
      </c>
      <c r="BD330">
        <v>0.56406999999999996</v>
      </c>
      <c r="BG330">
        <v>0.61</v>
      </c>
      <c r="BH330">
        <v>25620</v>
      </c>
      <c r="BI330" t="s">
        <v>81</v>
      </c>
      <c r="BO330" s="17">
        <v>500</v>
      </c>
      <c r="BP330" t="s">
        <v>82</v>
      </c>
      <c r="BQ330" t="s">
        <v>83</v>
      </c>
      <c r="BR330">
        <v>25</v>
      </c>
      <c r="BS330">
        <v>48</v>
      </c>
      <c r="BT330" t="s">
        <v>125</v>
      </c>
      <c r="BV330" t="s">
        <v>337</v>
      </c>
      <c r="BW330" t="s">
        <v>679</v>
      </c>
    </row>
    <row r="331" spans="1:75" x14ac:dyDescent="0.75">
      <c r="B331" t="s">
        <v>426</v>
      </c>
      <c r="C331" t="s">
        <v>300</v>
      </c>
      <c r="D331" t="s">
        <v>77</v>
      </c>
      <c r="E331" t="s">
        <v>77</v>
      </c>
      <c r="F331">
        <v>100</v>
      </c>
      <c r="G331">
        <v>1</v>
      </c>
      <c r="H331" t="s">
        <v>336</v>
      </c>
      <c r="J331">
        <v>0.04</v>
      </c>
      <c r="R331" t="s">
        <v>84</v>
      </c>
      <c r="S331" s="5"/>
      <c r="T331" s="5"/>
      <c r="U331" s="5"/>
      <c r="V331" s="5"/>
      <c r="W331" s="5"/>
      <c r="X331" s="5"/>
      <c r="Y331" s="5"/>
      <c r="Z331" s="5"/>
      <c r="AA331" s="5"/>
      <c r="AB331" s="5"/>
      <c r="AC331" s="5"/>
      <c r="AD331" s="5"/>
      <c r="AE331" s="5"/>
      <c r="AF331" s="5"/>
      <c r="AG331" s="5">
        <v>2.3196496356238101E-4</v>
      </c>
      <c r="AH331" s="5">
        <v>2.9888414287914202E-4</v>
      </c>
      <c r="AI331" s="5">
        <v>3.8235454149829299E-4</v>
      </c>
      <c r="AJ331" s="5">
        <v>4.8578385731732498E-4</v>
      </c>
      <c r="AK331" s="5">
        <v>6.1313585396215501E-4</v>
      </c>
      <c r="AL331" s="5">
        <v>9.5863832112375903E-4</v>
      </c>
      <c r="AM331" s="5"/>
      <c r="AN331" s="5"/>
      <c r="AV331" s="5">
        <v>330000</v>
      </c>
      <c r="AW331">
        <v>6235</v>
      </c>
      <c r="AX331">
        <v>-273.14999999999998</v>
      </c>
      <c r="AY331" t="s">
        <v>80</v>
      </c>
      <c r="BD331">
        <v>0.52281999999999995</v>
      </c>
      <c r="BG331">
        <v>0.52</v>
      </c>
      <c r="BH331">
        <v>10723</v>
      </c>
      <c r="BI331" t="s">
        <v>81</v>
      </c>
      <c r="BO331" s="17">
        <v>500</v>
      </c>
      <c r="BP331" t="s">
        <v>82</v>
      </c>
      <c r="BQ331" t="s">
        <v>83</v>
      </c>
      <c r="BR331">
        <v>25</v>
      </c>
      <c r="BS331">
        <v>48</v>
      </c>
      <c r="BT331" t="s">
        <v>125</v>
      </c>
      <c r="BV331" t="s">
        <v>337</v>
      </c>
      <c r="BW331" t="s">
        <v>679</v>
      </c>
    </row>
    <row r="332" spans="1:75" x14ac:dyDescent="0.75">
      <c r="B332" t="s">
        <v>426</v>
      </c>
      <c r="C332" t="s">
        <v>300</v>
      </c>
      <c r="D332" t="s">
        <v>77</v>
      </c>
      <c r="E332" t="s">
        <v>77</v>
      </c>
      <c r="F332">
        <v>100</v>
      </c>
      <c r="G332">
        <v>1</v>
      </c>
      <c r="H332" t="s">
        <v>336</v>
      </c>
      <c r="J332">
        <v>0.02</v>
      </c>
      <c r="R332" t="s">
        <v>84</v>
      </c>
      <c r="S332" s="5"/>
      <c r="T332" s="5"/>
      <c r="U332" s="5"/>
      <c r="V332" s="5"/>
      <c r="W332" s="5"/>
      <c r="X332" s="5"/>
      <c r="Y332" s="5"/>
      <c r="Z332" s="5"/>
      <c r="AA332" s="5"/>
      <c r="AB332" s="5"/>
      <c r="AC332" s="5"/>
      <c r="AD332" s="5"/>
      <c r="AE332" s="5"/>
      <c r="AF332" s="5"/>
      <c r="AG332" s="5">
        <v>9.1413021107563994E-5</v>
      </c>
      <c r="AH332" s="5">
        <v>1.20523586602088E-4</v>
      </c>
      <c r="AI332" s="5">
        <v>1.57665339667163E-4</v>
      </c>
      <c r="AJ332" s="5">
        <v>2.04711859465157E-4</v>
      </c>
      <c r="AK332" s="5">
        <v>2.6389241796720902E-4</v>
      </c>
      <c r="AL332" s="5">
        <v>4.2966331727480999E-4</v>
      </c>
      <c r="AM332" s="5"/>
      <c r="AN332" s="5"/>
      <c r="AV332" s="5">
        <v>150000</v>
      </c>
      <c r="AW332">
        <v>5751</v>
      </c>
      <c r="AX332">
        <v>-245</v>
      </c>
      <c r="AY332" t="s">
        <v>80</v>
      </c>
      <c r="BD332">
        <v>0.53388000000000002</v>
      </c>
      <c r="BG332">
        <v>0.56999999999999995</v>
      </c>
      <c r="BH332">
        <v>20944</v>
      </c>
      <c r="BI332" t="s">
        <v>81</v>
      </c>
      <c r="BO332" s="17">
        <v>500</v>
      </c>
      <c r="BP332" t="s">
        <v>82</v>
      </c>
      <c r="BQ332" t="s">
        <v>83</v>
      </c>
      <c r="BR332">
        <v>25</v>
      </c>
      <c r="BS332">
        <v>48</v>
      </c>
      <c r="BT332" t="s">
        <v>125</v>
      </c>
      <c r="BV332" t="s">
        <v>337</v>
      </c>
      <c r="BW332" t="s">
        <v>679</v>
      </c>
    </row>
    <row r="333" spans="1:75" x14ac:dyDescent="0.75">
      <c r="B333" t="s">
        <v>426</v>
      </c>
      <c r="C333" t="s">
        <v>300</v>
      </c>
      <c r="D333" t="s">
        <v>77</v>
      </c>
      <c r="E333" t="s">
        <v>77</v>
      </c>
      <c r="F333">
        <v>100</v>
      </c>
      <c r="G333">
        <v>1</v>
      </c>
      <c r="H333" t="s">
        <v>321</v>
      </c>
      <c r="J333">
        <v>0.5</v>
      </c>
      <c r="R333" t="s">
        <v>84</v>
      </c>
      <c r="S333" s="5"/>
      <c r="T333" s="5"/>
      <c r="U333" s="5"/>
      <c r="V333" s="5"/>
      <c r="W333" s="5"/>
      <c r="X333" s="5"/>
      <c r="Y333" s="5"/>
      <c r="Z333" s="5"/>
      <c r="AA333" s="5"/>
      <c r="AB333" s="5"/>
      <c r="AC333" s="5"/>
      <c r="AD333" s="5"/>
      <c r="AE333" s="5"/>
      <c r="AF333" s="5"/>
      <c r="AG333" s="5">
        <v>2.3152306292180701E-9</v>
      </c>
      <c r="AH333" s="5">
        <v>3.55506660657261E-9</v>
      </c>
      <c r="AI333" s="5">
        <v>5.39295955258501E-9</v>
      </c>
      <c r="AJ333" s="5">
        <v>8.0863663008741592E-9</v>
      </c>
      <c r="AK333" s="5">
        <v>1.19904423794108E-8</v>
      </c>
      <c r="AL333" s="5">
        <v>2.5541382427607401E-8</v>
      </c>
      <c r="AM333" s="5"/>
      <c r="AN333" s="5"/>
      <c r="AV333">
        <v>10.4</v>
      </c>
      <c r="AW333">
        <v>4004</v>
      </c>
      <c r="AX333">
        <v>-137</v>
      </c>
      <c r="AY333" t="s">
        <v>80</v>
      </c>
      <c r="BD333">
        <v>0.89802000000000004</v>
      </c>
      <c r="BG333">
        <v>0.88</v>
      </c>
      <c r="BH333">
        <v>21550</v>
      </c>
      <c r="BI333" t="s">
        <v>81</v>
      </c>
      <c r="BO333" s="17">
        <v>500</v>
      </c>
      <c r="BP333" t="s">
        <v>82</v>
      </c>
      <c r="BQ333" t="s">
        <v>83</v>
      </c>
      <c r="BR333">
        <v>25</v>
      </c>
      <c r="BS333">
        <v>48</v>
      </c>
      <c r="BT333" t="s">
        <v>125</v>
      </c>
      <c r="BV333" t="s">
        <v>337</v>
      </c>
      <c r="BW333" t="s">
        <v>679</v>
      </c>
    </row>
    <row r="334" spans="1:75" x14ac:dyDescent="0.75">
      <c r="B334" t="s">
        <v>426</v>
      </c>
      <c r="C334" t="s">
        <v>300</v>
      </c>
      <c r="D334" t="s">
        <v>77</v>
      </c>
      <c r="E334" t="s">
        <v>77</v>
      </c>
      <c r="F334">
        <v>100</v>
      </c>
      <c r="G334">
        <v>1</v>
      </c>
      <c r="H334" t="s">
        <v>321</v>
      </c>
      <c r="J334">
        <v>0.33</v>
      </c>
      <c r="R334" t="s">
        <v>84</v>
      </c>
      <c r="S334" s="5"/>
      <c r="T334" s="5"/>
      <c r="U334" s="5"/>
      <c r="V334" s="5"/>
      <c r="W334" s="5"/>
      <c r="X334" s="5"/>
      <c r="Y334" s="5"/>
      <c r="Z334" s="5"/>
      <c r="AA334" s="5"/>
      <c r="AB334" s="5"/>
      <c r="AC334" s="5"/>
      <c r="AD334" s="5"/>
      <c r="AE334" s="5"/>
      <c r="AF334" s="5"/>
      <c r="AG334" s="5">
        <v>8.7173705220494805E-9</v>
      </c>
      <c r="AH334" s="5">
        <v>1.23048788321303E-8</v>
      </c>
      <c r="AI334" s="5">
        <v>1.7200078011710399E-8</v>
      </c>
      <c r="AJ334" s="5">
        <v>2.3818930566080001E-8</v>
      </c>
      <c r="AK334" s="5">
        <v>3.2690428779699897E-8</v>
      </c>
      <c r="AL334" s="5">
        <v>6.0029251798971105E-8</v>
      </c>
      <c r="AM334" s="5"/>
      <c r="AN334" s="5"/>
      <c r="AV334">
        <v>7201</v>
      </c>
      <c r="AW334">
        <v>8414</v>
      </c>
      <c r="AX334">
        <v>-273.14999999999998</v>
      </c>
      <c r="AY334" t="s">
        <v>80</v>
      </c>
      <c r="BD334">
        <v>0.76402999999999999</v>
      </c>
      <c r="BG334">
        <v>0.71</v>
      </c>
      <c r="BH334">
        <v>231</v>
      </c>
      <c r="BI334" t="s">
        <v>81</v>
      </c>
      <c r="BO334" s="17">
        <v>500</v>
      </c>
      <c r="BP334" t="s">
        <v>82</v>
      </c>
      <c r="BQ334" t="s">
        <v>83</v>
      </c>
      <c r="BR334">
        <v>25</v>
      </c>
      <c r="BS334">
        <v>48</v>
      </c>
      <c r="BT334" t="s">
        <v>125</v>
      </c>
      <c r="BV334" t="s">
        <v>337</v>
      </c>
      <c r="BW334" t="s">
        <v>679</v>
      </c>
    </row>
    <row r="335" spans="1:75" x14ac:dyDescent="0.75">
      <c r="B335" t="s">
        <v>426</v>
      </c>
      <c r="C335" t="s">
        <v>300</v>
      </c>
      <c r="D335" t="s">
        <v>77</v>
      </c>
      <c r="E335" t="s">
        <v>77</v>
      </c>
      <c r="F335">
        <v>100</v>
      </c>
      <c r="G335">
        <v>1</v>
      </c>
      <c r="H335" t="s">
        <v>321</v>
      </c>
      <c r="J335">
        <v>0.2</v>
      </c>
      <c r="R335" t="s">
        <v>84</v>
      </c>
      <c r="S335" s="5"/>
      <c r="T335" s="5"/>
      <c r="U335" s="5"/>
      <c r="V335" s="5"/>
      <c r="W335" s="5"/>
      <c r="X335" s="5"/>
      <c r="Y335" s="5"/>
      <c r="Z335" s="5"/>
      <c r="AA335" s="5"/>
      <c r="AB335" s="5"/>
      <c r="AC335" s="5"/>
      <c r="AD335" s="5"/>
      <c r="AE335" s="5"/>
      <c r="AF335" s="5"/>
      <c r="AG335" s="5">
        <v>4.6587604037291501E-7</v>
      </c>
      <c r="AH335" s="5">
        <v>6.3177438896218198E-7</v>
      </c>
      <c r="AI335" s="5">
        <v>8.4939091284692499E-7</v>
      </c>
      <c r="AJ335" s="5">
        <v>1.1325673805761601E-6</v>
      </c>
      <c r="AK335" s="5">
        <v>1.4982337767899599E-6</v>
      </c>
      <c r="AL335" s="5">
        <v>2.5635465866556602E-6</v>
      </c>
      <c r="AM335" s="5"/>
      <c r="AN335" s="5"/>
      <c r="AV335">
        <v>23600</v>
      </c>
      <c r="AW335">
        <v>7457</v>
      </c>
      <c r="AX335">
        <v>-273.14999999999998</v>
      </c>
      <c r="AY335" t="s">
        <v>80</v>
      </c>
      <c r="BD335">
        <v>0.62775000000000003</v>
      </c>
      <c r="BG335">
        <v>0.63</v>
      </c>
      <c r="BH335">
        <v>758</v>
      </c>
      <c r="BI335" t="s">
        <v>81</v>
      </c>
      <c r="BO335" s="17">
        <v>500</v>
      </c>
      <c r="BP335" t="s">
        <v>82</v>
      </c>
      <c r="BQ335" t="s">
        <v>83</v>
      </c>
      <c r="BR335">
        <v>25</v>
      </c>
      <c r="BS335">
        <v>48</v>
      </c>
      <c r="BT335" t="s">
        <v>125</v>
      </c>
      <c r="BV335" t="s">
        <v>337</v>
      </c>
      <c r="BW335" t="s">
        <v>679</v>
      </c>
    </row>
    <row r="336" spans="1:75" x14ac:dyDescent="0.75">
      <c r="B336" t="s">
        <v>426</v>
      </c>
      <c r="C336" t="s">
        <v>300</v>
      </c>
      <c r="D336" t="s">
        <v>77</v>
      </c>
      <c r="E336" t="s">
        <v>77</v>
      </c>
      <c r="F336">
        <v>100</v>
      </c>
      <c r="G336">
        <v>1</v>
      </c>
      <c r="H336" t="s">
        <v>321</v>
      </c>
      <c r="J336">
        <v>0.11</v>
      </c>
      <c r="R336" t="s">
        <v>84</v>
      </c>
      <c r="S336" s="5"/>
      <c r="T336" s="5"/>
      <c r="U336" s="5"/>
      <c r="V336" s="5"/>
      <c r="W336" s="5"/>
      <c r="X336" s="5"/>
      <c r="Y336" s="5"/>
      <c r="Z336" s="5"/>
      <c r="AA336" s="5"/>
      <c r="AB336" s="5"/>
      <c r="AC336" s="5"/>
      <c r="AD336" s="5"/>
      <c r="AE336" s="5"/>
      <c r="AF336" s="5"/>
      <c r="AG336" s="5">
        <v>7.2955003596491698E-5</v>
      </c>
      <c r="AH336" s="5">
        <v>9.2148236370544095E-5</v>
      </c>
      <c r="AI336" s="5">
        <v>1.1562367432287599E-4</v>
      </c>
      <c r="AJ336" s="5">
        <v>1.44163259432398E-4</v>
      </c>
      <c r="AK336" s="5">
        <v>1.78658702416392E-4</v>
      </c>
      <c r="AL336" s="5">
        <v>2.6969495391277501E-4</v>
      </c>
      <c r="AM336" s="5"/>
      <c r="AN336" s="5"/>
      <c r="AV336">
        <v>26000</v>
      </c>
      <c r="AW336">
        <v>5759</v>
      </c>
      <c r="AX336">
        <v>-273.14999999999998</v>
      </c>
      <c r="AY336" t="s">
        <v>80</v>
      </c>
      <c r="BD336">
        <v>0.50724000000000002</v>
      </c>
      <c r="BG336">
        <v>0.48</v>
      </c>
      <c r="BH336">
        <v>843</v>
      </c>
      <c r="BI336" t="s">
        <v>81</v>
      </c>
      <c r="BO336" s="17">
        <v>500</v>
      </c>
      <c r="BP336" t="s">
        <v>82</v>
      </c>
      <c r="BQ336" t="s">
        <v>83</v>
      </c>
      <c r="BR336">
        <v>25</v>
      </c>
      <c r="BS336">
        <v>48</v>
      </c>
      <c r="BT336" t="s">
        <v>125</v>
      </c>
      <c r="BV336" t="s">
        <v>337</v>
      </c>
      <c r="BW336" t="s">
        <v>679</v>
      </c>
    </row>
    <row r="337" spans="2:75" x14ac:dyDescent="0.75">
      <c r="B337" t="s">
        <v>426</v>
      </c>
      <c r="C337" t="s">
        <v>300</v>
      </c>
      <c r="D337" t="s">
        <v>77</v>
      </c>
      <c r="E337" t="s">
        <v>77</v>
      </c>
      <c r="F337">
        <v>100</v>
      </c>
      <c r="G337">
        <v>1</v>
      </c>
      <c r="H337" t="s">
        <v>321</v>
      </c>
      <c r="J337">
        <v>0.04</v>
      </c>
      <c r="R337" t="s">
        <v>84</v>
      </c>
      <c r="S337" s="5"/>
      <c r="T337" s="5"/>
      <c r="U337" s="5"/>
      <c r="V337" s="5"/>
      <c r="W337" s="5"/>
      <c r="X337" s="5"/>
      <c r="Y337" s="5"/>
      <c r="Z337" s="5"/>
      <c r="AA337" s="5"/>
      <c r="AB337" s="5"/>
      <c r="AC337" s="5"/>
      <c r="AD337" s="5"/>
      <c r="AE337" s="5"/>
      <c r="AF337" s="5"/>
      <c r="AG337" s="5">
        <v>4.6716226017772601E-4</v>
      </c>
      <c r="AH337" s="5">
        <v>5.7531872030218802E-4</v>
      </c>
      <c r="AI337" s="5">
        <v>7.0434962512511904E-4</v>
      </c>
      <c r="AJ337" s="5">
        <v>8.5746095913296499E-4</v>
      </c>
      <c r="AK337" s="5">
        <v>1.0382168183633799E-3</v>
      </c>
      <c r="AL337" s="5">
        <v>1.49884465472712E-3</v>
      </c>
      <c r="AM337" s="5"/>
      <c r="AN337" s="5"/>
      <c r="AV337" s="5">
        <v>29000</v>
      </c>
      <c r="AW337">
        <v>5155</v>
      </c>
      <c r="AX337">
        <v>-273.14999999999998</v>
      </c>
      <c r="AY337" t="s">
        <v>80</v>
      </c>
      <c r="BD337">
        <v>0.44573000000000002</v>
      </c>
      <c r="BG337">
        <v>0.43</v>
      </c>
      <c r="BH337">
        <v>927</v>
      </c>
      <c r="BI337" t="s">
        <v>81</v>
      </c>
      <c r="BO337" s="17">
        <v>500</v>
      </c>
      <c r="BP337" t="s">
        <v>82</v>
      </c>
      <c r="BQ337" t="s">
        <v>83</v>
      </c>
      <c r="BR337">
        <v>25</v>
      </c>
      <c r="BS337">
        <v>48</v>
      </c>
      <c r="BT337" t="s">
        <v>125</v>
      </c>
      <c r="BV337" t="s">
        <v>337</v>
      </c>
      <c r="BW337" t="s">
        <v>679</v>
      </c>
    </row>
    <row r="338" spans="2:75" x14ac:dyDescent="0.75">
      <c r="B338" t="s">
        <v>426</v>
      </c>
      <c r="C338" t="s">
        <v>300</v>
      </c>
      <c r="D338" t="s">
        <v>77</v>
      </c>
      <c r="E338" t="s">
        <v>77</v>
      </c>
      <c r="F338">
        <v>100</v>
      </c>
      <c r="G338">
        <v>1</v>
      </c>
      <c r="H338" t="s">
        <v>321</v>
      </c>
      <c r="J338">
        <v>0.02</v>
      </c>
      <c r="R338" t="s">
        <v>84</v>
      </c>
      <c r="S338" s="5"/>
      <c r="T338" s="5"/>
      <c r="U338" s="5"/>
      <c r="V338" s="5"/>
      <c r="W338" s="5"/>
      <c r="X338" s="5"/>
      <c r="Y338" s="5"/>
      <c r="Z338" s="5"/>
      <c r="AA338" s="5"/>
      <c r="AB338" s="5"/>
      <c r="AC338" s="5"/>
      <c r="AD338" s="5"/>
      <c r="AE338" s="5"/>
      <c r="AF338" s="5"/>
      <c r="AG338" s="5">
        <v>1.44027186998176E-4</v>
      </c>
      <c r="AH338" s="5">
        <v>1.8261171731446399E-4</v>
      </c>
      <c r="AI338" s="5">
        <v>2.29981981745629E-4</v>
      </c>
      <c r="AJ338" s="5">
        <v>2.8778108472598998E-4</v>
      </c>
      <c r="AK338" s="5">
        <v>3.5788991492965901E-4</v>
      </c>
      <c r="AL338" s="5">
        <v>5.4389035647244596E-4</v>
      </c>
      <c r="AM338" s="5"/>
      <c r="AN338" s="5"/>
      <c r="AV338" s="5">
        <v>68000</v>
      </c>
      <c r="AW338">
        <v>5850</v>
      </c>
      <c r="AX338">
        <v>-273.14999999999998</v>
      </c>
      <c r="AY338" t="s">
        <v>80</v>
      </c>
      <c r="BD338">
        <v>0.45590000000000003</v>
      </c>
      <c r="BG338">
        <v>0.49</v>
      </c>
      <c r="BH338">
        <v>2169</v>
      </c>
      <c r="BI338" t="s">
        <v>81</v>
      </c>
      <c r="BO338" s="17">
        <v>500</v>
      </c>
      <c r="BP338" t="s">
        <v>82</v>
      </c>
      <c r="BQ338" t="s">
        <v>83</v>
      </c>
      <c r="BR338">
        <v>25</v>
      </c>
      <c r="BS338">
        <v>48</v>
      </c>
      <c r="BT338" t="s">
        <v>125</v>
      </c>
      <c r="BV338" t="s">
        <v>337</v>
      </c>
      <c r="BW338" t="s">
        <v>679</v>
      </c>
    </row>
    <row r="339" spans="2:75" x14ac:dyDescent="0.75">
      <c r="B339" t="s">
        <v>426</v>
      </c>
      <c r="C339" t="s">
        <v>300</v>
      </c>
      <c r="D339" t="s">
        <v>77</v>
      </c>
      <c r="E339" t="s">
        <v>77</v>
      </c>
      <c r="F339">
        <v>100</v>
      </c>
      <c r="G339">
        <v>1</v>
      </c>
      <c r="H339" t="s">
        <v>89</v>
      </c>
      <c r="J339">
        <v>0.5</v>
      </c>
      <c r="R339" t="s">
        <v>84</v>
      </c>
      <c r="S339" s="5"/>
      <c r="T339" s="5"/>
      <c r="U339" s="5"/>
      <c r="V339" s="5"/>
      <c r="W339" s="5"/>
      <c r="X339" s="5"/>
      <c r="Y339" s="5"/>
      <c r="Z339" s="5"/>
      <c r="AA339" s="5"/>
      <c r="AB339" s="5"/>
      <c r="AC339" s="5"/>
      <c r="AD339" s="5"/>
      <c r="AE339" s="5"/>
      <c r="AF339" s="5"/>
      <c r="AG339" s="5">
        <v>2.1810857301928399E-10</v>
      </c>
      <c r="AH339" s="5">
        <v>3.4553315047505899E-10</v>
      </c>
      <c r="AI339" s="5">
        <v>5.4031692297162503E-10</v>
      </c>
      <c r="AJ339" s="5">
        <v>8.3442298763377405E-10</v>
      </c>
      <c r="AK339" s="5">
        <v>1.27328819375837E-9</v>
      </c>
      <c r="AL339" s="5">
        <v>2.8658376503710399E-9</v>
      </c>
      <c r="AM339" s="5"/>
      <c r="AN339" s="5"/>
      <c r="AV339">
        <v>1404</v>
      </c>
      <c r="AW339">
        <v>7300</v>
      </c>
      <c r="AX339">
        <v>-205</v>
      </c>
      <c r="AY339" t="s">
        <v>80</v>
      </c>
      <c r="BD339">
        <v>0.95</v>
      </c>
      <c r="BG339">
        <v>0.95</v>
      </c>
      <c r="BH339">
        <v>17900</v>
      </c>
      <c r="BI339" t="s">
        <v>81</v>
      </c>
      <c r="BO339" s="17">
        <v>500</v>
      </c>
      <c r="BP339" t="s">
        <v>82</v>
      </c>
      <c r="BQ339" t="s">
        <v>83</v>
      </c>
      <c r="BR339">
        <v>25</v>
      </c>
      <c r="BS339">
        <v>48</v>
      </c>
      <c r="BT339" t="s">
        <v>125</v>
      </c>
      <c r="BV339" t="s">
        <v>337</v>
      </c>
      <c r="BW339" t="s">
        <v>679</v>
      </c>
    </row>
    <row r="340" spans="2:75" x14ac:dyDescent="0.75">
      <c r="B340" t="s">
        <v>426</v>
      </c>
      <c r="C340" t="s">
        <v>300</v>
      </c>
      <c r="D340" t="s">
        <v>77</v>
      </c>
      <c r="E340" t="s">
        <v>77</v>
      </c>
      <c r="F340">
        <v>100</v>
      </c>
      <c r="G340">
        <v>1</v>
      </c>
      <c r="H340" t="s">
        <v>89</v>
      </c>
      <c r="J340">
        <v>0.33</v>
      </c>
      <c r="R340" t="s">
        <v>84</v>
      </c>
      <c r="S340" s="5"/>
      <c r="T340" s="5"/>
      <c r="U340" s="5"/>
      <c r="V340" s="5"/>
      <c r="W340" s="5"/>
      <c r="X340" s="5"/>
      <c r="Y340" s="5"/>
      <c r="Z340" s="5"/>
      <c r="AA340" s="5"/>
      <c r="AB340" s="5"/>
      <c r="AC340" s="5"/>
      <c r="AD340" s="5"/>
      <c r="AE340" s="5"/>
      <c r="AF340" s="5"/>
      <c r="AG340" s="5">
        <v>3.4925912451711499E-10</v>
      </c>
      <c r="AH340" s="5">
        <v>5.3665843115572499E-10</v>
      </c>
      <c r="AI340" s="5">
        <v>8.1463992164933005E-10</v>
      </c>
      <c r="AJ340" s="5">
        <v>1.2222841987850999E-9</v>
      </c>
      <c r="AK340" s="5">
        <v>1.8135374866185999E-9</v>
      </c>
      <c r="AL340" s="5">
        <v>3.8677545534239502E-9</v>
      </c>
      <c r="AM340" s="5"/>
      <c r="AN340" s="5"/>
      <c r="AV340">
        <v>8.8999999999999999E-3</v>
      </c>
      <c r="AW340">
        <v>2036</v>
      </c>
      <c r="AX340">
        <v>-73.7</v>
      </c>
      <c r="AY340" t="s">
        <v>80</v>
      </c>
      <c r="BD340">
        <v>0.86931999999999998</v>
      </c>
      <c r="BG340">
        <v>0.88</v>
      </c>
      <c r="BH340">
        <v>3410</v>
      </c>
      <c r="BI340" t="s">
        <v>81</v>
      </c>
      <c r="BO340" s="17">
        <v>500</v>
      </c>
      <c r="BP340" t="s">
        <v>82</v>
      </c>
      <c r="BQ340" t="s">
        <v>83</v>
      </c>
      <c r="BR340">
        <v>25</v>
      </c>
      <c r="BS340">
        <v>48</v>
      </c>
      <c r="BT340" t="s">
        <v>125</v>
      </c>
      <c r="BV340" t="s">
        <v>337</v>
      </c>
      <c r="BW340" t="s">
        <v>679</v>
      </c>
    </row>
    <row r="341" spans="2:75" x14ac:dyDescent="0.75">
      <c r="B341" t="s">
        <v>426</v>
      </c>
      <c r="C341" t="s">
        <v>300</v>
      </c>
      <c r="D341" t="s">
        <v>77</v>
      </c>
      <c r="E341" t="s">
        <v>77</v>
      </c>
      <c r="F341">
        <v>100</v>
      </c>
      <c r="G341">
        <v>1</v>
      </c>
      <c r="H341" t="s">
        <v>89</v>
      </c>
      <c r="J341">
        <v>0.2</v>
      </c>
      <c r="R341" t="s">
        <v>84</v>
      </c>
      <c r="S341" s="5"/>
      <c r="T341" s="5"/>
      <c r="U341" s="5"/>
      <c r="V341" s="5"/>
      <c r="W341" s="5"/>
      <c r="X341" s="5"/>
      <c r="Y341" s="5"/>
      <c r="Z341" s="5"/>
      <c r="AA341" s="5"/>
      <c r="AB341" s="5"/>
      <c r="AC341" s="5"/>
      <c r="AD341" s="5"/>
      <c r="AE341" s="5"/>
      <c r="AF341" s="5"/>
      <c r="AG341" s="5">
        <v>1.06890616221578E-8</v>
      </c>
      <c r="AH341" s="5">
        <v>1.5956446318813699E-8</v>
      </c>
      <c r="AI341" s="5">
        <v>2.35508063717966E-8</v>
      </c>
      <c r="AJ341" s="5">
        <v>3.4383869621294399E-8</v>
      </c>
      <c r="AK341" s="5">
        <v>4.9679597801286398E-8</v>
      </c>
      <c r="AL341" s="5">
        <v>1.00687476317517E-7</v>
      </c>
      <c r="AM341" s="5"/>
      <c r="AN341" s="5"/>
      <c r="AV341">
        <v>0.74</v>
      </c>
      <c r="AW341">
        <v>2563</v>
      </c>
      <c r="AX341">
        <v>-99</v>
      </c>
      <c r="AY341" t="s">
        <v>80</v>
      </c>
      <c r="BD341">
        <v>0.81101000000000001</v>
      </c>
      <c r="BG341">
        <v>0.82</v>
      </c>
      <c r="BH341" s="5">
        <v>14000</v>
      </c>
      <c r="BI341" t="s">
        <v>81</v>
      </c>
      <c r="BO341" s="17">
        <v>500</v>
      </c>
      <c r="BP341" t="s">
        <v>82</v>
      </c>
      <c r="BQ341" t="s">
        <v>83</v>
      </c>
      <c r="BR341">
        <v>25</v>
      </c>
      <c r="BS341">
        <v>48</v>
      </c>
      <c r="BT341" t="s">
        <v>125</v>
      </c>
      <c r="BV341" t="s">
        <v>337</v>
      </c>
      <c r="BW341" t="s">
        <v>679</v>
      </c>
    </row>
    <row r="342" spans="2:75" x14ac:dyDescent="0.75">
      <c r="B342" t="s">
        <v>426</v>
      </c>
      <c r="C342" t="s">
        <v>300</v>
      </c>
      <c r="D342" t="s">
        <v>77</v>
      </c>
      <c r="E342" t="s">
        <v>77</v>
      </c>
      <c r="F342">
        <v>100</v>
      </c>
      <c r="G342">
        <v>1</v>
      </c>
      <c r="H342" t="s">
        <v>89</v>
      </c>
      <c r="J342">
        <v>0.11</v>
      </c>
      <c r="R342" t="s">
        <v>84</v>
      </c>
      <c r="S342" s="5"/>
      <c r="T342" s="5"/>
      <c r="U342" s="5"/>
      <c r="V342" s="5"/>
      <c r="W342" s="5"/>
      <c r="X342" s="5"/>
      <c r="Y342" s="5"/>
      <c r="Z342" s="5"/>
      <c r="AA342" s="5"/>
      <c r="AB342" s="5"/>
      <c r="AC342" s="5"/>
      <c r="AD342" s="5"/>
      <c r="AE342" s="5"/>
      <c r="AF342" s="5"/>
      <c r="AG342" s="5">
        <v>4.5013011487092601E-7</v>
      </c>
      <c r="AH342" s="5">
        <v>6.4805748357579502E-7</v>
      </c>
      <c r="AI342" s="5">
        <v>9.2343678619587695E-7</v>
      </c>
      <c r="AJ342" s="5">
        <v>1.30288684689298E-6</v>
      </c>
      <c r="AK342" s="5">
        <v>1.8209142102583299E-6</v>
      </c>
      <c r="AL342" s="5">
        <v>3.4623165431143599E-6</v>
      </c>
      <c r="AM342" s="5"/>
      <c r="AN342" s="5"/>
      <c r="AV342" s="5">
        <v>1500000</v>
      </c>
      <c r="AW342">
        <v>8887</v>
      </c>
      <c r="AX342">
        <v>-273.14999999999998</v>
      </c>
      <c r="AY342" t="s">
        <v>80</v>
      </c>
      <c r="BD342">
        <v>0.76319000000000004</v>
      </c>
      <c r="BG342">
        <v>0.75</v>
      </c>
      <c r="BH342" s="5">
        <v>47000</v>
      </c>
      <c r="BI342" t="s">
        <v>81</v>
      </c>
      <c r="BO342" s="17">
        <v>500</v>
      </c>
      <c r="BP342" t="s">
        <v>82</v>
      </c>
      <c r="BQ342" t="s">
        <v>83</v>
      </c>
      <c r="BR342">
        <v>25</v>
      </c>
      <c r="BS342">
        <v>48</v>
      </c>
      <c r="BT342" t="s">
        <v>125</v>
      </c>
      <c r="BV342" t="s">
        <v>337</v>
      </c>
      <c r="BW342" t="s">
        <v>679</v>
      </c>
    </row>
    <row r="343" spans="2:75" x14ac:dyDescent="0.75">
      <c r="B343" t="s">
        <v>426</v>
      </c>
      <c r="C343" t="s">
        <v>300</v>
      </c>
      <c r="D343" t="s">
        <v>77</v>
      </c>
      <c r="E343" t="s">
        <v>77</v>
      </c>
      <c r="F343">
        <v>100</v>
      </c>
      <c r="G343">
        <v>1</v>
      </c>
      <c r="H343" t="s">
        <v>89</v>
      </c>
      <c r="J343">
        <v>0.04</v>
      </c>
      <c r="R343" t="s">
        <v>84</v>
      </c>
      <c r="S343" s="5"/>
      <c r="T343" s="5"/>
      <c r="U343" s="5"/>
      <c r="V343" s="5"/>
      <c r="W343" s="5"/>
      <c r="X343" s="5"/>
      <c r="Y343" s="5"/>
      <c r="Z343" s="5"/>
      <c r="AA343" s="5"/>
      <c r="AB343" s="5"/>
      <c r="AC343" s="5"/>
      <c r="AD343" s="5"/>
      <c r="AE343" s="5"/>
      <c r="AF343" s="5"/>
      <c r="AG343" s="5">
        <v>5.2265655084976097E-6</v>
      </c>
      <c r="AH343" s="5">
        <v>7.6707561496013404E-6</v>
      </c>
      <c r="AI343" s="5">
        <v>1.11363224380118E-5</v>
      </c>
      <c r="AJ343" s="5">
        <v>1.60001798169738E-5</v>
      </c>
      <c r="AK343" s="5">
        <v>2.2760096507543401E-5</v>
      </c>
      <c r="AL343" s="5">
        <v>4.4768024343822601E-5</v>
      </c>
      <c r="AM343" s="5"/>
      <c r="AN343" s="5"/>
      <c r="AV343" s="5">
        <v>65000000</v>
      </c>
      <c r="AW343">
        <v>9346</v>
      </c>
      <c r="AX343">
        <v>-273.14999999999998</v>
      </c>
      <c r="AY343" t="s">
        <v>80</v>
      </c>
      <c r="BD343">
        <v>0.77524000000000004</v>
      </c>
      <c r="BG343">
        <v>0.79</v>
      </c>
      <c r="BH343" s="5">
        <v>2100000</v>
      </c>
      <c r="BI343" t="s">
        <v>81</v>
      </c>
      <c r="BO343" s="17">
        <v>500</v>
      </c>
      <c r="BP343" t="s">
        <v>82</v>
      </c>
      <c r="BQ343" t="s">
        <v>83</v>
      </c>
      <c r="BR343">
        <v>25</v>
      </c>
      <c r="BS343">
        <v>48</v>
      </c>
      <c r="BT343" t="s">
        <v>125</v>
      </c>
      <c r="BV343" t="s">
        <v>337</v>
      </c>
      <c r="BW343" t="s">
        <v>679</v>
      </c>
    </row>
    <row r="344" spans="2:75" x14ac:dyDescent="0.75">
      <c r="B344" t="s">
        <v>426</v>
      </c>
      <c r="C344" t="s">
        <v>300</v>
      </c>
      <c r="D344" t="s">
        <v>77</v>
      </c>
      <c r="E344" t="s">
        <v>77</v>
      </c>
      <c r="F344">
        <v>100</v>
      </c>
      <c r="G344">
        <v>1</v>
      </c>
      <c r="H344" t="s">
        <v>89</v>
      </c>
      <c r="J344">
        <v>0.02</v>
      </c>
      <c r="R344" t="s">
        <v>84</v>
      </c>
      <c r="S344" s="5"/>
      <c r="T344" s="5"/>
      <c r="U344" s="5"/>
      <c r="V344" s="5"/>
      <c r="W344" s="5"/>
      <c r="X344" s="5"/>
      <c r="Y344" s="5"/>
      <c r="Z344" s="5"/>
      <c r="AA344" s="5"/>
      <c r="AB344" s="5"/>
      <c r="AC344" s="5"/>
      <c r="AD344" s="5"/>
      <c r="AE344" s="5"/>
      <c r="AF344" s="5"/>
      <c r="AG344" s="5">
        <v>2.9851992150035199E-6</v>
      </c>
      <c r="AH344" s="5">
        <v>4.4784104735593598E-6</v>
      </c>
      <c r="AI344" s="5">
        <v>6.6418106928413399E-6</v>
      </c>
      <c r="AJ344" s="5">
        <v>9.7424910065085494E-6</v>
      </c>
      <c r="AK344" s="5">
        <v>1.41407309526555E-5</v>
      </c>
      <c r="AL344" s="5">
        <v>2.89112739359511E-5</v>
      </c>
      <c r="AM344" s="5"/>
      <c r="AN344" s="5"/>
      <c r="AV344">
        <v>6.2</v>
      </c>
      <c r="AW344">
        <v>1413</v>
      </c>
      <c r="AX344">
        <v>-51</v>
      </c>
      <c r="AY344" t="s">
        <v>80</v>
      </c>
      <c r="BD344">
        <v>0.82903000000000004</v>
      </c>
      <c r="BG344">
        <v>0.84</v>
      </c>
      <c r="BH344" s="5">
        <v>5500000</v>
      </c>
      <c r="BI344" t="s">
        <v>81</v>
      </c>
      <c r="BO344" s="17">
        <v>500</v>
      </c>
      <c r="BP344" t="s">
        <v>82</v>
      </c>
      <c r="BQ344" t="s">
        <v>83</v>
      </c>
      <c r="BR344">
        <v>25</v>
      </c>
      <c r="BS344">
        <v>48</v>
      </c>
      <c r="BT344" t="s">
        <v>125</v>
      </c>
      <c r="BV344" t="s">
        <v>337</v>
      </c>
      <c r="BW344" t="s">
        <v>679</v>
      </c>
    </row>
    <row r="345" spans="2:75" x14ac:dyDescent="0.75">
      <c r="B345" t="s">
        <v>426</v>
      </c>
      <c r="C345" t="s">
        <v>300</v>
      </c>
      <c r="D345" t="s">
        <v>77</v>
      </c>
      <c r="E345" t="s">
        <v>77</v>
      </c>
      <c r="F345">
        <v>100</v>
      </c>
      <c r="G345">
        <v>1</v>
      </c>
      <c r="H345" t="s">
        <v>91</v>
      </c>
      <c r="J345">
        <v>0.5</v>
      </c>
      <c r="R345" t="s">
        <v>84</v>
      </c>
      <c r="S345" s="5"/>
      <c r="T345" s="5"/>
      <c r="U345" s="5"/>
      <c r="V345" s="5"/>
      <c r="W345" s="5"/>
      <c r="X345" s="5"/>
      <c r="Y345" s="5"/>
      <c r="Z345" s="5"/>
      <c r="AA345" s="5"/>
      <c r="AB345" s="5"/>
      <c r="AC345" s="5"/>
      <c r="AD345" s="5"/>
      <c r="AE345" s="5"/>
      <c r="AF345" s="5"/>
      <c r="AG345" s="5">
        <v>2.8132323765626002E-10</v>
      </c>
      <c r="AH345" s="5">
        <v>4.4732630920034397E-10</v>
      </c>
      <c r="AI345" s="5">
        <v>7.0200431885033999E-10</v>
      </c>
      <c r="AJ345" s="5">
        <v>1.08790383314002E-9</v>
      </c>
      <c r="AK345" s="5">
        <v>1.66572125705928E-9</v>
      </c>
      <c r="AL345" s="5">
        <v>3.7735633428220602E-9</v>
      </c>
      <c r="AM345" s="5"/>
      <c r="AN345" s="5"/>
      <c r="AV345" s="5">
        <v>930000</v>
      </c>
      <c r="AW345">
        <v>11260</v>
      </c>
      <c r="AX345">
        <v>-273.14999999999998</v>
      </c>
      <c r="AY345" t="s">
        <v>80</v>
      </c>
      <c r="BD345">
        <v>0.94691999999999998</v>
      </c>
      <c r="BG345">
        <v>0.95</v>
      </c>
      <c r="BH345" s="5">
        <v>30000</v>
      </c>
      <c r="BI345" t="s">
        <v>81</v>
      </c>
      <c r="BO345" s="17">
        <v>500</v>
      </c>
      <c r="BP345" t="s">
        <v>82</v>
      </c>
      <c r="BQ345" t="s">
        <v>83</v>
      </c>
      <c r="BR345">
        <v>25</v>
      </c>
      <c r="BS345">
        <v>48</v>
      </c>
      <c r="BT345" t="s">
        <v>125</v>
      </c>
      <c r="BV345" t="s">
        <v>337</v>
      </c>
      <c r="BW345" t="s">
        <v>679</v>
      </c>
    </row>
    <row r="346" spans="2:75" x14ac:dyDescent="0.75">
      <c r="B346" t="s">
        <v>426</v>
      </c>
      <c r="C346" t="s">
        <v>300</v>
      </c>
      <c r="D346" t="s">
        <v>77</v>
      </c>
      <c r="E346" t="s">
        <v>77</v>
      </c>
      <c r="F346">
        <v>100</v>
      </c>
      <c r="G346">
        <v>1</v>
      </c>
      <c r="H346" t="s">
        <v>91</v>
      </c>
      <c r="J346">
        <v>0.33</v>
      </c>
      <c r="R346" t="s">
        <v>84</v>
      </c>
      <c r="S346" s="5"/>
      <c r="T346" s="5"/>
      <c r="U346" s="5"/>
      <c r="V346" s="5"/>
      <c r="W346" s="5"/>
      <c r="X346" s="5"/>
      <c r="Y346" s="5"/>
      <c r="Z346" s="5"/>
      <c r="AA346" s="5"/>
      <c r="AB346" s="5"/>
      <c r="AC346" s="5"/>
      <c r="AD346" s="5"/>
      <c r="AE346" s="5"/>
      <c r="AF346" s="5"/>
      <c r="AG346" s="5">
        <v>6.4032432446894472E-10</v>
      </c>
      <c r="AH346" s="5"/>
      <c r="AI346" s="5">
        <v>1.3899526312133504E-9</v>
      </c>
      <c r="AJ346" s="5"/>
      <c r="AK346" s="5">
        <v>3.1739494085622177E-9</v>
      </c>
      <c r="AL346" s="5">
        <v>1.0085559596191047E-8</v>
      </c>
      <c r="AM346" s="5"/>
      <c r="AN346" s="5"/>
      <c r="AV346" s="5">
        <v>9000000</v>
      </c>
      <c r="AW346" s="5">
        <v>12000</v>
      </c>
      <c r="AX346">
        <v>-273.14999999999998</v>
      </c>
      <c r="AY346" t="s">
        <v>80</v>
      </c>
      <c r="BD346">
        <v>0.83143</v>
      </c>
      <c r="BG346">
        <v>1</v>
      </c>
      <c r="BH346" s="5">
        <v>290000</v>
      </c>
      <c r="BI346" t="s">
        <v>81</v>
      </c>
      <c r="BO346" s="17">
        <v>500</v>
      </c>
      <c r="BP346" t="s">
        <v>82</v>
      </c>
      <c r="BQ346" t="s">
        <v>83</v>
      </c>
      <c r="BR346">
        <v>25</v>
      </c>
      <c r="BS346">
        <v>48</v>
      </c>
      <c r="BT346" t="s">
        <v>125</v>
      </c>
      <c r="BV346" t="s">
        <v>337</v>
      </c>
      <c r="BW346" t="s">
        <v>679</v>
      </c>
    </row>
    <row r="347" spans="2:75" x14ac:dyDescent="0.75">
      <c r="B347" t="s">
        <v>426</v>
      </c>
      <c r="C347" t="s">
        <v>300</v>
      </c>
      <c r="D347" t="s">
        <v>77</v>
      </c>
      <c r="E347" t="s">
        <v>77</v>
      </c>
      <c r="F347">
        <v>100</v>
      </c>
      <c r="G347">
        <v>1</v>
      </c>
      <c r="H347" t="s">
        <v>91</v>
      </c>
      <c r="J347">
        <v>0.2</v>
      </c>
      <c r="R347" t="s">
        <v>84</v>
      </c>
      <c r="S347" s="5"/>
      <c r="T347" s="5"/>
      <c r="U347" s="5"/>
      <c r="V347" s="5"/>
      <c r="W347" s="5"/>
      <c r="X347" s="5"/>
      <c r="Y347" s="5"/>
      <c r="Z347" s="5"/>
      <c r="AA347" s="5"/>
      <c r="AB347" s="5"/>
      <c r="AC347" s="5"/>
      <c r="AD347" s="5"/>
      <c r="AE347" s="5"/>
      <c r="AF347" s="5"/>
      <c r="AG347" s="5">
        <v>4.8587583575926997E-8</v>
      </c>
      <c r="AH347" s="5">
        <v>7.1330771393937297E-8</v>
      </c>
      <c r="AI347" s="5">
        <v>1.0153575707778101E-7</v>
      </c>
      <c r="AJ347" s="5">
        <v>1.40633139314978E-7</v>
      </c>
      <c r="AK347" s="5">
        <v>1.9010494952064899E-7</v>
      </c>
      <c r="AL347" s="5">
        <v>3.2618334421046702E-7</v>
      </c>
      <c r="AM347" s="5"/>
      <c r="AN347" s="5"/>
      <c r="AV347">
        <v>0.01</v>
      </c>
      <c r="AW347">
        <v>1103</v>
      </c>
      <c r="AX347">
        <v>-46</v>
      </c>
      <c r="AY347" t="s">
        <v>80</v>
      </c>
      <c r="BD347">
        <v>0.73258999999999996</v>
      </c>
      <c r="BG347">
        <v>0.7</v>
      </c>
      <c r="BH347">
        <v>971</v>
      </c>
      <c r="BI347" t="s">
        <v>81</v>
      </c>
      <c r="BO347" s="17">
        <v>500</v>
      </c>
      <c r="BP347" t="s">
        <v>82</v>
      </c>
      <c r="BQ347" t="s">
        <v>83</v>
      </c>
      <c r="BR347">
        <v>25</v>
      </c>
      <c r="BS347">
        <v>48</v>
      </c>
      <c r="BT347" t="s">
        <v>125</v>
      </c>
      <c r="BV347" t="s">
        <v>337</v>
      </c>
      <c r="BW347" t="s">
        <v>679</v>
      </c>
    </row>
    <row r="348" spans="2:75" x14ac:dyDescent="0.75">
      <c r="B348" t="s">
        <v>426</v>
      </c>
      <c r="C348" t="s">
        <v>300</v>
      </c>
      <c r="D348" t="s">
        <v>77</v>
      </c>
      <c r="E348" t="s">
        <v>77</v>
      </c>
      <c r="F348">
        <v>100</v>
      </c>
      <c r="G348">
        <v>1</v>
      </c>
      <c r="H348" t="s">
        <v>91</v>
      </c>
      <c r="J348">
        <v>0.11</v>
      </c>
      <c r="R348" t="s">
        <v>84</v>
      </c>
      <c r="S348" s="5"/>
      <c r="T348" s="5"/>
      <c r="U348" s="5"/>
      <c r="V348" s="5"/>
      <c r="W348" s="5"/>
      <c r="X348" s="5"/>
      <c r="Y348" s="5"/>
      <c r="Z348" s="5"/>
      <c r="AA348" s="5"/>
      <c r="AB348" s="5"/>
      <c r="AC348" s="5"/>
      <c r="AD348" s="5"/>
      <c r="AE348" s="5"/>
      <c r="AF348" s="5"/>
      <c r="AG348" s="5">
        <v>4.11886026561938E-6</v>
      </c>
      <c r="AH348" s="5">
        <v>5.6990166199832996E-6</v>
      </c>
      <c r="AI348" s="5">
        <v>7.8132101092053108E-6</v>
      </c>
      <c r="AJ348" s="5">
        <v>1.06177634186679E-5</v>
      </c>
      <c r="AK348" s="5">
        <v>1.4307659035993399E-5</v>
      </c>
      <c r="AL348" s="5">
        <v>2.53644492951518E-5</v>
      </c>
      <c r="AM348" s="5"/>
      <c r="AN348" s="5"/>
      <c r="AV348" s="5">
        <v>850000</v>
      </c>
      <c r="AW348">
        <v>7937</v>
      </c>
      <c r="AX348">
        <v>-273.14999999999998</v>
      </c>
      <c r="AY348" t="s">
        <v>80</v>
      </c>
      <c r="BD348">
        <v>0.65746000000000004</v>
      </c>
      <c r="BG348">
        <v>0.67</v>
      </c>
      <c r="BH348" s="5">
        <v>27000</v>
      </c>
      <c r="BI348" t="s">
        <v>81</v>
      </c>
      <c r="BO348" s="17">
        <v>500</v>
      </c>
      <c r="BP348" t="s">
        <v>82</v>
      </c>
      <c r="BQ348" t="s">
        <v>83</v>
      </c>
      <c r="BR348">
        <v>25</v>
      </c>
      <c r="BS348">
        <v>48</v>
      </c>
      <c r="BT348" t="s">
        <v>125</v>
      </c>
      <c r="BV348" t="s">
        <v>337</v>
      </c>
      <c r="BW348" t="s">
        <v>679</v>
      </c>
    </row>
    <row r="349" spans="2:75" x14ac:dyDescent="0.75">
      <c r="B349" t="s">
        <v>426</v>
      </c>
      <c r="C349" t="s">
        <v>300</v>
      </c>
      <c r="D349" t="s">
        <v>77</v>
      </c>
      <c r="E349" t="s">
        <v>77</v>
      </c>
      <c r="F349">
        <v>100</v>
      </c>
      <c r="G349">
        <v>1</v>
      </c>
      <c r="H349" t="s">
        <v>91</v>
      </c>
      <c r="J349">
        <v>0.04</v>
      </c>
      <c r="R349" t="s">
        <v>84</v>
      </c>
      <c r="S349" s="5"/>
      <c r="T349" s="5"/>
      <c r="U349" s="5"/>
      <c r="V349" s="5"/>
      <c r="W349" s="5"/>
      <c r="X349" s="5"/>
      <c r="Y349" s="5"/>
      <c r="Z349" s="5"/>
      <c r="AA349" s="5"/>
      <c r="AB349" s="5"/>
      <c r="AC349" s="5"/>
      <c r="AD349" s="5"/>
      <c r="AE349" s="5"/>
      <c r="AF349" s="5"/>
      <c r="AG349" s="5">
        <v>2.65820985806633E-5</v>
      </c>
      <c r="AH349" s="5">
        <v>3.6188910013275197E-5</v>
      </c>
      <c r="AI349" s="5">
        <v>4.88391063897755E-5</v>
      </c>
      <c r="AJ349" s="5">
        <v>6.5361917544472394E-5</v>
      </c>
      <c r="AK349" s="5">
        <v>8.6775451039337195E-5</v>
      </c>
      <c r="AL349" s="5">
        <v>1.49501823126414E-4</v>
      </c>
      <c r="AM349" s="5"/>
      <c r="AN349" s="5"/>
      <c r="AV349">
        <v>6296</v>
      </c>
      <c r="AW349">
        <v>4054</v>
      </c>
      <c r="AX349">
        <v>-178</v>
      </c>
      <c r="AY349" t="s">
        <v>80</v>
      </c>
      <c r="BD349">
        <v>0.63692000000000004</v>
      </c>
      <c r="BG349">
        <v>0.64</v>
      </c>
      <c r="BH349" s="5">
        <v>57000</v>
      </c>
      <c r="BI349" t="s">
        <v>81</v>
      </c>
      <c r="BO349" s="17">
        <v>500</v>
      </c>
      <c r="BP349" t="s">
        <v>82</v>
      </c>
      <c r="BQ349" t="s">
        <v>83</v>
      </c>
      <c r="BR349">
        <v>25</v>
      </c>
      <c r="BS349">
        <v>48</v>
      </c>
      <c r="BT349" t="s">
        <v>125</v>
      </c>
      <c r="BV349" t="s">
        <v>337</v>
      </c>
      <c r="BW349" t="s">
        <v>679</v>
      </c>
    </row>
    <row r="350" spans="2:75" x14ac:dyDescent="0.75">
      <c r="B350" t="s">
        <v>426</v>
      </c>
      <c r="C350" t="s">
        <v>300</v>
      </c>
      <c r="D350" t="s">
        <v>77</v>
      </c>
      <c r="E350" t="s">
        <v>77</v>
      </c>
      <c r="F350">
        <v>100</v>
      </c>
      <c r="G350">
        <v>1</v>
      </c>
      <c r="H350" t="s">
        <v>91</v>
      </c>
      <c r="J350">
        <v>0.02</v>
      </c>
      <c r="R350" t="s">
        <v>84</v>
      </c>
      <c r="S350" s="5"/>
      <c r="T350" s="5"/>
      <c r="U350" s="5"/>
      <c r="V350" s="5"/>
      <c r="W350" s="5"/>
      <c r="X350" s="5"/>
      <c r="Y350" s="5"/>
      <c r="Z350" s="5"/>
      <c r="AA350" s="5"/>
      <c r="AB350" s="5"/>
      <c r="AC350" s="5"/>
      <c r="AD350" s="5"/>
      <c r="AE350" s="5"/>
      <c r="AF350" s="5"/>
      <c r="AG350" s="5">
        <v>1.56467377444223E-5</v>
      </c>
      <c r="AH350" s="5">
        <v>2.27318896337124E-5</v>
      </c>
      <c r="AI350" s="5">
        <v>3.2065032453829302E-5</v>
      </c>
      <c r="AJ350" s="5">
        <v>4.4061081172609199E-5</v>
      </c>
      <c r="AK350" s="5">
        <v>5.9148055146711E-5</v>
      </c>
      <c r="AL350" s="5">
        <v>1.00323648728222E-4</v>
      </c>
      <c r="AM350" s="5"/>
      <c r="AN350" s="5"/>
      <c r="AV350">
        <v>3.5</v>
      </c>
      <c r="AW350">
        <v>1116</v>
      </c>
      <c r="AX350">
        <v>-49</v>
      </c>
      <c r="AY350" t="s">
        <v>80</v>
      </c>
      <c r="BD350">
        <v>0.67</v>
      </c>
      <c r="BG350">
        <v>0.68</v>
      </c>
      <c r="BH350" s="5">
        <v>180000</v>
      </c>
      <c r="BI350" t="s">
        <v>81</v>
      </c>
      <c r="BO350" s="17">
        <v>500</v>
      </c>
      <c r="BP350" t="s">
        <v>82</v>
      </c>
      <c r="BQ350" t="s">
        <v>83</v>
      </c>
      <c r="BR350">
        <v>25</v>
      </c>
      <c r="BS350">
        <v>48</v>
      </c>
      <c r="BT350" t="s">
        <v>125</v>
      </c>
      <c r="BV350" t="s">
        <v>337</v>
      </c>
      <c r="BW350" t="s">
        <v>679</v>
      </c>
    </row>
    <row r="351" spans="2:75" x14ac:dyDescent="0.75">
      <c r="B351" t="s">
        <v>426</v>
      </c>
      <c r="C351" t="s">
        <v>300</v>
      </c>
      <c r="D351" t="s">
        <v>77</v>
      </c>
      <c r="E351" t="s">
        <v>77</v>
      </c>
      <c r="F351">
        <v>100</v>
      </c>
      <c r="G351">
        <v>1</v>
      </c>
      <c r="H351" t="s">
        <v>94</v>
      </c>
      <c r="J351">
        <v>0.5</v>
      </c>
      <c r="R351" t="s">
        <v>84</v>
      </c>
      <c r="S351" s="5"/>
      <c r="T351" s="5"/>
      <c r="U351" s="5"/>
      <c r="V351" s="5"/>
      <c r="W351" s="5"/>
      <c r="X351" s="5"/>
      <c r="Y351" s="5"/>
      <c r="Z351" s="5"/>
      <c r="AA351" s="5"/>
      <c r="AB351" s="5"/>
      <c r="AC351" s="5"/>
      <c r="AD351" s="5"/>
      <c r="AE351" s="5"/>
      <c r="AF351" s="5"/>
      <c r="AG351" s="5">
        <v>1.7014461120724299E-10</v>
      </c>
      <c r="AH351" s="5">
        <v>2.6836465129404101E-10</v>
      </c>
      <c r="AI351" s="5">
        <v>4.1785766177707798E-10</v>
      </c>
      <c r="AJ351" s="5">
        <v>6.4263161137340801E-10</v>
      </c>
      <c r="AK351" s="5">
        <v>9.7667087745860802E-10</v>
      </c>
      <c r="AL351" s="5">
        <v>2.1812505380814799E-9</v>
      </c>
      <c r="AM351" s="5"/>
      <c r="AN351" s="5"/>
      <c r="AV351">
        <v>1613</v>
      </c>
      <c r="AW351">
        <v>7605</v>
      </c>
      <c r="AX351">
        <v>-212</v>
      </c>
      <c r="AY351" t="s">
        <v>80</v>
      </c>
      <c r="BD351">
        <v>0.93369999999999997</v>
      </c>
      <c r="BG351">
        <v>0.94</v>
      </c>
      <c r="BH351" s="5">
        <v>10000</v>
      </c>
      <c r="BI351" t="s">
        <v>81</v>
      </c>
      <c r="BO351" s="17">
        <v>500</v>
      </c>
      <c r="BP351" t="s">
        <v>82</v>
      </c>
      <c r="BQ351" t="s">
        <v>83</v>
      </c>
      <c r="BR351">
        <v>25</v>
      </c>
      <c r="BS351">
        <v>48</v>
      </c>
      <c r="BT351" t="s">
        <v>125</v>
      </c>
      <c r="BV351" t="s">
        <v>337</v>
      </c>
      <c r="BW351" t="s">
        <v>679</v>
      </c>
    </row>
    <row r="352" spans="2:75" x14ac:dyDescent="0.75">
      <c r="B352" t="s">
        <v>426</v>
      </c>
      <c r="C352" t="s">
        <v>300</v>
      </c>
      <c r="D352" t="s">
        <v>77</v>
      </c>
      <c r="E352" t="s">
        <v>77</v>
      </c>
      <c r="F352">
        <v>100</v>
      </c>
      <c r="G352">
        <v>1</v>
      </c>
      <c r="H352" t="s">
        <v>94</v>
      </c>
      <c r="J352">
        <v>0.33</v>
      </c>
      <c r="R352" t="s">
        <v>84</v>
      </c>
      <c r="S352" s="5"/>
      <c r="T352" s="5"/>
      <c r="U352" s="5"/>
      <c r="V352" s="5"/>
      <c r="W352" s="5"/>
      <c r="X352" s="5"/>
      <c r="Y352" s="5"/>
      <c r="Z352" s="5"/>
      <c r="AA352" s="5"/>
      <c r="AB352" s="5"/>
      <c r="AC352" s="5"/>
      <c r="AD352" s="5"/>
      <c r="AE352" s="5"/>
      <c r="AF352" s="5"/>
      <c r="AG352" s="5">
        <v>1.40068528922104E-9</v>
      </c>
      <c r="AH352" s="5">
        <v>2.1157479423304902E-9</v>
      </c>
      <c r="AI352" s="5">
        <v>3.1308331572790601E-9</v>
      </c>
      <c r="AJ352" s="5">
        <v>4.5454185590298301E-9</v>
      </c>
      <c r="AK352" s="3">
        <v>6.4832161151576201E-9</v>
      </c>
      <c r="AL352" s="5">
        <v>1.25663226741698E-8</v>
      </c>
      <c r="AM352" s="5"/>
      <c r="AN352" s="5"/>
      <c r="AV352">
        <v>0.43</v>
      </c>
      <c r="AW352">
        <v>3212</v>
      </c>
      <c r="AX352">
        <v>-123</v>
      </c>
      <c r="AY352" t="s">
        <v>80</v>
      </c>
      <c r="BD352">
        <v>0.79706999999999995</v>
      </c>
      <c r="BG352">
        <v>0.81</v>
      </c>
      <c r="BH352">
        <v>1016</v>
      </c>
      <c r="BI352" t="s">
        <v>81</v>
      </c>
      <c r="BO352" s="17">
        <v>500</v>
      </c>
      <c r="BP352" t="s">
        <v>82</v>
      </c>
      <c r="BQ352" t="s">
        <v>83</v>
      </c>
      <c r="BR352">
        <v>25</v>
      </c>
      <c r="BS352">
        <v>48</v>
      </c>
      <c r="BT352" t="s">
        <v>125</v>
      </c>
      <c r="BV352" t="s">
        <v>337</v>
      </c>
      <c r="BW352" t="s">
        <v>679</v>
      </c>
    </row>
    <row r="353" spans="1:75" x14ac:dyDescent="0.75">
      <c r="B353" t="s">
        <v>426</v>
      </c>
      <c r="C353" t="s">
        <v>300</v>
      </c>
      <c r="D353" t="s">
        <v>77</v>
      </c>
      <c r="E353" t="s">
        <v>77</v>
      </c>
      <c r="F353">
        <v>100</v>
      </c>
      <c r="G353">
        <v>1</v>
      </c>
      <c r="H353" t="s">
        <v>94</v>
      </c>
      <c r="J353">
        <v>0.2</v>
      </c>
      <c r="R353" t="s">
        <v>84</v>
      </c>
      <c r="S353" s="5"/>
      <c r="T353" s="5"/>
      <c r="U353" s="5"/>
      <c r="V353" s="5"/>
      <c r="W353" s="5"/>
      <c r="X353" s="5"/>
      <c r="Y353" s="5"/>
      <c r="Z353" s="5"/>
      <c r="AA353" s="5"/>
      <c r="AB353" s="5"/>
      <c r="AC353" s="5"/>
      <c r="AD353" s="5"/>
      <c r="AE353" s="5"/>
      <c r="AF353" s="5"/>
      <c r="AG353" s="5">
        <v>1.9884657960133801E-7</v>
      </c>
      <c r="AH353" s="5">
        <v>2.8921545917904501E-7</v>
      </c>
      <c r="AI353" s="5">
        <v>4.0772183574549301E-7</v>
      </c>
      <c r="AJ353" s="3">
        <v>5.5918123781658497E-7</v>
      </c>
      <c r="AK353" s="5">
        <v>7.48428982481662E-7</v>
      </c>
      <c r="AL353" s="5">
        <v>1.2591177553597E-6</v>
      </c>
      <c r="AM353" s="5"/>
      <c r="AN353" s="5"/>
      <c r="AV353">
        <v>0.03</v>
      </c>
      <c r="AW353">
        <v>999</v>
      </c>
      <c r="AX353">
        <v>-42</v>
      </c>
      <c r="AY353" t="s">
        <v>80</v>
      </c>
      <c r="BD353">
        <v>0.67752999999999997</v>
      </c>
      <c r="BG353">
        <v>0.68</v>
      </c>
      <c r="BH353">
        <v>1921</v>
      </c>
      <c r="BI353" t="s">
        <v>81</v>
      </c>
      <c r="BO353" s="17">
        <v>500</v>
      </c>
      <c r="BP353" t="s">
        <v>82</v>
      </c>
      <c r="BQ353" t="s">
        <v>83</v>
      </c>
      <c r="BR353">
        <v>25</v>
      </c>
      <c r="BS353">
        <v>48</v>
      </c>
      <c r="BT353" t="s">
        <v>125</v>
      </c>
      <c r="BV353" t="s">
        <v>337</v>
      </c>
      <c r="BW353" t="s">
        <v>679</v>
      </c>
    </row>
    <row r="354" spans="1:75" x14ac:dyDescent="0.75">
      <c r="B354" t="s">
        <v>426</v>
      </c>
      <c r="C354" t="s">
        <v>300</v>
      </c>
      <c r="D354" t="s">
        <v>77</v>
      </c>
      <c r="E354" t="s">
        <v>77</v>
      </c>
      <c r="F354">
        <v>100</v>
      </c>
      <c r="G354">
        <v>1</v>
      </c>
      <c r="H354" t="s">
        <v>94</v>
      </c>
      <c r="J354">
        <v>0.11</v>
      </c>
      <c r="R354" t="s">
        <v>84</v>
      </c>
      <c r="S354" s="5"/>
      <c r="T354" s="5"/>
      <c r="U354" s="5"/>
      <c r="V354" s="5"/>
      <c r="W354" s="5"/>
      <c r="X354" s="5"/>
      <c r="Y354" s="5"/>
      <c r="Z354" s="5"/>
      <c r="AA354" s="5"/>
      <c r="AB354" s="5"/>
      <c r="AC354" s="5"/>
      <c r="AD354" s="5"/>
      <c r="AE354" s="5"/>
      <c r="AF354" s="5"/>
      <c r="AG354" s="5">
        <v>1.06865213090519E-5</v>
      </c>
      <c r="AH354" s="5">
        <v>1.4398181791397499E-5</v>
      </c>
      <c r="AI354" s="3">
        <v>1.92359112644503E-5</v>
      </c>
      <c r="AJ354" s="5">
        <v>2.5492078068961498E-5</v>
      </c>
      <c r="AK354" s="5">
        <v>3.3522018969559398E-5</v>
      </c>
      <c r="AL354" s="5">
        <v>5.6704674293930802E-5</v>
      </c>
      <c r="AM354" s="5"/>
      <c r="AN354" s="5"/>
      <c r="AV354" s="5">
        <v>130000</v>
      </c>
      <c r="AW354">
        <v>6610</v>
      </c>
      <c r="AX354">
        <v>-256</v>
      </c>
      <c r="AY354" t="s">
        <v>80</v>
      </c>
      <c r="BD354">
        <v>0.59358</v>
      </c>
      <c r="BG354">
        <v>0.61</v>
      </c>
      <c r="BH354" s="5">
        <v>11000</v>
      </c>
      <c r="BI354" t="s">
        <v>81</v>
      </c>
      <c r="BO354" s="17">
        <v>500</v>
      </c>
      <c r="BP354" t="s">
        <v>82</v>
      </c>
      <c r="BQ354" t="s">
        <v>83</v>
      </c>
      <c r="BR354">
        <v>25</v>
      </c>
      <c r="BS354">
        <v>48</v>
      </c>
      <c r="BT354" t="s">
        <v>125</v>
      </c>
      <c r="BV354" t="s">
        <v>337</v>
      </c>
      <c r="BW354" t="s">
        <v>679</v>
      </c>
    </row>
    <row r="355" spans="1:75" x14ac:dyDescent="0.75">
      <c r="B355" t="s">
        <v>426</v>
      </c>
      <c r="C355" t="s">
        <v>300</v>
      </c>
      <c r="D355" t="s">
        <v>77</v>
      </c>
      <c r="E355" t="s">
        <v>77</v>
      </c>
      <c r="F355">
        <v>100</v>
      </c>
      <c r="G355">
        <v>1</v>
      </c>
      <c r="H355" t="s">
        <v>94</v>
      </c>
      <c r="J355">
        <v>0.04</v>
      </c>
      <c r="R355" t="s">
        <v>84</v>
      </c>
      <c r="S355" s="5"/>
      <c r="T355" s="5"/>
      <c r="U355" s="5"/>
      <c r="V355" s="5"/>
      <c r="W355" s="5"/>
      <c r="X355" s="5"/>
      <c r="Y355" s="5"/>
      <c r="Z355" s="5"/>
      <c r="AA355" s="5"/>
      <c r="AB355" s="5"/>
      <c r="AC355" s="5"/>
      <c r="AD355" s="5"/>
      <c r="AE355" s="5"/>
      <c r="AF355" s="5"/>
      <c r="AG355" s="5">
        <v>5.4664049508581497E-5</v>
      </c>
      <c r="AH355" s="3">
        <v>7.0803028027712197E-5</v>
      </c>
      <c r="AI355" s="5">
        <v>9.1037535737503503E-5</v>
      </c>
      <c r="AJ355" s="5">
        <v>1.16236099636346E-4</v>
      </c>
      <c r="AK355" s="5">
        <v>1.4741420697637699E-4</v>
      </c>
      <c r="AL355" s="5">
        <v>2.3261577774221599E-4</v>
      </c>
      <c r="AM355" s="5"/>
      <c r="AN355" s="5"/>
      <c r="AV355" s="5">
        <v>110000</v>
      </c>
      <c r="AW355">
        <v>6360</v>
      </c>
      <c r="AX355">
        <v>-273.14999999999998</v>
      </c>
      <c r="AY355" t="s">
        <v>80</v>
      </c>
      <c r="BD355">
        <v>0.56247000000000003</v>
      </c>
      <c r="BG355">
        <v>0.53</v>
      </c>
      <c r="BH355">
        <v>3636</v>
      </c>
      <c r="BI355" t="s">
        <v>81</v>
      </c>
      <c r="BO355" s="17">
        <v>500</v>
      </c>
      <c r="BP355" t="s">
        <v>82</v>
      </c>
      <c r="BQ355" t="s">
        <v>83</v>
      </c>
      <c r="BR355">
        <v>25</v>
      </c>
      <c r="BS355">
        <v>48</v>
      </c>
      <c r="BT355" t="s">
        <v>125</v>
      </c>
      <c r="BV355" t="s">
        <v>337</v>
      </c>
      <c r="BW355" t="s">
        <v>679</v>
      </c>
    </row>
    <row r="356" spans="1:75" x14ac:dyDescent="0.75">
      <c r="A356" s="1"/>
      <c r="B356" t="s">
        <v>426</v>
      </c>
      <c r="C356" s="1" t="s">
        <v>300</v>
      </c>
      <c r="D356" t="s">
        <v>77</v>
      </c>
      <c r="E356" t="s">
        <v>77</v>
      </c>
      <c r="F356">
        <v>100</v>
      </c>
      <c r="G356">
        <v>1</v>
      </c>
      <c r="H356" s="1" t="s">
        <v>94</v>
      </c>
      <c r="I356" s="1"/>
      <c r="J356" s="1">
        <v>0.02</v>
      </c>
      <c r="K356" s="1"/>
      <c r="L356" s="1"/>
      <c r="M356" s="1"/>
      <c r="N356" s="1"/>
      <c r="O356" s="1"/>
      <c r="P356" s="1"/>
      <c r="Q356" s="1"/>
      <c r="R356" t="s">
        <v>84</v>
      </c>
      <c r="S356" s="3"/>
      <c r="T356" s="3"/>
      <c r="U356" s="3"/>
      <c r="V356" s="3"/>
      <c r="W356" s="3"/>
      <c r="X356" s="3"/>
      <c r="Y356" s="3"/>
      <c r="Z356" s="3"/>
      <c r="AA356" s="3"/>
      <c r="AB356" s="3"/>
      <c r="AC356" s="3"/>
      <c r="AD356" s="3"/>
      <c r="AE356" s="3"/>
      <c r="AF356" s="3"/>
      <c r="AG356" s="3">
        <v>3.4127148323868616E-5</v>
      </c>
      <c r="AH356" s="3"/>
      <c r="AI356" s="3">
        <v>6.1901332809672469E-5</v>
      </c>
      <c r="AJ356" s="3"/>
      <c r="AK356" s="3">
        <v>9.8923619885142255E-5</v>
      </c>
      <c r="AL356" s="3">
        <v>2.0625286978465714E-4</v>
      </c>
      <c r="AM356" s="3"/>
      <c r="AN356" s="3"/>
      <c r="AO356" s="1"/>
      <c r="AP356" s="1"/>
      <c r="AQ356" s="1"/>
      <c r="AR356" s="1"/>
      <c r="AS356" s="1"/>
      <c r="AT356" s="1"/>
      <c r="AU356" s="1"/>
      <c r="AV356" s="3">
        <v>3200000</v>
      </c>
      <c r="AW356" s="1">
        <v>7677</v>
      </c>
      <c r="AX356" s="1">
        <v>-273.14999999999998</v>
      </c>
      <c r="AY356" s="1" t="s">
        <v>80</v>
      </c>
      <c r="AZ356" s="1"/>
      <c r="BA356" s="1"/>
      <c r="BB356" s="1"/>
      <c r="BC356" s="1"/>
      <c r="BD356" s="1">
        <v>0.57484000000000002</v>
      </c>
      <c r="BE356" s="1"/>
      <c r="BF356" s="1"/>
      <c r="BG356" s="1">
        <v>0.65</v>
      </c>
      <c r="BH356" s="3">
        <v>100000</v>
      </c>
      <c r="BI356" s="1" t="s">
        <v>81</v>
      </c>
      <c r="BJ356" s="1"/>
      <c r="BK356" s="1"/>
      <c r="BL356" s="1"/>
      <c r="BM356" s="1"/>
      <c r="BN356" s="1"/>
      <c r="BO356" s="19">
        <v>500</v>
      </c>
      <c r="BP356" s="1" t="s">
        <v>82</v>
      </c>
      <c r="BQ356" s="1" t="s">
        <v>83</v>
      </c>
      <c r="BR356" s="1">
        <v>25</v>
      </c>
      <c r="BS356" s="1">
        <v>48</v>
      </c>
      <c r="BT356" t="s">
        <v>125</v>
      </c>
      <c r="BU356" s="1"/>
      <c r="BV356" t="s">
        <v>337</v>
      </c>
      <c r="BW356" t="s">
        <v>679</v>
      </c>
    </row>
    <row r="357" spans="1:75" x14ac:dyDescent="0.75">
      <c r="A357" t="s">
        <v>338</v>
      </c>
      <c r="B357" t="s">
        <v>426</v>
      </c>
      <c r="C357" t="s">
        <v>300</v>
      </c>
      <c r="D357" t="s">
        <v>77</v>
      </c>
      <c r="E357" t="s">
        <v>77</v>
      </c>
      <c r="F357">
        <v>100</v>
      </c>
      <c r="G357">
        <v>1</v>
      </c>
      <c r="H357" t="s">
        <v>78</v>
      </c>
      <c r="J357">
        <v>0.02</v>
      </c>
      <c r="R357" t="s">
        <v>84</v>
      </c>
      <c r="S357" s="5"/>
      <c r="T357" s="5"/>
      <c r="U357" s="5"/>
      <c r="V357" s="5"/>
      <c r="W357" s="5"/>
      <c r="X357" s="5"/>
      <c r="Y357" s="5"/>
      <c r="Z357" s="5"/>
      <c r="AA357" s="5"/>
      <c r="AB357" s="5"/>
      <c r="AC357" s="5"/>
      <c r="AD357" s="5"/>
      <c r="AE357" s="5"/>
      <c r="AF357" s="5"/>
      <c r="AG357" s="5"/>
      <c r="AH357" s="5"/>
      <c r="AI357" s="5"/>
      <c r="AJ357" s="5"/>
      <c r="AK357" s="5">
        <v>5.1692999999999999E-3</v>
      </c>
      <c r="AL357" s="5"/>
      <c r="AM357" s="5"/>
      <c r="AN357" s="5"/>
      <c r="AO357">
        <v>0.38478000000000001</v>
      </c>
      <c r="AP357">
        <v>90</v>
      </c>
      <c r="AQ357" t="s">
        <v>293</v>
      </c>
      <c r="BJ357">
        <v>1.3996999999999999E-6</v>
      </c>
      <c r="BK357">
        <v>90</v>
      </c>
      <c r="BM357">
        <v>1.03</v>
      </c>
      <c r="BN357" s="17">
        <v>0.6</v>
      </c>
      <c r="BO357" s="17">
        <f>BN357*BM357</f>
        <v>0.61799999999999999</v>
      </c>
      <c r="BP357" t="s">
        <v>82</v>
      </c>
      <c r="BQ357" t="s">
        <v>148</v>
      </c>
      <c r="BR357">
        <v>90</v>
      </c>
      <c r="BS357">
        <v>24</v>
      </c>
      <c r="BT357" t="s">
        <v>84</v>
      </c>
      <c r="BV357" t="s">
        <v>339</v>
      </c>
      <c r="BW357" t="s">
        <v>340</v>
      </c>
    </row>
    <row r="358" spans="1:75" x14ac:dyDescent="0.75">
      <c r="B358" t="s">
        <v>426</v>
      </c>
      <c r="C358" t="s">
        <v>300</v>
      </c>
      <c r="D358" t="s">
        <v>77</v>
      </c>
      <c r="E358" t="s">
        <v>77</v>
      </c>
      <c r="F358">
        <v>100</v>
      </c>
      <c r="G358">
        <v>1</v>
      </c>
      <c r="H358" t="s">
        <v>78</v>
      </c>
      <c r="J358">
        <v>0.02</v>
      </c>
      <c r="R358" t="s">
        <v>84</v>
      </c>
      <c r="S358" s="5"/>
      <c r="T358" s="5"/>
      <c r="U358" s="5"/>
      <c r="V358" s="5"/>
      <c r="W358" s="5"/>
      <c r="X358" s="5"/>
      <c r="Y358" s="5"/>
      <c r="Z358" s="5"/>
      <c r="AA358" s="5"/>
      <c r="AB358" s="5"/>
      <c r="AC358" s="5"/>
      <c r="AD358" s="5"/>
      <c r="AE358" s="5"/>
      <c r="AF358" s="5"/>
      <c r="AG358" s="5"/>
      <c r="AH358" s="5"/>
      <c r="AI358" s="5"/>
      <c r="AJ358" s="5"/>
      <c r="AK358" s="5">
        <v>3.0168999999999999E-3</v>
      </c>
      <c r="AL358" s="5"/>
      <c r="AM358" s="5"/>
      <c r="AN358" s="5"/>
      <c r="AO358">
        <v>0.33623999999999998</v>
      </c>
      <c r="AP358">
        <v>90</v>
      </c>
      <c r="AQ358" t="s">
        <v>293</v>
      </c>
      <c r="BJ358">
        <v>7.1231999999999996E-7</v>
      </c>
      <c r="BK358">
        <v>90</v>
      </c>
      <c r="BM358">
        <v>1.1000000000000001</v>
      </c>
      <c r="BN358" s="17">
        <v>1</v>
      </c>
      <c r="BO358" s="17">
        <f t="shared" ref="BO358:BO371" si="15">BN358*BM358</f>
        <v>1.1000000000000001</v>
      </c>
      <c r="BP358" t="s">
        <v>82</v>
      </c>
      <c r="BQ358" t="s">
        <v>148</v>
      </c>
      <c r="BR358">
        <v>90</v>
      </c>
      <c r="BS358">
        <v>24</v>
      </c>
      <c r="BT358" t="s">
        <v>84</v>
      </c>
      <c r="BV358" t="s">
        <v>339</v>
      </c>
      <c r="BW358" t="s">
        <v>340</v>
      </c>
    </row>
    <row r="359" spans="1:75" x14ac:dyDescent="0.75">
      <c r="B359" t="s">
        <v>426</v>
      </c>
      <c r="C359" t="s">
        <v>300</v>
      </c>
      <c r="D359" t="s">
        <v>77</v>
      </c>
      <c r="E359" t="s">
        <v>77</v>
      </c>
      <c r="F359">
        <v>100</v>
      </c>
      <c r="G359">
        <v>1</v>
      </c>
      <c r="H359" t="s">
        <v>78</v>
      </c>
      <c r="J359">
        <v>0.02</v>
      </c>
      <c r="R359" t="s">
        <v>84</v>
      </c>
      <c r="S359" s="5"/>
      <c r="T359" s="5"/>
      <c r="U359" s="5"/>
      <c r="V359" s="5"/>
      <c r="W359" s="5"/>
      <c r="X359" s="5"/>
      <c r="Y359" s="5"/>
      <c r="Z359" s="5"/>
      <c r="AA359" s="5"/>
      <c r="AB359" s="5"/>
      <c r="AC359" s="5"/>
      <c r="AD359" s="5"/>
      <c r="AE359" s="5"/>
      <c r="AF359" s="5"/>
      <c r="AG359" s="5"/>
      <c r="AH359" s="5"/>
      <c r="AI359" s="5"/>
      <c r="AJ359" s="5"/>
      <c r="AK359" s="5">
        <v>1.4159000000000001E-3</v>
      </c>
      <c r="AL359" s="5"/>
      <c r="AM359" s="5"/>
      <c r="AN359" s="5"/>
      <c r="AO359">
        <v>0.29859999999999998</v>
      </c>
      <c r="AP359">
        <v>90</v>
      </c>
      <c r="AQ359" t="s">
        <v>293</v>
      </c>
      <c r="BJ359">
        <v>2.9735E-7</v>
      </c>
      <c r="BK359">
        <v>90</v>
      </c>
      <c r="BM359">
        <v>1.1000000000000001</v>
      </c>
      <c r="BN359" s="17">
        <v>2</v>
      </c>
      <c r="BO359" s="17">
        <f t="shared" si="15"/>
        <v>2.2000000000000002</v>
      </c>
      <c r="BP359" t="s">
        <v>82</v>
      </c>
      <c r="BQ359" t="s">
        <v>148</v>
      </c>
      <c r="BR359">
        <v>90</v>
      </c>
      <c r="BS359">
        <v>24</v>
      </c>
      <c r="BT359" t="s">
        <v>84</v>
      </c>
      <c r="BV359" t="s">
        <v>339</v>
      </c>
      <c r="BW359" t="s">
        <v>340</v>
      </c>
    </row>
    <row r="360" spans="1:75" x14ac:dyDescent="0.75">
      <c r="B360" t="s">
        <v>426</v>
      </c>
      <c r="C360" t="s">
        <v>300</v>
      </c>
      <c r="D360" t="s">
        <v>77</v>
      </c>
      <c r="E360" t="s">
        <v>77</v>
      </c>
      <c r="F360">
        <v>100</v>
      </c>
      <c r="G360">
        <v>1</v>
      </c>
      <c r="H360" t="s">
        <v>78</v>
      </c>
      <c r="J360">
        <v>0.02</v>
      </c>
      <c r="R360" t="s">
        <v>84</v>
      </c>
      <c r="S360" s="5"/>
      <c r="T360" s="5"/>
      <c r="U360" s="5"/>
      <c r="V360" s="5"/>
      <c r="W360" s="5"/>
      <c r="X360" s="5"/>
      <c r="Y360" s="5"/>
      <c r="Z360" s="5"/>
      <c r="AA360" s="5"/>
      <c r="AB360" s="5"/>
      <c r="AC360" s="5"/>
      <c r="AD360" s="5"/>
      <c r="AE360" s="5"/>
      <c r="AF360" s="5"/>
      <c r="AG360" s="5"/>
      <c r="AH360" s="5"/>
      <c r="AI360" s="5"/>
      <c r="AJ360" s="5"/>
      <c r="AK360" s="5">
        <v>1.2957000000000001E-3</v>
      </c>
      <c r="AL360" s="5"/>
      <c r="AM360" s="5"/>
      <c r="AN360" s="5"/>
      <c r="AO360">
        <v>0.28802</v>
      </c>
      <c r="AP360">
        <v>90</v>
      </c>
      <c r="AQ360" t="s">
        <v>293</v>
      </c>
      <c r="BJ360">
        <v>2.6056E-7</v>
      </c>
      <c r="BK360">
        <v>90</v>
      </c>
      <c r="BM360">
        <v>1.03</v>
      </c>
      <c r="BN360" s="17">
        <v>4</v>
      </c>
      <c r="BO360" s="17">
        <f t="shared" si="15"/>
        <v>4.12</v>
      </c>
      <c r="BP360" t="s">
        <v>82</v>
      </c>
      <c r="BQ360" t="s">
        <v>148</v>
      </c>
      <c r="BR360">
        <v>90</v>
      </c>
      <c r="BS360">
        <v>24</v>
      </c>
      <c r="BT360" t="s">
        <v>84</v>
      </c>
      <c r="BV360" t="s">
        <v>339</v>
      </c>
      <c r="BW360" t="s">
        <v>340</v>
      </c>
    </row>
    <row r="361" spans="1:75" x14ac:dyDescent="0.75">
      <c r="B361" t="s">
        <v>426</v>
      </c>
      <c r="C361" t="s">
        <v>300</v>
      </c>
      <c r="D361" t="s">
        <v>77</v>
      </c>
      <c r="E361" t="s">
        <v>77</v>
      </c>
      <c r="F361">
        <v>100</v>
      </c>
      <c r="G361">
        <v>1</v>
      </c>
      <c r="H361" t="s">
        <v>78</v>
      </c>
      <c r="J361">
        <v>0.02</v>
      </c>
      <c r="R361" t="s">
        <v>84</v>
      </c>
      <c r="S361" s="5"/>
      <c r="T361" s="5"/>
      <c r="U361" s="5"/>
      <c r="V361" s="5"/>
      <c r="W361" s="5"/>
      <c r="X361" s="5"/>
      <c r="Y361" s="5"/>
      <c r="Z361" s="5"/>
      <c r="AA361" s="5"/>
      <c r="AB361" s="5"/>
      <c r="AC361" s="5"/>
      <c r="AD361" s="5"/>
      <c r="AE361" s="5"/>
      <c r="AF361" s="5"/>
      <c r="AG361" s="5"/>
      <c r="AH361" s="5"/>
      <c r="AI361" s="5"/>
      <c r="AJ361" s="5"/>
      <c r="AK361" s="5">
        <v>1.0953E-3</v>
      </c>
      <c r="AL361" s="5"/>
      <c r="AM361" s="5"/>
      <c r="AN361" s="5"/>
      <c r="AO361">
        <v>0.20946999999999999</v>
      </c>
      <c r="AP361">
        <v>90</v>
      </c>
      <c r="AQ361" t="s">
        <v>293</v>
      </c>
      <c r="BJ361">
        <v>1.6117999999999999E-7</v>
      </c>
      <c r="BK361">
        <v>90</v>
      </c>
      <c r="BM361">
        <v>1.05</v>
      </c>
      <c r="BN361" s="17">
        <v>10</v>
      </c>
      <c r="BO361" s="17">
        <f t="shared" si="15"/>
        <v>10.5</v>
      </c>
      <c r="BP361" t="s">
        <v>82</v>
      </c>
      <c r="BQ361" t="s">
        <v>148</v>
      </c>
      <c r="BR361">
        <v>90</v>
      </c>
      <c r="BS361">
        <v>24</v>
      </c>
      <c r="BT361" t="s">
        <v>84</v>
      </c>
      <c r="BV361" t="s">
        <v>339</v>
      </c>
      <c r="BW361" t="s">
        <v>340</v>
      </c>
    </row>
    <row r="362" spans="1:75" x14ac:dyDescent="0.75">
      <c r="B362" t="s">
        <v>426</v>
      </c>
      <c r="C362" t="s">
        <v>300</v>
      </c>
      <c r="D362" t="s">
        <v>77</v>
      </c>
      <c r="E362" t="s">
        <v>77</v>
      </c>
      <c r="F362">
        <v>100</v>
      </c>
      <c r="G362">
        <v>1</v>
      </c>
      <c r="H362" t="s">
        <v>78</v>
      </c>
      <c r="J362">
        <v>0.02</v>
      </c>
      <c r="R362" t="s">
        <v>84</v>
      </c>
      <c r="S362" s="5"/>
      <c r="T362" s="5"/>
      <c r="U362" s="5"/>
      <c r="V362" s="5"/>
      <c r="W362" s="5"/>
      <c r="X362" s="5"/>
      <c r="Y362" s="5"/>
      <c r="Z362" s="5"/>
      <c r="AA362" s="5"/>
      <c r="AB362" s="5"/>
      <c r="AC362" s="5"/>
      <c r="AD362" s="5"/>
      <c r="AE362" s="5"/>
      <c r="AF362" s="5"/>
      <c r="AG362" s="5"/>
      <c r="AH362" s="5"/>
      <c r="AI362" s="5"/>
      <c r="AJ362" s="5"/>
      <c r="AK362" s="5">
        <v>1.0556999999999999E-3</v>
      </c>
      <c r="AL362" s="5"/>
      <c r="AM362" s="5"/>
      <c r="AN362" s="5"/>
      <c r="AO362">
        <v>0.22187000000000001</v>
      </c>
      <c r="AP362">
        <v>90</v>
      </c>
      <c r="AQ362" t="s">
        <v>293</v>
      </c>
      <c r="BJ362">
        <v>1.6262999999999999E-7</v>
      </c>
      <c r="BK362">
        <v>90</v>
      </c>
      <c r="BM362">
        <v>1.1000000000000001</v>
      </c>
      <c r="BN362" s="17">
        <v>20</v>
      </c>
      <c r="BO362" s="17">
        <f t="shared" si="15"/>
        <v>22</v>
      </c>
      <c r="BP362" t="s">
        <v>82</v>
      </c>
      <c r="BQ362" t="s">
        <v>148</v>
      </c>
      <c r="BR362">
        <v>90</v>
      </c>
      <c r="BS362">
        <v>24</v>
      </c>
      <c r="BT362" t="s">
        <v>84</v>
      </c>
      <c r="BV362" t="s">
        <v>339</v>
      </c>
      <c r="BW362" t="s">
        <v>340</v>
      </c>
    </row>
    <row r="363" spans="1:75" x14ac:dyDescent="0.75">
      <c r="B363" t="s">
        <v>426</v>
      </c>
      <c r="C363" t="s">
        <v>300</v>
      </c>
      <c r="D363" t="s">
        <v>77</v>
      </c>
      <c r="E363" t="s">
        <v>77</v>
      </c>
      <c r="F363">
        <v>100</v>
      </c>
      <c r="G363">
        <v>1</v>
      </c>
      <c r="H363" t="s">
        <v>78</v>
      </c>
      <c r="J363">
        <v>0.02</v>
      </c>
      <c r="R363" t="s">
        <v>84</v>
      </c>
      <c r="S363" s="5"/>
      <c r="T363" s="5"/>
      <c r="U363" s="5"/>
      <c r="V363" s="5"/>
      <c r="W363" s="5"/>
      <c r="X363" s="5"/>
      <c r="Y363" s="5"/>
      <c r="Z363" s="5"/>
      <c r="AA363" s="5"/>
      <c r="AB363" s="5"/>
      <c r="AC363" s="5"/>
      <c r="AD363" s="5"/>
      <c r="AE363" s="5"/>
      <c r="AF363" s="5"/>
      <c r="AG363" s="5"/>
      <c r="AH363" s="5"/>
      <c r="AI363" s="5"/>
      <c r="AJ363" s="5"/>
      <c r="AK363" s="5">
        <v>1.0405E-3</v>
      </c>
      <c r="AL363" s="5"/>
      <c r="AM363" s="5"/>
      <c r="AN363" s="5"/>
      <c r="AO363">
        <v>0.19081999999999999</v>
      </c>
      <c r="AP363">
        <v>90</v>
      </c>
      <c r="AQ363" t="s">
        <v>293</v>
      </c>
      <c r="BJ363">
        <v>1.3787999999999999E-7</v>
      </c>
      <c r="BK363">
        <v>90</v>
      </c>
      <c r="BM363">
        <v>1.28</v>
      </c>
      <c r="BN363" s="17">
        <v>55</v>
      </c>
      <c r="BO363" s="17">
        <f t="shared" si="15"/>
        <v>70.400000000000006</v>
      </c>
      <c r="BP363" t="s">
        <v>82</v>
      </c>
      <c r="BQ363" t="s">
        <v>148</v>
      </c>
      <c r="BR363">
        <v>90</v>
      </c>
      <c r="BS363">
        <v>24</v>
      </c>
      <c r="BT363" t="s">
        <v>84</v>
      </c>
      <c r="BV363" t="s">
        <v>339</v>
      </c>
      <c r="BW363" t="s">
        <v>340</v>
      </c>
    </row>
    <row r="364" spans="1:75" x14ac:dyDescent="0.75">
      <c r="B364" t="s">
        <v>426</v>
      </c>
      <c r="C364" t="s">
        <v>300</v>
      </c>
      <c r="D364" t="s">
        <v>77</v>
      </c>
      <c r="E364" t="s">
        <v>77</v>
      </c>
      <c r="F364">
        <v>100</v>
      </c>
      <c r="G364">
        <v>1</v>
      </c>
      <c r="H364" t="s">
        <v>78</v>
      </c>
      <c r="J364">
        <v>0.02</v>
      </c>
      <c r="R364" t="s">
        <v>84</v>
      </c>
      <c r="S364" s="5"/>
      <c r="T364" s="5"/>
      <c r="U364" s="5"/>
      <c r="V364" s="5"/>
      <c r="W364" s="5"/>
      <c r="X364" s="5"/>
      <c r="Y364" s="5"/>
      <c r="Z364" s="5"/>
      <c r="AA364" s="5"/>
      <c r="AB364" s="5"/>
      <c r="AC364" s="5"/>
      <c r="AD364" s="5"/>
      <c r="AE364" s="5"/>
      <c r="AF364" s="5"/>
      <c r="AG364" s="5"/>
      <c r="AH364" s="5"/>
      <c r="AI364" s="5"/>
      <c r="AJ364" s="5"/>
      <c r="AK364" s="5">
        <v>1.041E-3</v>
      </c>
      <c r="AL364" s="5"/>
      <c r="AM364" s="5"/>
      <c r="AN364" s="5"/>
      <c r="AO364">
        <v>0.22836000000000001</v>
      </c>
      <c r="AP364">
        <v>90</v>
      </c>
      <c r="AQ364" t="s">
        <v>293</v>
      </c>
      <c r="BJ364">
        <v>1.6558999999999999E-7</v>
      </c>
      <c r="BK364">
        <v>90</v>
      </c>
      <c r="BN364" s="15">
        <v>100</v>
      </c>
      <c r="BO364" s="17"/>
      <c r="BP364" t="s">
        <v>82</v>
      </c>
      <c r="BQ364" t="s">
        <v>148</v>
      </c>
      <c r="BR364">
        <v>90</v>
      </c>
      <c r="BS364">
        <v>24</v>
      </c>
      <c r="BT364" t="s">
        <v>84</v>
      </c>
      <c r="BV364" t="s">
        <v>339</v>
      </c>
      <c r="BW364" t="s">
        <v>340</v>
      </c>
    </row>
    <row r="365" spans="1:75" x14ac:dyDescent="0.75">
      <c r="B365" t="s">
        <v>426</v>
      </c>
      <c r="C365" t="s">
        <v>300</v>
      </c>
      <c r="D365" t="s">
        <v>77</v>
      </c>
      <c r="E365" t="s">
        <v>77</v>
      </c>
      <c r="F365">
        <v>100</v>
      </c>
      <c r="G365">
        <v>1</v>
      </c>
      <c r="H365" t="s">
        <v>78</v>
      </c>
      <c r="J365">
        <v>0.08</v>
      </c>
      <c r="R365" t="s">
        <v>84</v>
      </c>
      <c r="S365" s="5"/>
      <c r="T365" s="5"/>
      <c r="U365" s="5"/>
      <c r="V365" s="5"/>
      <c r="W365" s="5"/>
      <c r="X365" s="5"/>
      <c r="Y365" s="5"/>
      <c r="Z365" s="5"/>
      <c r="AA365" s="5"/>
      <c r="AB365" s="5"/>
      <c r="AC365" s="5"/>
      <c r="AD365" s="5"/>
      <c r="AE365" s="5"/>
      <c r="AF365" s="5"/>
      <c r="AG365" s="5"/>
      <c r="AH365" s="5"/>
      <c r="AI365" s="5"/>
      <c r="AJ365" s="5"/>
      <c r="AK365" s="5">
        <v>3.3723999999999998E-3</v>
      </c>
      <c r="AL365" s="5"/>
      <c r="AM365" s="5"/>
      <c r="AN365" s="5"/>
      <c r="AO365">
        <v>0.35829</v>
      </c>
      <c r="AP365">
        <v>90</v>
      </c>
      <c r="AQ365" t="s">
        <v>293</v>
      </c>
      <c r="BJ365">
        <v>2.6056E-7</v>
      </c>
      <c r="BK365">
        <v>90</v>
      </c>
      <c r="BM365">
        <v>1.03</v>
      </c>
      <c r="BN365" s="17">
        <v>0.6</v>
      </c>
      <c r="BO365" s="17">
        <f t="shared" si="15"/>
        <v>0.61799999999999999</v>
      </c>
      <c r="BP365" t="s">
        <v>82</v>
      </c>
      <c r="BQ365" t="s">
        <v>148</v>
      </c>
      <c r="BR365">
        <v>90</v>
      </c>
      <c r="BS365">
        <v>24</v>
      </c>
      <c r="BT365" t="s">
        <v>84</v>
      </c>
      <c r="BV365" t="s">
        <v>339</v>
      </c>
      <c r="BW365" t="s">
        <v>340</v>
      </c>
    </row>
    <row r="366" spans="1:75" x14ac:dyDescent="0.75">
      <c r="B366" t="s">
        <v>426</v>
      </c>
      <c r="C366" t="s">
        <v>300</v>
      </c>
      <c r="D366" t="s">
        <v>77</v>
      </c>
      <c r="E366" t="s">
        <v>77</v>
      </c>
      <c r="F366">
        <v>100</v>
      </c>
      <c r="G366">
        <v>1</v>
      </c>
      <c r="H366" t="s">
        <v>78</v>
      </c>
      <c r="J366">
        <v>0.08</v>
      </c>
      <c r="R366" t="s">
        <v>84</v>
      </c>
      <c r="S366" s="5"/>
      <c r="T366" s="5"/>
      <c r="U366" s="5"/>
      <c r="V366" s="5"/>
      <c r="W366" s="5"/>
      <c r="X366" s="5"/>
      <c r="Y366" s="5"/>
      <c r="Z366" s="5"/>
      <c r="AA366" s="5"/>
      <c r="AB366" s="5"/>
      <c r="AC366" s="5"/>
      <c r="AD366" s="5"/>
      <c r="AE366" s="5"/>
      <c r="AF366" s="5"/>
      <c r="AG366" s="5"/>
      <c r="AH366" s="5"/>
      <c r="AI366" s="5"/>
      <c r="AJ366" s="5"/>
      <c r="AK366" s="5">
        <v>3.1475000000000001E-3</v>
      </c>
      <c r="AL366" s="5"/>
      <c r="AM366" s="5"/>
      <c r="AN366" s="5"/>
      <c r="AO366">
        <v>0.33371000000000001</v>
      </c>
      <c r="AP366">
        <v>90</v>
      </c>
      <c r="AQ366" t="s">
        <v>293</v>
      </c>
      <c r="BJ366">
        <v>2.2492E-7</v>
      </c>
      <c r="BK366">
        <v>90</v>
      </c>
      <c r="BM366">
        <v>1.1000000000000001</v>
      </c>
      <c r="BN366" s="17">
        <v>1</v>
      </c>
      <c r="BO366" s="17">
        <f t="shared" si="15"/>
        <v>1.1000000000000001</v>
      </c>
      <c r="BP366" t="s">
        <v>82</v>
      </c>
      <c r="BQ366" t="s">
        <v>148</v>
      </c>
      <c r="BR366">
        <v>90</v>
      </c>
      <c r="BS366">
        <v>24</v>
      </c>
      <c r="BT366" t="s">
        <v>84</v>
      </c>
      <c r="BV366" t="s">
        <v>339</v>
      </c>
      <c r="BW366" t="s">
        <v>340</v>
      </c>
    </row>
    <row r="367" spans="1:75" x14ac:dyDescent="0.75">
      <c r="B367" t="s">
        <v>426</v>
      </c>
      <c r="C367" t="s">
        <v>300</v>
      </c>
      <c r="D367" t="s">
        <v>77</v>
      </c>
      <c r="E367" t="s">
        <v>77</v>
      </c>
      <c r="F367">
        <v>100</v>
      </c>
      <c r="G367">
        <v>1</v>
      </c>
      <c r="H367" t="s">
        <v>78</v>
      </c>
      <c r="J367">
        <v>0.08</v>
      </c>
      <c r="R367" t="s">
        <v>84</v>
      </c>
      <c r="S367" s="5"/>
      <c r="T367" s="5"/>
      <c r="U367" s="5"/>
      <c r="V367" s="5"/>
      <c r="W367" s="5"/>
      <c r="X367" s="5"/>
      <c r="Y367" s="5"/>
      <c r="Z367" s="5"/>
      <c r="AA367" s="5"/>
      <c r="AB367" s="5"/>
      <c r="AC367" s="5"/>
      <c r="AD367" s="5"/>
      <c r="AE367" s="5"/>
      <c r="AF367" s="5"/>
      <c r="AG367" s="5"/>
      <c r="AH367" s="5"/>
      <c r="AI367" s="5"/>
      <c r="AJ367" s="5"/>
      <c r="AK367" s="5">
        <v>2.0728000000000001E-3</v>
      </c>
      <c r="AL367" s="5"/>
      <c r="AM367" s="5"/>
      <c r="AN367" s="5"/>
      <c r="AO367">
        <v>0.26218000000000002</v>
      </c>
      <c r="AP367">
        <v>90</v>
      </c>
      <c r="AQ367" t="s">
        <v>293</v>
      </c>
      <c r="BJ367">
        <v>1.1689999999999999E-7</v>
      </c>
      <c r="BK367">
        <v>90</v>
      </c>
      <c r="BM367">
        <v>1.1000000000000001</v>
      </c>
      <c r="BN367" s="17">
        <v>2</v>
      </c>
      <c r="BO367" s="17">
        <f t="shared" si="15"/>
        <v>2.2000000000000002</v>
      </c>
      <c r="BP367" t="s">
        <v>82</v>
      </c>
      <c r="BQ367" t="s">
        <v>148</v>
      </c>
      <c r="BR367">
        <v>90</v>
      </c>
      <c r="BS367">
        <v>24</v>
      </c>
      <c r="BT367" t="s">
        <v>84</v>
      </c>
      <c r="BV367" t="s">
        <v>339</v>
      </c>
      <c r="BW367" t="s">
        <v>340</v>
      </c>
    </row>
    <row r="368" spans="1:75" x14ac:dyDescent="0.75">
      <c r="B368" t="s">
        <v>426</v>
      </c>
      <c r="C368" t="s">
        <v>300</v>
      </c>
      <c r="D368" t="s">
        <v>77</v>
      </c>
      <c r="E368" t="s">
        <v>77</v>
      </c>
      <c r="F368">
        <v>100</v>
      </c>
      <c r="G368">
        <v>1</v>
      </c>
      <c r="H368" t="s">
        <v>78</v>
      </c>
      <c r="J368">
        <v>0.08</v>
      </c>
      <c r="R368" t="s">
        <v>84</v>
      </c>
      <c r="S368" s="5"/>
      <c r="T368" s="5"/>
      <c r="U368" s="5"/>
      <c r="V368" s="5"/>
      <c r="W368" s="5"/>
      <c r="X368" s="5"/>
      <c r="Y368" s="5"/>
      <c r="Z368" s="5"/>
      <c r="AA368" s="5"/>
      <c r="AB368" s="5"/>
      <c r="AC368" s="5"/>
      <c r="AD368" s="5"/>
      <c r="AE368" s="5"/>
      <c r="AF368" s="5"/>
      <c r="AG368" s="5"/>
      <c r="AH368" s="5"/>
      <c r="AI368" s="5"/>
      <c r="AJ368" s="5"/>
      <c r="AK368" s="5">
        <v>2.5690999999999999E-3</v>
      </c>
      <c r="AL368" s="5"/>
      <c r="AM368" s="5"/>
      <c r="AN368" s="5"/>
      <c r="AO368">
        <v>0.26095000000000002</v>
      </c>
      <c r="AP368">
        <v>90</v>
      </c>
      <c r="AQ368" t="s">
        <v>293</v>
      </c>
      <c r="BJ368">
        <v>1.438E-7</v>
      </c>
      <c r="BK368">
        <v>90</v>
      </c>
      <c r="BM368">
        <v>1.03</v>
      </c>
      <c r="BN368" s="17">
        <v>4</v>
      </c>
      <c r="BO368" s="17">
        <f t="shared" si="15"/>
        <v>4.12</v>
      </c>
      <c r="BP368" t="s">
        <v>82</v>
      </c>
      <c r="BQ368" t="s">
        <v>148</v>
      </c>
      <c r="BR368">
        <v>90</v>
      </c>
      <c r="BS368">
        <v>24</v>
      </c>
      <c r="BT368" t="s">
        <v>84</v>
      </c>
      <c r="BV368" t="s">
        <v>339</v>
      </c>
      <c r="BW368" t="s">
        <v>340</v>
      </c>
    </row>
    <row r="369" spans="1:75" x14ac:dyDescent="0.75">
      <c r="B369" t="s">
        <v>426</v>
      </c>
      <c r="C369" t="s">
        <v>300</v>
      </c>
      <c r="D369" t="s">
        <v>77</v>
      </c>
      <c r="E369" t="s">
        <v>77</v>
      </c>
      <c r="F369">
        <v>100</v>
      </c>
      <c r="G369">
        <v>1</v>
      </c>
      <c r="H369" t="s">
        <v>78</v>
      </c>
      <c r="J369">
        <v>0.08</v>
      </c>
      <c r="R369" t="s">
        <v>84</v>
      </c>
      <c r="S369" s="5"/>
      <c r="T369" s="5"/>
      <c r="U369" s="5"/>
      <c r="V369" s="5"/>
      <c r="W369" s="5"/>
      <c r="X369" s="5"/>
      <c r="Y369" s="5"/>
      <c r="Z369" s="5"/>
      <c r="AA369" s="5"/>
      <c r="AB369" s="5"/>
      <c r="AC369" s="5"/>
      <c r="AD369" s="5"/>
      <c r="AE369" s="5"/>
      <c r="AF369" s="5"/>
      <c r="AG369" s="5"/>
      <c r="AH369" s="5"/>
      <c r="AI369" s="5"/>
      <c r="AJ369" s="5"/>
      <c r="AK369" s="5">
        <v>1.9992E-3</v>
      </c>
      <c r="AL369" s="5"/>
      <c r="AM369" s="5"/>
      <c r="AN369" s="5"/>
      <c r="AO369">
        <v>0.23576</v>
      </c>
      <c r="AP369">
        <v>90</v>
      </c>
      <c r="AQ369" t="s">
        <v>293</v>
      </c>
      <c r="BJ369">
        <v>1.0151E-7</v>
      </c>
      <c r="BK369">
        <v>90</v>
      </c>
      <c r="BM369">
        <v>1.05</v>
      </c>
      <c r="BN369" s="17">
        <v>10</v>
      </c>
      <c r="BO369" s="17">
        <f t="shared" si="15"/>
        <v>10.5</v>
      </c>
      <c r="BP369" t="s">
        <v>82</v>
      </c>
      <c r="BQ369" t="s">
        <v>148</v>
      </c>
      <c r="BR369">
        <v>90</v>
      </c>
      <c r="BS369">
        <v>24</v>
      </c>
      <c r="BT369" t="s">
        <v>84</v>
      </c>
      <c r="BV369" t="s">
        <v>339</v>
      </c>
      <c r="BW369" t="s">
        <v>340</v>
      </c>
    </row>
    <row r="370" spans="1:75" x14ac:dyDescent="0.75">
      <c r="B370" t="s">
        <v>426</v>
      </c>
      <c r="C370" t="s">
        <v>300</v>
      </c>
      <c r="D370" t="s">
        <v>77</v>
      </c>
      <c r="E370" t="s">
        <v>77</v>
      </c>
      <c r="F370">
        <v>100</v>
      </c>
      <c r="G370">
        <v>1</v>
      </c>
      <c r="H370" t="s">
        <v>78</v>
      </c>
      <c r="J370">
        <v>0.08</v>
      </c>
      <c r="R370" t="s">
        <v>84</v>
      </c>
      <c r="S370" s="5"/>
      <c r="T370" s="5"/>
      <c r="U370" s="5"/>
      <c r="V370" s="5"/>
      <c r="W370" s="5"/>
      <c r="X370" s="5"/>
      <c r="Y370" s="5"/>
      <c r="Z370" s="5"/>
      <c r="AA370" s="5"/>
      <c r="AB370" s="5"/>
      <c r="AC370" s="5"/>
      <c r="AD370" s="5"/>
      <c r="AE370" s="5"/>
      <c r="AF370" s="5"/>
      <c r="AG370" s="5"/>
      <c r="AH370" s="5"/>
      <c r="AI370" s="5"/>
      <c r="AJ370" s="5"/>
      <c r="AK370" s="5">
        <v>2.2951999999999998E-3</v>
      </c>
      <c r="AL370" s="5"/>
      <c r="AM370" s="5"/>
      <c r="AN370" s="5"/>
      <c r="AO370">
        <v>0.20921000000000001</v>
      </c>
      <c r="AP370">
        <v>90</v>
      </c>
      <c r="AQ370" t="s">
        <v>293</v>
      </c>
      <c r="BJ370">
        <v>1.0305E-7</v>
      </c>
      <c r="BK370">
        <v>90</v>
      </c>
      <c r="BM370">
        <v>1.1000000000000001</v>
      </c>
      <c r="BN370" s="17">
        <v>20</v>
      </c>
      <c r="BO370" s="17">
        <f t="shared" si="15"/>
        <v>22</v>
      </c>
      <c r="BP370" t="s">
        <v>82</v>
      </c>
      <c r="BQ370" t="s">
        <v>148</v>
      </c>
      <c r="BR370">
        <v>90</v>
      </c>
      <c r="BS370">
        <v>24</v>
      </c>
      <c r="BT370" t="s">
        <v>84</v>
      </c>
      <c r="BV370" t="s">
        <v>339</v>
      </c>
      <c r="BW370" t="s">
        <v>340</v>
      </c>
    </row>
    <row r="371" spans="1:75" x14ac:dyDescent="0.75">
      <c r="B371" t="s">
        <v>426</v>
      </c>
      <c r="C371" t="s">
        <v>300</v>
      </c>
      <c r="D371" t="s">
        <v>77</v>
      </c>
      <c r="E371" t="s">
        <v>77</v>
      </c>
      <c r="F371">
        <v>100</v>
      </c>
      <c r="G371">
        <v>1</v>
      </c>
      <c r="H371" t="s">
        <v>78</v>
      </c>
      <c r="J371">
        <v>0.08</v>
      </c>
      <c r="R371" t="s">
        <v>84</v>
      </c>
      <c r="S371" s="5"/>
      <c r="T371" s="5"/>
      <c r="U371" s="5"/>
      <c r="V371" s="5"/>
      <c r="W371" s="5"/>
      <c r="X371" s="5"/>
      <c r="Y371" s="5"/>
      <c r="Z371" s="5"/>
      <c r="AA371" s="5"/>
      <c r="AB371" s="5"/>
      <c r="AC371" s="5"/>
      <c r="AD371" s="5"/>
      <c r="AE371" s="5"/>
      <c r="AF371" s="5"/>
      <c r="AG371" s="5"/>
      <c r="AH371" s="5"/>
      <c r="AI371" s="5"/>
      <c r="AJ371" s="5"/>
      <c r="AK371" s="5">
        <v>1.4966999999999999E-3</v>
      </c>
      <c r="AL371" s="5"/>
      <c r="AM371" s="5"/>
      <c r="AN371" s="5"/>
      <c r="AO371">
        <v>0.20621</v>
      </c>
      <c r="AP371">
        <v>90</v>
      </c>
      <c r="AQ371" t="s">
        <v>293</v>
      </c>
      <c r="BJ371">
        <v>6.6478999999999996E-8</v>
      </c>
      <c r="BK371">
        <v>90</v>
      </c>
      <c r="BM371">
        <v>1.28</v>
      </c>
      <c r="BN371" s="17">
        <v>55</v>
      </c>
      <c r="BO371" s="17">
        <f t="shared" si="15"/>
        <v>70.400000000000006</v>
      </c>
      <c r="BP371" t="s">
        <v>82</v>
      </c>
      <c r="BQ371" t="s">
        <v>148</v>
      </c>
      <c r="BR371">
        <v>90</v>
      </c>
      <c r="BS371">
        <v>24</v>
      </c>
      <c r="BT371" t="s">
        <v>84</v>
      </c>
      <c r="BV371" t="s">
        <v>339</v>
      </c>
      <c r="BW371" t="s">
        <v>340</v>
      </c>
    </row>
    <row r="372" spans="1:75" x14ac:dyDescent="0.75">
      <c r="A372" s="1"/>
      <c r="B372" t="s">
        <v>426</v>
      </c>
      <c r="C372" s="1" t="s">
        <v>300</v>
      </c>
      <c r="D372" t="s">
        <v>77</v>
      </c>
      <c r="E372" t="s">
        <v>77</v>
      </c>
      <c r="F372">
        <v>100</v>
      </c>
      <c r="G372">
        <v>1</v>
      </c>
      <c r="H372" s="1" t="s">
        <v>78</v>
      </c>
      <c r="I372" s="1"/>
      <c r="J372" s="1">
        <v>0.08</v>
      </c>
      <c r="K372" s="1"/>
      <c r="L372" s="1"/>
      <c r="M372" s="1"/>
      <c r="N372" s="1"/>
      <c r="O372" s="1"/>
      <c r="P372" s="1"/>
      <c r="Q372" s="1"/>
      <c r="R372" t="s">
        <v>84</v>
      </c>
      <c r="S372" s="3"/>
      <c r="T372" s="3"/>
      <c r="U372" s="3"/>
      <c r="V372" s="3"/>
      <c r="W372" s="3"/>
      <c r="X372" s="3"/>
      <c r="Y372" s="3"/>
      <c r="Z372" s="3"/>
      <c r="AA372" s="3"/>
      <c r="AB372" s="3"/>
      <c r="AC372" s="3"/>
      <c r="AD372" s="3"/>
      <c r="AE372" s="3"/>
      <c r="AF372" s="3"/>
      <c r="AG372" s="3"/>
      <c r="AH372" s="3"/>
      <c r="AI372" s="3"/>
      <c r="AJ372" s="3"/>
      <c r="AK372" s="3">
        <v>1.5283E-3</v>
      </c>
      <c r="AL372" s="3"/>
      <c r="AM372" s="3"/>
      <c r="AN372" s="3"/>
      <c r="AO372" s="1">
        <v>0.19311</v>
      </c>
      <c r="AP372" s="1">
        <v>90</v>
      </c>
      <c r="AQ372" s="1" t="s">
        <v>293</v>
      </c>
      <c r="AR372" s="1"/>
      <c r="AS372" s="1"/>
      <c r="AT372" s="1"/>
      <c r="AU372" s="1"/>
      <c r="AV372" s="1"/>
      <c r="AW372" s="1"/>
      <c r="AX372" s="1"/>
      <c r="AY372" s="1"/>
      <c r="AZ372" s="1"/>
      <c r="BA372" s="1"/>
      <c r="BB372" s="1"/>
      <c r="BC372" s="1"/>
      <c r="BD372" s="1"/>
      <c r="BE372" s="1"/>
      <c r="BF372" s="1"/>
      <c r="BG372" s="1"/>
      <c r="BH372" s="1"/>
      <c r="BI372" s="1"/>
      <c r="BJ372" s="1">
        <v>6.3934999999999996E-8</v>
      </c>
      <c r="BK372" s="1">
        <v>90</v>
      </c>
      <c r="BL372" s="1"/>
      <c r="BM372" s="1"/>
      <c r="BN372" s="22">
        <v>100</v>
      </c>
      <c r="BO372" s="15"/>
      <c r="BP372" s="1" t="s">
        <v>82</v>
      </c>
      <c r="BQ372" s="1" t="s">
        <v>148</v>
      </c>
      <c r="BR372" s="1">
        <v>90</v>
      </c>
      <c r="BS372" s="1">
        <v>24</v>
      </c>
      <c r="BT372" t="s">
        <v>84</v>
      </c>
      <c r="BU372" s="1"/>
      <c r="BV372" t="s">
        <v>339</v>
      </c>
      <c r="BW372" t="s">
        <v>340</v>
      </c>
    </row>
    <row r="373" spans="1:75" x14ac:dyDescent="0.75">
      <c r="B373" t="s">
        <v>426</v>
      </c>
      <c r="C373" t="s">
        <v>300</v>
      </c>
      <c r="D373" t="s">
        <v>77</v>
      </c>
      <c r="E373" t="s">
        <v>77</v>
      </c>
      <c r="F373">
        <v>100</v>
      </c>
      <c r="G373">
        <v>1</v>
      </c>
      <c r="H373" t="s">
        <v>94</v>
      </c>
      <c r="J373">
        <v>0.01</v>
      </c>
      <c r="L373">
        <v>-54</v>
      </c>
      <c r="M373">
        <v>-60</v>
      </c>
      <c r="N373">
        <v>65</v>
      </c>
      <c r="P373">
        <v>81</v>
      </c>
      <c r="Q373">
        <v>18.2</v>
      </c>
      <c r="R373" t="s">
        <v>84</v>
      </c>
      <c r="S373" s="5"/>
      <c r="T373" s="5"/>
      <c r="U373" s="5"/>
      <c r="V373" s="5">
        <v>3.3728730865886821E-12</v>
      </c>
      <c r="W373" s="5"/>
      <c r="X373" s="5"/>
      <c r="Y373" s="5"/>
      <c r="Z373" s="5"/>
      <c r="AA373" s="5"/>
      <c r="AB373" s="5"/>
      <c r="AC373" s="5"/>
      <c r="AD373" s="5"/>
      <c r="AE373" s="5">
        <v>3.3767584864203209E-7</v>
      </c>
      <c r="AF373" s="5"/>
      <c r="AG373" s="5">
        <v>5.9415533354221499E-5</v>
      </c>
      <c r="AH373" s="5"/>
      <c r="AI373" s="5">
        <v>1.6229307911144291E-4</v>
      </c>
      <c r="AJ373" s="5"/>
      <c r="AK373" s="5"/>
      <c r="AL373" s="5"/>
      <c r="AM373" s="5"/>
      <c r="AN373" s="5"/>
      <c r="AV373" s="5">
        <v>1.5999999999999999E+36</v>
      </c>
      <c r="AW373">
        <v>30756</v>
      </c>
      <c r="AX373">
        <v>-266</v>
      </c>
      <c r="AY373" t="s">
        <v>80</v>
      </c>
      <c r="AZ373" s="5">
        <v>100000000000000</v>
      </c>
      <c r="BA373">
        <v>7006</v>
      </c>
      <c r="BB373">
        <v>-104</v>
      </c>
      <c r="BG373">
        <v>2.8</v>
      </c>
      <c r="BH373" s="5">
        <v>5.0000000000000002E+35</v>
      </c>
      <c r="BI373" t="s">
        <v>81</v>
      </c>
      <c r="BO373" s="17">
        <v>4000</v>
      </c>
      <c r="BP373" t="s">
        <v>82</v>
      </c>
      <c r="BQ373" t="s">
        <v>83</v>
      </c>
      <c r="BR373">
        <v>25</v>
      </c>
      <c r="BS373">
        <v>1460</v>
      </c>
      <c r="BT373" t="s">
        <v>125</v>
      </c>
      <c r="BV373" t="s">
        <v>341</v>
      </c>
      <c r="BW373" t="s">
        <v>680</v>
      </c>
    </row>
    <row r="374" spans="1:75" x14ac:dyDescent="0.75">
      <c r="B374" t="s">
        <v>426</v>
      </c>
      <c r="C374" t="s">
        <v>300</v>
      </c>
      <c r="D374" t="s">
        <v>77</v>
      </c>
      <c r="E374" t="s">
        <v>77</v>
      </c>
      <c r="F374">
        <v>100</v>
      </c>
      <c r="G374">
        <v>1</v>
      </c>
      <c r="H374" t="s">
        <v>94</v>
      </c>
      <c r="J374">
        <v>0.02</v>
      </c>
      <c r="L374">
        <v>-50</v>
      </c>
      <c r="M374">
        <v>-60</v>
      </c>
      <c r="N374">
        <v>62</v>
      </c>
      <c r="P374">
        <v>77</v>
      </c>
      <c r="Q374">
        <v>20.8</v>
      </c>
      <c r="R374" t="s">
        <v>84</v>
      </c>
      <c r="S374" s="5"/>
      <c r="T374" s="5"/>
      <c r="U374" s="5"/>
      <c r="V374" s="5">
        <v>7.3451386815711191E-13</v>
      </c>
      <c r="W374" s="5"/>
      <c r="X374" s="5"/>
      <c r="Y374" s="5"/>
      <c r="Z374" s="5"/>
      <c r="AA374" s="5"/>
      <c r="AB374" s="5"/>
      <c r="AC374" s="5"/>
      <c r="AD374" s="5"/>
      <c r="AE374" s="5">
        <v>3.17980142769152E-7</v>
      </c>
      <c r="AF374" s="5"/>
      <c r="AG374" s="5">
        <v>6.899220098440473E-5</v>
      </c>
      <c r="AH374" s="5"/>
      <c r="AI374" s="5">
        <v>1.8840828656596005E-4</v>
      </c>
      <c r="AJ374" s="5"/>
      <c r="AK374" s="5"/>
      <c r="AL374" s="5"/>
      <c r="AM374" s="5"/>
      <c r="AN374" s="5"/>
      <c r="AV374" s="5">
        <v>1.8E+40</v>
      </c>
      <c r="AW374">
        <v>33932</v>
      </c>
      <c r="AX374">
        <v>-267</v>
      </c>
      <c r="AY374" t="s">
        <v>80</v>
      </c>
      <c r="AZ374" s="5">
        <v>1400000000000000</v>
      </c>
      <c r="BA374">
        <v>7286</v>
      </c>
      <c r="BB374">
        <v>-100</v>
      </c>
      <c r="BG374">
        <v>3</v>
      </c>
      <c r="BH374" s="5">
        <v>5.2999999999999998E+39</v>
      </c>
      <c r="BI374" t="s">
        <v>81</v>
      </c>
      <c r="BO374" s="17">
        <v>4000</v>
      </c>
      <c r="BP374" t="s">
        <v>82</v>
      </c>
      <c r="BQ374" t="s">
        <v>83</v>
      </c>
      <c r="BR374">
        <v>25</v>
      </c>
      <c r="BS374">
        <v>1460</v>
      </c>
      <c r="BT374" t="s">
        <v>125</v>
      </c>
      <c r="BV374" t="s">
        <v>341</v>
      </c>
      <c r="BW374" t="s">
        <v>680</v>
      </c>
    </row>
    <row r="375" spans="1:75" x14ac:dyDescent="0.75">
      <c r="B375" t="s">
        <v>426</v>
      </c>
      <c r="C375" t="s">
        <v>300</v>
      </c>
      <c r="D375" t="s">
        <v>77</v>
      </c>
      <c r="E375" t="s">
        <v>77</v>
      </c>
      <c r="F375">
        <v>100</v>
      </c>
      <c r="G375">
        <v>1</v>
      </c>
      <c r="H375" t="s">
        <v>94</v>
      </c>
      <c r="J375">
        <v>2.5000000000000001E-2</v>
      </c>
      <c r="L375">
        <v>-51</v>
      </c>
      <c r="M375">
        <v>-60</v>
      </c>
      <c r="Q375">
        <v>21</v>
      </c>
      <c r="R375" t="s">
        <v>84</v>
      </c>
      <c r="S375" s="5"/>
      <c r="T375" s="5"/>
      <c r="U375" s="5"/>
      <c r="V375" s="5">
        <v>1.7741894808901617E-12</v>
      </c>
      <c r="W375" s="5"/>
      <c r="X375" s="5"/>
      <c r="Y375" s="5"/>
      <c r="Z375" s="5"/>
      <c r="AA375" s="5"/>
      <c r="AB375" s="5"/>
      <c r="AC375" s="5"/>
      <c r="AD375" s="5"/>
      <c r="AE375" s="5">
        <v>2.7516931328087908E-7</v>
      </c>
      <c r="AF375" s="5"/>
      <c r="AG375" s="5">
        <v>1.4996848355023717E-5</v>
      </c>
      <c r="AH375" s="5"/>
      <c r="AI375" s="5">
        <v>3.6889264811899587E-5</v>
      </c>
      <c r="AJ375" s="5"/>
      <c r="AK375" s="5"/>
      <c r="AL375" s="5"/>
      <c r="AM375" s="5"/>
      <c r="AN375" s="5"/>
      <c r="AV375" s="5">
        <v>1.6E+19</v>
      </c>
      <c r="AW375">
        <v>11853</v>
      </c>
      <c r="AX375">
        <v>-152</v>
      </c>
      <c r="AY375" t="s">
        <v>80</v>
      </c>
      <c r="AZ375" s="5">
        <v>3000000000000</v>
      </c>
      <c r="BA375">
        <v>6466</v>
      </c>
      <c r="BB375">
        <v>-101</v>
      </c>
      <c r="BG375">
        <v>2.6</v>
      </c>
      <c r="BH375" s="5">
        <v>3.9000000000000002E+33</v>
      </c>
      <c r="BI375" t="s">
        <v>81</v>
      </c>
      <c r="BO375" s="17">
        <v>4000</v>
      </c>
      <c r="BP375" t="s">
        <v>82</v>
      </c>
      <c r="BQ375" t="s">
        <v>83</v>
      </c>
      <c r="BR375">
        <v>25</v>
      </c>
      <c r="BS375">
        <v>1460</v>
      </c>
      <c r="BT375" t="s">
        <v>125</v>
      </c>
      <c r="BV375" t="s">
        <v>341</v>
      </c>
      <c r="BW375" t="s">
        <v>680</v>
      </c>
    </row>
    <row r="376" spans="1:75" x14ac:dyDescent="0.75">
      <c r="B376" t="s">
        <v>426</v>
      </c>
      <c r="C376" t="s">
        <v>300</v>
      </c>
      <c r="D376" t="s">
        <v>77</v>
      </c>
      <c r="E376" t="s">
        <v>77</v>
      </c>
      <c r="F376">
        <v>100</v>
      </c>
      <c r="G376">
        <v>1</v>
      </c>
      <c r="H376" t="s">
        <v>94</v>
      </c>
      <c r="J376">
        <v>3.3000000000000002E-2</v>
      </c>
      <c r="L376">
        <v>-49</v>
      </c>
      <c r="M376">
        <v>-60</v>
      </c>
      <c r="N376">
        <v>59</v>
      </c>
      <c r="P376">
        <v>69</v>
      </c>
      <c r="Q376">
        <v>22.6</v>
      </c>
      <c r="R376" t="s">
        <v>84</v>
      </c>
      <c r="S376" s="5"/>
      <c r="T376" s="5"/>
      <c r="U376" s="5"/>
      <c r="V376" s="5">
        <v>1.2971792709839522E-10</v>
      </c>
      <c r="W376" s="5"/>
      <c r="X376" s="5"/>
      <c r="Y376" s="5"/>
      <c r="Z376" s="5"/>
      <c r="AA376" s="5"/>
      <c r="AB376" s="5"/>
      <c r="AC376" s="5"/>
      <c r="AD376" s="5"/>
      <c r="AE376" s="5">
        <v>5.05708204978599E-5</v>
      </c>
      <c r="AF376" s="5"/>
      <c r="AG376" s="5">
        <v>4.276613474797272E-4</v>
      </c>
      <c r="AH376" s="5"/>
      <c r="AI376" s="5">
        <v>5.9786069135249291E-4</v>
      </c>
      <c r="AJ376" s="5"/>
      <c r="AK376" s="5"/>
      <c r="AL376" s="5"/>
      <c r="AM376" s="5"/>
      <c r="AN376" s="5"/>
      <c r="AV376">
        <v>160</v>
      </c>
      <c r="AW376">
        <v>874</v>
      </c>
      <c r="AX376">
        <v>-14</v>
      </c>
      <c r="AY376" t="s">
        <v>80</v>
      </c>
      <c r="AZ376" s="5">
        <v>6300000000000</v>
      </c>
      <c r="BA376">
        <v>5900</v>
      </c>
      <c r="BB376">
        <v>-99</v>
      </c>
      <c r="BG376">
        <v>2.5</v>
      </c>
      <c r="BH376" s="5">
        <v>3.7E+32</v>
      </c>
      <c r="BI376" t="s">
        <v>81</v>
      </c>
      <c r="BO376" s="17">
        <v>4000</v>
      </c>
      <c r="BP376" t="s">
        <v>82</v>
      </c>
      <c r="BQ376" t="s">
        <v>83</v>
      </c>
      <c r="BR376">
        <v>25</v>
      </c>
      <c r="BS376">
        <v>1460</v>
      </c>
      <c r="BT376" t="s">
        <v>125</v>
      </c>
      <c r="BV376" t="s">
        <v>341</v>
      </c>
      <c r="BW376" t="s">
        <v>680</v>
      </c>
    </row>
    <row r="377" spans="1:75" x14ac:dyDescent="0.75">
      <c r="B377" t="s">
        <v>426</v>
      </c>
      <c r="C377" t="s">
        <v>300</v>
      </c>
      <c r="D377" t="s">
        <v>77</v>
      </c>
      <c r="E377" t="s">
        <v>77</v>
      </c>
      <c r="F377">
        <v>100</v>
      </c>
      <c r="G377">
        <v>1</v>
      </c>
      <c r="H377" t="s">
        <v>94</v>
      </c>
      <c r="J377">
        <v>0.05</v>
      </c>
      <c r="L377">
        <v>-45</v>
      </c>
      <c r="M377">
        <v>-60</v>
      </c>
      <c r="N377">
        <v>55</v>
      </c>
      <c r="P377">
        <v>62</v>
      </c>
      <c r="Q377">
        <v>24.5</v>
      </c>
      <c r="R377" t="s">
        <v>84</v>
      </c>
      <c r="S377" s="5"/>
      <c r="T377" s="5"/>
      <c r="U377" s="5"/>
      <c r="V377" s="5">
        <v>2.3933157564053794E-12</v>
      </c>
      <c r="W377" s="5"/>
      <c r="X377" s="5"/>
      <c r="Y377" s="5"/>
      <c r="Z377" s="5"/>
      <c r="AA377" s="5"/>
      <c r="AB377" s="5"/>
      <c r="AC377" s="5"/>
      <c r="AD377" s="5"/>
      <c r="AE377" s="5">
        <v>7.7196924761024978E-7</v>
      </c>
      <c r="AF377" s="5"/>
      <c r="AG377" s="5">
        <v>1.0349038438261156E-4</v>
      </c>
      <c r="AH377" s="5"/>
      <c r="AI377" s="5">
        <v>2.4928721169904566E-4</v>
      </c>
      <c r="AJ377" s="5"/>
      <c r="AK377" s="5"/>
      <c r="AL377" s="5"/>
      <c r="AM377" s="5"/>
      <c r="AN377" s="5"/>
      <c r="AV377" s="5">
        <v>3.5000000000000001E+33</v>
      </c>
      <c r="AW377">
        <v>25580</v>
      </c>
      <c r="AX377">
        <v>-232</v>
      </c>
      <c r="AY377" t="s">
        <v>80</v>
      </c>
      <c r="AZ377" s="5">
        <v>73000000000000</v>
      </c>
      <c r="BA377">
        <v>6495</v>
      </c>
      <c r="BB377">
        <v>-95</v>
      </c>
      <c r="BG377">
        <v>2.9</v>
      </c>
      <c r="BH377" s="5">
        <v>9.9999999999999998E+37</v>
      </c>
      <c r="BI377" t="s">
        <v>81</v>
      </c>
      <c r="BO377" s="17">
        <v>4000</v>
      </c>
      <c r="BP377" t="s">
        <v>82</v>
      </c>
      <c r="BQ377" t="s">
        <v>83</v>
      </c>
      <c r="BR377">
        <v>25</v>
      </c>
      <c r="BS377">
        <v>1460</v>
      </c>
      <c r="BT377" t="s">
        <v>125</v>
      </c>
      <c r="BV377" t="s">
        <v>341</v>
      </c>
      <c r="BW377" t="s">
        <v>680</v>
      </c>
    </row>
    <row r="378" spans="1:75" x14ac:dyDescent="0.75">
      <c r="B378" t="s">
        <v>426</v>
      </c>
      <c r="C378" t="s">
        <v>300</v>
      </c>
      <c r="D378" t="s">
        <v>77</v>
      </c>
      <c r="E378" t="s">
        <v>77</v>
      </c>
      <c r="F378">
        <v>100</v>
      </c>
      <c r="G378">
        <v>1</v>
      </c>
      <c r="H378" t="s">
        <v>94</v>
      </c>
      <c r="J378">
        <v>6.25E-2</v>
      </c>
      <c r="L378">
        <v>-44</v>
      </c>
      <c r="M378">
        <v>-60</v>
      </c>
      <c r="Q378">
        <v>25.1</v>
      </c>
      <c r="R378" t="s">
        <v>84</v>
      </c>
      <c r="S378" s="5"/>
      <c r="T378" s="5"/>
      <c r="U378" s="5"/>
      <c r="V378" s="5">
        <v>1.9453600816226577E-12</v>
      </c>
      <c r="W378" s="5"/>
      <c r="X378" s="5"/>
      <c r="Y378" s="5"/>
      <c r="Z378" s="5"/>
      <c r="AA378" s="5"/>
      <c r="AB378" s="5"/>
      <c r="AC378" s="5"/>
      <c r="AD378" s="5"/>
      <c r="AE378" s="5">
        <v>2.2054641363927465E-7</v>
      </c>
      <c r="AF378" s="5"/>
      <c r="AG378" s="5">
        <v>9.9563464430879031E-5</v>
      </c>
      <c r="AH378" s="5"/>
      <c r="AI378" s="5">
        <v>5.4250032163114957E-4</v>
      </c>
      <c r="AJ378" s="5"/>
      <c r="AK378" s="5"/>
      <c r="AL378" s="5"/>
      <c r="AM378" s="5"/>
      <c r="AN378" s="5"/>
      <c r="AV378" s="5">
        <v>1.5000000000000001E+40</v>
      </c>
      <c r="AW378">
        <v>34044</v>
      </c>
      <c r="AX378">
        <v>-270</v>
      </c>
      <c r="AY378" t="s">
        <v>80</v>
      </c>
      <c r="AZ378" s="5">
        <v>130000000000000</v>
      </c>
      <c r="BA378">
        <v>6558</v>
      </c>
      <c r="BB378">
        <v>-94</v>
      </c>
      <c r="BG378">
        <v>3</v>
      </c>
      <c r="BH378" s="5">
        <v>1.6999999999999999E+39</v>
      </c>
      <c r="BI378" t="s">
        <v>81</v>
      </c>
      <c r="BO378" s="17">
        <v>4000</v>
      </c>
      <c r="BP378" t="s">
        <v>82</v>
      </c>
      <c r="BQ378" t="s">
        <v>83</v>
      </c>
      <c r="BR378">
        <v>25</v>
      </c>
      <c r="BS378">
        <v>1460</v>
      </c>
      <c r="BT378" t="s">
        <v>125</v>
      </c>
      <c r="BV378" t="s">
        <v>341</v>
      </c>
      <c r="BW378" t="s">
        <v>680</v>
      </c>
    </row>
    <row r="379" spans="1:75" x14ac:dyDescent="0.75">
      <c r="A379" s="1"/>
      <c r="B379" t="s">
        <v>426</v>
      </c>
      <c r="C379" s="1" t="s">
        <v>300</v>
      </c>
      <c r="D379" t="s">
        <v>77</v>
      </c>
      <c r="E379" t="s">
        <v>77</v>
      </c>
      <c r="F379">
        <v>100</v>
      </c>
      <c r="G379">
        <v>1</v>
      </c>
      <c r="H379" s="1" t="s">
        <v>94</v>
      </c>
      <c r="I379" s="1"/>
      <c r="J379" s="1">
        <v>8.3000000000000004E-2</v>
      </c>
      <c r="K379" s="1"/>
      <c r="L379" s="1">
        <v>-43</v>
      </c>
      <c r="M379">
        <v>-60</v>
      </c>
      <c r="N379" s="1">
        <v>48</v>
      </c>
      <c r="O379" s="1"/>
      <c r="P379" s="1">
        <v>56</v>
      </c>
      <c r="Q379" s="1">
        <v>27.9</v>
      </c>
      <c r="R379" t="s">
        <v>84</v>
      </c>
      <c r="S379" s="3"/>
      <c r="T379" s="3"/>
      <c r="U379" s="3"/>
      <c r="V379" s="3">
        <v>7.7803655103980146E-12</v>
      </c>
      <c r="W379" s="3"/>
      <c r="X379" s="3"/>
      <c r="Y379" s="3"/>
      <c r="Z379" s="3"/>
      <c r="AA379" s="3"/>
      <c r="AB379" s="3"/>
      <c r="AC379" s="3"/>
      <c r="AD379" s="3"/>
      <c r="AE379" s="3">
        <v>4.1533640548907364E-7</v>
      </c>
      <c r="AF379" s="3"/>
      <c r="AG379" s="3">
        <v>1.0879276133832885E-5</v>
      </c>
      <c r="AH379" s="3"/>
      <c r="AI379" s="3">
        <v>3.2307250568928732E-5</v>
      </c>
      <c r="AJ379" s="3"/>
      <c r="AK379" s="3"/>
      <c r="AL379" s="3"/>
      <c r="AM379" s="3"/>
      <c r="AN379" s="3"/>
      <c r="AO379" s="1"/>
      <c r="AP379" s="1"/>
      <c r="AQ379" s="1"/>
      <c r="AR379" s="1"/>
      <c r="AS379" s="1"/>
      <c r="AT379" s="1"/>
      <c r="AU379" s="1"/>
      <c r="AV379" s="3">
        <v>2E+16</v>
      </c>
      <c r="AW379" s="1">
        <v>10147</v>
      </c>
      <c r="AX379" s="1">
        <v>-147</v>
      </c>
      <c r="AY379" s="1" t="s">
        <v>80</v>
      </c>
      <c r="AZ379" s="3">
        <v>7200000000</v>
      </c>
      <c r="BA379" s="1">
        <v>5187</v>
      </c>
      <c r="BB379" s="1">
        <v>-93</v>
      </c>
      <c r="BC379" s="1"/>
      <c r="BD379" s="1"/>
      <c r="BE379" s="1"/>
      <c r="BF379" s="1"/>
      <c r="BG379" s="1">
        <v>2.4</v>
      </c>
      <c r="BH379" s="3">
        <v>4.6000000000000002E+29</v>
      </c>
      <c r="BI379" t="s">
        <v>81</v>
      </c>
      <c r="BJ379" s="1"/>
      <c r="BK379" s="1"/>
      <c r="BL379" s="1"/>
      <c r="BM379" s="1"/>
      <c r="BN379" s="1"/>
      <c r="BO379" s="19">
        <v>4000</v>
      </c>
      <c r="BP379" s="1" t="s">
        <v>82</v>
      </c>
      <c r="BQ379" s="1" t="s">
        <v>83</v>
      </c>
      <c r="BR379" s="1">
        <v>25</v>
      </c>
      <c r="BS379" s="1">
        <v>1460</v>
      </c>
      <c r="BT379" t="s">
        <v>125</v>
      </c>
      <c r="BU379" s="1"/>
      <c r="BV379" t="s">
        <v>341</v>
      </c>
      <c r="BW379" t="s">
        <v>680</v>
      </c>
    </row>
    <row r="380" spans="1:75" x14ac:dyDescent="0.75">
      <c r="A380" s="8" t="s">
        <v>342</v>
      </c>
      <c r="B380" t="s">
        <v>426</v>
      </c>
      <c r="C380" s="8" t="s">
        <v>300</v>
      </c>
      <c r="D380" t="s">
        <v>77</v>
      </c>
      <c r="E380" t="s">
        <v>77</v>
      </c>
      <c r="F380">
        <v>100</v>
      </c>
      <c r="G380">
        <v>1</v>
      </c>
      <c r="H380" s="8" t="s">
        <v>94</v>
      </c>
      <c r="I380" s="8"/>
      <c r="J380" s="8">
        <v>1.4999999999999999E-2</v>
      </c>
      <c r="K380" s="8"/>
      <c r="L380" s="8">
        <v>-73</v>
      </c>
      <c r="M380" s="8"/>
      <c r="N380" s="8">
        <v>58</v>
      </c>
      <c r="O380" s="8"/>
      <c r="P380" s="8">
        <v>65</v>
      </c>
      <c r="Q380" s="8"/>
      <c r="R380" t="s">
        <v>84</v>
      </c>
      <c r="S380" s="10">
        <v>1.4387999999999999E-7</v>
      </c>
      <c r="T380" s="10">
        <v>2.3092000000000001E-7</v>
      </c>
      <c r="U380" s="10"/>
      <c r="V380" s="10"/>
      <c r="W380" s="10"/>
      <c r="X380" s="10"/>
      <c r="Y380" s="10">
        <v>2.5312999999999999E-7</v>
      </c>
      <c r="Z380" s="10"/>
      <c r="AA380" s="10"/>
      <c r="AB380" s="10">
        <v>1.2263E-6</v>
      </c>
      <c r="AC380" s="10"/>
      <c r="AD380" s="10"/>
      <c r="AE380" s="10">
        <v>4.5163999999999997E-6</v>
      </c>
      <c r="AF380" s="10"/>
      <c r="AG380" s="10">
        <v>2.1897999999999999E-5</v>
      </c>
      <c r="AH380" s="10"/>
      <c r="AI380" s="10"/>
      <c r="AJ380" s="10"/>
      <c r="AK380" s="10"/>
      <c r="AL380" s="10"/>
      <c r="AM380" s="10"/>
      <c r="AN380" s="10"/>
      <c r="AO380" s="8">
        <v>0.49</v>
      </c>
      <c r="AP380" s="8">
        <v>50</v>
      </c>
      <c r="AQ380" s="8" t="s">
        <v>343</v>
      </c>
      <c r="AR380" s="8"/>
      <c r="AS380" s="8"/>
      <c r="AT380" s="8">
        <v>0.57999999999999996</v>
      </c>
      <c r="AU380" s="8"/>
      <c r="AV380" s="10">
        <v>42000000000</v>
      </c>
      <c r="AW380" s="8">
        <v>11189</v>
      </c>
      <c r="AX380" s="8">
        <v>-273.14999999999998</v>
      </c>
      <c r="AY380" s="8">
        <v>30</v>
      </c>
      <c r="AZ380" s="8">
        <v>3616</v>
      </c>
      <c r="BA380" s="8">
        <v>3163</v>
      </c>
      <c r="BB380" s="8">
        <v>-123</v>
      </c>
      <c r="BC380" s="8"/>
      <c r="BD380" s="8"/>
      <c r="BE380" s="8"/>
      <c r="BF380" s="8"/>
      <c r="BG380" s="8">
        <v>0.95</v>
      </c>
      <c r="BH380" s="10">
        <v>1400000000</v>
      </c>
      <c r="BI380" s="8" t="s">
        <v>344</v>
      </c>
      <c r="BJ380" s="8"/>
      <c r="BK380" s="8"/>
      <c r="BL380" s="8"/>
      <c r="BM380" s="8"/>
      <c r="BN380" s="28"/>
      <c r="BO380" s="29"/>
      <c r="BP380" s="8" t="s">
        <v>82</v>
      </c>
      <c r="BQ380" s="8" t="s">
        <v>125</v>
      </c>
      <c r="BR380" s="8">
        <v>50</v>
      </c>
      <c r="BS380" s="8">
        <v>24</v>
      </c>
      <c r="BT380" s="8" t="s">
        <v>84</v>
      </c>
      <c r="BU380" s="8"/>
      <c r="BV380" s="8" t="s">
        <v>345</v>
      </c>
      <c r="BW380" t="s">
        <v>681</v>
      </c>
    </row>
    <row r="381" spans="1:75" x14ac:dyDescent="0.75">
      <c r="B381" t="s">
        <v>426</v>
      </c>
      <c r="C381" t="s">
        <v>300</v>
      </c>
      <c r="D381" t="s">
        <v>77</v>
      </c>
      <c r="E381" t="s">
        <v>77</v>
      </c>
      <c r="F381">
        <v>100</v>
      </c>
      <c r="G381">
        <v>1</v>
      </c>
      <c r="H381" t="s">
        <v>94</v>
      </c>
      <c r="K381">
        <v>5</v>
      </c>
      <c r="N381">
        <v>72</v>
      </c>
      <c r="R381" t="s">
        <v>84</v>
      </c>
      <c r="S381" s="5"/>
      <c r="T381" s="5"/>
      <c r="U381" s="5"/>
      <c r="V381" s="5"/>
      <c r="W381" s="5"/>
      <c r="X381" s="5"/>
      <c r="Y381" s="5">
        <v>2.9107171180666E-13</v>
      </c>
      <c r="Z381" s="5"/>
      <c r="AA381" s="5">
        <v>8.8511560983083274E-12</v>
      </c>
      <c r="AB381" s="5"/>
      <c r="AC381" s="5">
        <v>1.2147866204712199E-9</v>
      </c>
      <c r="AD381" s="5"/>
      <c r="AE381" s="5">
        <v>5.0268971536906528E-9</v>
      </c>
      <c r="AF381" s="5"/>
      <c r="AG381" s="5">
        <v>1.3406024229978285E-8</v>
      </c>
      <c r="AH381" s="5"/>
      <c r="AI381" s="5">
        <v>6.6834391756861291E-8</v>
      </c>
      <c r="AJ381" s="5"/>
      <c r="AK381" s="5">
        <v>5.7226870922284273E-7</v>
      </c>
      <c r="AL381" s="5">
        <v>2.7120644127071729E-6</v>
      </c>
      <c r="AM381" s="5"/>
      <c r="AN381" s="5"/>
      <c r="AV381">
        <v>37</v>
      </c>
      <c r="AW381">
        <v>1940</v>
      </c>
      <c r="AX381">
        <v>-37</v>
      </c>
      <c r="AY381" t="s">
        <v>80</v>
      </c>
      <c r="BG381">
        <v>2.1</v>
      </c>
      <c r="BH381" s="5">
        <v>1.8999999999999999E+23</v>
      </c>
      <c r="BI381" t="s">
        <v>81</v>
      </c>
      <c r="BO381" s="17">
        <v>6000</v>
      </c>
      <c r="BP381" t="s">
        <v>82</v>
      </c>
      <c r="BQ381" t="s">
        <v>83</v>
      </c>
      <c r="BR381">
        <v>25</v>
      </c>
      <c r="BT381" t="s">
        <v>125</v>
      </c>
      <c r="BV381" t="s">
        <v>346</v>
      </c>
      <c r="BW381" t="s">
        <v>682</v>
      </c>
    </row>
    <row r="382" spans="1:75" x14ac:dyDescent="0.75">
      <c r="B382" t="s">
        <v>426</v>
      </c>
      <c r="C382" t="s">
        <v>300</v>
      </c>
      <c r="D382" t="s">
        <v>77</v>
      </c>
      <c r="E382" t="s">
        <v>77</v>
      </c>
      <c r="F382">
        <v>100</v>
      </c>
      <c r="G382">
        <v>1</v>
      </c>
      <c r="H382" t="s">
        <v>94</v>
      </c>
      <c r="K382">
        <v>10</v>
      </c>
      <c r="N382">
        <v>66</v>
      </c>
      <c r="R382" t="s">
        <v>84</v>
      </c>
      <c r="S382" s="5"/>
      <c r="T382" s="5"/>
      <c r="U382" s="5"/>
      <c r="V382" s="5"/>
      <c r="W382" s="5"/>
      <c r="X382" s="5"/>
      <c r="Y382" s="5">
        <v>1.3740419750125094E-11</v>
      </c>
      <c r="Z382" s="5"/>
      <c r="AA382" s="5">
        <v>8.3733645608365453E-10</v>
      </c>
      <c r="AB382" s="5"/>
      <c r="AC382" s="5">
        <v>2.6816370667607211E-8</v>
      </c>
      <c r="AD382" s="5"/>
      <c r="AE382" s="5">
        <v>6.461003852547146E-8</v>
      </c>
      <c r="AF382" s="5"/>
      <c r="AG382" s="5">
        <v>9.8605241253085347E-8</v>
      </c>
      <c r="AH382" s="5"/>
      <c r="AI382" s="5">
        <v>6.1066074047882898E-6</v>
      </c>
      <c r="AJ382" s="5"/>
      <c r="AK382" s="5">
        <v>7.737488205148099E-6</v>
      </c>
      <c r="AL382" s="5">
        <v>8.0038695180949544E-6</v>
      </c>
      <c r="AM382" s="5"/>
      <c r="AN382" s="5"/>
      <c r="AV382">
        <v>15</v>
      </c>
      <c r="AW382">
        <v>1381</v>
      </c>
      <c r="AX382">
        <v>-27</v>
      </c>
      <c r="AY382" t="s">
        <v>80</v>
      </c>
      <c r="BG382">
        <v>1.9</v>
      </c>
      <c r="BH382" s="5">
        <v>3.7E+21</v>
      </c>
      <c r="BI382" t="s">
        <v>81</v>
      </c>
      <c r="BO382" s="17">
        <v>6000</v>
      </c>
      <c r="BP382" t="s">
        <v>82</v>
      </c>
      <c r="BQ382" t="s">
        <v>83</v>
      </c>
      <c r="BR382">
        <v>25</v>
      </c>
      <c r="BT382" t="s">
        <v>125</v>
      </c>
      <c r="BV382" t="s">
        <v>346</v>
      </c>
      <c r="BW382" t="s">
        <v>682</v>
      </c>
    </row>
    <row r="383" spans="1:75" x14ac:dyDescent="0.75">
      <c r="B383" t="s">
        <v>426</v>
      </c>
      <c r="C383" t="s">
        <v>300</v>
      </c>
      <c r="D383" t="s">
        <v>77</v>
      </c>
      <c r="E383" t="s">
        <v>77</v>
      </c>
      <c r="F383">
        <v>100</v>
      </c>
      <c r="G383">
        <v>1</v>
      </c>
      <c r="H383" t="s">
        <v>94</v>
      </c>
      <c r="K383">
        <v>15</v>
      </c>
      <c r="N383">
        <v>66</v>
      </c>
      <c r="R383" t="s">
        <v>84</v>
      </c>
      <c r="S383" s="5"/>
      <c r="T383" s="5"/>
      <c r="U383" s="5"/>
      <c r="V383" s="5"/>
      <c r="W383" s="5"/>
      <c r="X383" s="5"/>
      <c r="Y383" s="5">
        <v>1.1776059735208027E-10</v>
      </c>
      <c r="Z383" s="5"/>
      <c r="AA383" s="5">
        <v>2.1164109507708632E-8</v>
      </c>
      <c r="AB383" s="5"/>
      <c r="AC383" s="5">
        <v>1.161181211200939E-5</v>
      </c>
      <c r="AD383" s="5"/>
      <c r="AE383" s="5">
        <v>1.4962356560944305E-5</v>
      </c>
      <c r="AF383" s="5"/>
      <c r="AG383" s="5">
        <v>1.4223287871228178E-5</v>
      </c>
      <c r="AH383" s="5"/>
      <c r="AI383" s="5">
        <v>1.3292295883156801E-5</v>
      </c>
      <c r="AJ383" s="5"/>
      <c r="AK383" s="5">
        <v>1.4962356560944305E-5</v>
      </c>
      <c r="AL383" s="5">
        <v>1.4712958161780372E-5</v>
      </c>
      <c r="AM383" s="5"/>
      <c r="AN383" s="5"/>
      <c r="AV383">
        <v>3.6999999999999998E-2</v>
      </c>
      <c r="AW383">
        <v>334</v>
      </c>
      <c r="AX383">
        <v>8</v>
      </c>
      <c r="AY383" t="s">
        <v>80</v>
      </c>
      <c r="BI383" t="s">
        <v>347</v>
      </c>
      <c r="BO383" s="17">
        <v>6000</v>
      </c>
      <c r="BP383" t="s">
        <v>82</v>
      </c>
      <c r="BQ383" t="s">
        <v>83</v>
      </c>
      <c r="BR383">
        <v>25</v>
      </c>
      <c r="BT383" t="s">
        <v>125</v>
      </c>
      <c r="BV383" t="s">
        <v>346</v>
      </c>
      <c r="BW383" t="s">
        <v>682</v>
      </c>
    </row>
    <row r="384" spans="1:75" x14ac:dyDescent="0.75">
      <c r="A384" s="1"/>
      <c r="B384" t="s">
        <v>426</v>
      </c>
      <c r="C384" s="1" t="s">
        <v>300</v>
      </c>
      <c r="D384" t="s">
        <v>77</v>
      </c>
      <c r="E384" t="s">
        <v>77</v>
      </c>
      <c r="F384">
        <v>100</v>
      </c>
      <c r="G384">
        <v>1</v>
      </c>
      <c r="H384" s="1" t="s">
        <v>94</v>
      </c>
      <c r="I384" s="1"/>
      <c r="J384" s="1"/>
      <c r="K384" s="1">
        <v>20</v>
      </c>
      <c r="L384" s="1"/>
      <c r="M384" s="1"/>
      <c r="N384" s="1">
        <v>59</v>
      </c>
      <c r="O384" s="1"/>
      <c r="P384" s="1"/>
      <c r="Q384" s="1"/>
      <c r="R384" t="s">
        <v>84</v>
      </c>
      <c r="S384" s="3"/>
      <c r="T384" s="3"/>
      <c r="U384" s="3"/>
      <c r="V384" s="3"/>
      <c r="W384" s="3"/>
      <c r="X384" s="3"/>
      <c r="Y384" s="3">
        <v>5.1274330688825933E-10</v>
      </c>
      <c r="Z384" s="3"/>
      <c r="AA384" s="3">
        <v>1.4547889712157077E-7</v>
      </c>
      <c r="AB384" s="3"/>
      <c r="AC384" s="3">
        <v>9.009485693796413E-6</v>
      </c>
      <c r="AD384" s="3"/>
      <c r="AE384" s="3">
        <v>9.009485693796413E-6</v>
      </c>
      <c r="AF384" s="3"/>
      <c r="AG384" s="3">
        <v>9.4776354526296055E-6</v>
      </c>
      <c r="AH384" s="3"/>
      <c r="AI384" s="3">
        <v>9.6405097901074491E-6</v>
      </c>
      <c r="AJ384" s="3"/>
      <c r="AK384" s="3">
        <v>1.1808643185698569E-5</v>
      </c>
      <c r="AL384" s="3">
        <v>1.1035702899640123E-5</v>
      </c>
      <c r="AM384" s="3"/>
      <c r="AN384" s="3"/>
      <c r="AO384" s="1"/>
      <c r="AP384" s="1"/>
      <c r="AQ384" s="1"/>
      <c r="AR384" s="1"/>
      <c r="AS384" s="1"/>
      <c r="AT384" s="1"/>
      <c r="AU384" s="1"/>
      <c r="AV384" s="1">
        <v>5.0000000000000001E-3</v>
      </c>
      <c r="AW384" s="1">
        <v>197</v>
      </c>
      <c r="AX384" s="1">
        <v>13</v>
      </c>
      <c r="AY384" s="1" t="s">
        <v>80</v>
      </c>
      <c r="AZ384" s="1"/>
      <c r="BA384" s="1"/>
      <c r="BB384" s="1"/>
      <c r="BC384" s="1"/>
      <c r="BD384" s="1"/>
      <c r="BE384" s="1"/>
      <c r="BF384" s="1"/>
      <c r="BG384" s="1"/>
      <c r="BH384" s="1"/>
      <c r="BI384" s="1" t="s">
        <v>347</v>
      </c>
      <c r="BJ384" s="1"/>
      <c r="BK384" s="1"/>
      <c r="BL384" s="1"/>
      <c r="BM384" s="1"/>
      <c r="BN384" s="1"/>
      <c r="BO384" s="19">
        <v>6000</v>
      </c>
      <c r="BP384" s="1" t="s">
        <v>82</v>
      </c>
      <c r="BQ384" s="1" t="s">
        <v>83</v>
      </c>
      <c r="BR384" s="1">
        <v>25</v>
      </c>
      <c r="BS384" s="1"/>
      <c r="BT384" t="s">
        <v>125</v>
      </c>
      <c r="BU384" s="1"/>
      <c r="BV384" t="s">
        <v>346</v>
      </c>
      <c r="BW384" t="s">
        <v>682</v>
      </c>
    </row>
    <row r="385" spans="1:75" x14ac:dyDescent="0.75">
      <c r="A385" t="s">
        <v>348</v>
      </c>
      <c r="B385" t="s">
        <v>426</v>
      </c>
      <c r="C385" t="s">
        <v>300</v>
      </c>
      <c r="D385" t="s">
        <v>77</v>
      </c>
      <c r="E385" t="s">
        <v>77</v>
      </c>
      <c r="F385">
        <v>100</v>
      </c>
      <c r="G385">
        <v>1</v>
      </c>
      <c r="H385" t="s">
        <v>78</v>
      </c>
      <c r="J385">
        <f>1/50</f>
        <v>0.02</v>
      </c>
      <c r="R385" t="s">
        <v>84</v>
      </c>
      <c r="S385" s="5"/>
      <c r="T385" s="5"/>
      <c r="U385" s="5"/>
      <c r="V385" s="5"/>
      <c r="W385" s="5"/>
      <c r="X385" s="5"/>
      <c r="Y385" s="5"/>
      <c r="Z385" s="5"/>
      <c r="AA385" s="5"/>
      <c r="AB385" s="5"/>
      <c r="AC385" s="5"/>
      <c r="AD385" s="5"/>
      <c r="AE385" s="5"/>
      <c r="AF385" s="5"/>
      <c r="AG385" s="5"/>
      <c r="AH385" s="5"/>
      <c r="AI385" s="5"/>
      <c r="AJ385" s="5"/>
      <c r="AK385" s="5"/>
      <c r="AL385" s="5">
        <v>6.6496685712467529E-4</v>
      </c>
      <c r="AM385" s="5"/>
      <c r="AN385" s="5"/>
      <c r="AO385">
        <v>0.17</v>
      </c>
      <c r="AP385">
        <v>70</v>
      </c>
      <c r="AQ385" t="s">
        <v>349</v>
      </c>
      <c r="BO385" s="17">
        <v>5000</v>
      </c>
      <c r="BP385" t="s">
        <v>82</v>
      </c>
      <c r="BQ385" t="s">
        <v>83</v>
      </c>
      <c r="BR385">
        <v>25</v>
      </c>
      <c r="BS385">
        <v>168</v>
      </c>
      <c r="BT385" t="s">
        <v>149</v>
      </c>
      <c r="BV385" t="s">
        <v>350</v>
      </c>
      <c r="BW385" t="s">
        <v>683</v>
      </c>
    </row>
    <row r="386" spans="1:75" x14ac:dyDescent="0.75">
      <c r="A386" t="s">
        <v>351</v>
      </c>
      <c r="B386" t="s">
        <v>426</v>
      </c>
      <c r="C386" t="s">
        <v>300</v>
      </c>
      <c r="D386" t="s">
        <v>77</v>
      </c>
      <c r="E386" t="s">
        <v>77</v>
      </c>
      <c r="F386">
        <v>100</v>
      </c>
      <c r="G386">
        <v>1</v>
      </c>
      <c r="H386" t="s">
        <v>78</v>
      </c>
      <c r="J386">
        <f>1/16</f>
        <v>6.25E-2</v>
      </c>
      <c r="R386" t="s">
        <v>84</v>
      </c>
      <c r="S386" s="5"/>
      <c r="T386" s="5"/>
      <c r="U386" s="5"/>
      <c r="V386" s="5"/>
      <c r="W386" s="5"/>
      <c r="X386" s="5"/>
      <c r="Y386" s="5"/>
      <c r="Z386" s="5"/>
      <c r="AA386" s="5"/>
      <c r="AB386" s="5"/>
      <c r="AC386" s="5"/>
      <c r="AD386" s="5"/>
      <c r="AE386" s="5"/>
      <c r="AF386" s="5"/>
      <c r="AG386" s="5"/>
      <c r="AH386" s="5"/>
      <c r="AI386" s="5"/>
      <c r="AJ386" s="5"/>
      <c r="AK386" s="5"/>
      <c r="AL386" s="5">
        <v>1.6881071137049173E-3</v>
      </c>
      <c r="AM386" s="5"/>
      <c r="AN386" s="5"/>
      <c r="AO386">
        <v>0.22</v>
      </c>
      <c r="AP386">
        <v>70</v>
      </c>
      <c r="BO386" s="17">
        <v>5000</v>
      </c>
      <c r="BP386" t="s">
        <v>82</v>
      </c>
      <c r="BQ386" t="s">
        <v>83</v>
      </c>
      <c r="BR386">
        <v>25</v>
      </c>
      <c r="BS386">
        <v>168</v>
      </c>
      <c r="BT386" t="s">
        <v>149</v>
      </c>
      <c r="BV386" t="s">
        <v>350</v>
      </c>
      <c r="BW386" t="s">
        <v>683</v>
      </c>
    </row>
    <row r="387" spans="1:75" x14ac:dyDescent="0.75">
      <c r="B387" t="s">
        <v>426</v>
      </c>
      <c r="C387" t="s">
        <v>300</v>
      </c>
      <c r="D387" t="s">
        <v>77</v>
      </c>
      <c r="E387" t="s">
        <v>77</v>
      </c>
      <c r="F387">
        <v>100</v>
      </c>
      <c r="G387">
        <v>1</v>
      </c>
      <c r="H387" t="s">
        <v>78</v>
      </c>
      <c r="J387">
        <f>1/10</f>
        <v>0.1</v>
      </c>
      <c r="R387" t="s">
        <v>84</v>
      </c>
      <c r="S387" s="5"/>
      <c r="T387" s="5"/>
      <c r="U387" s="5"/>
      <c r="V387" s="5"/>
      <c r="W387" s="5"/>
      <c r="X387" s="5"/>
      <c r="Y387" s="5"/>
      <c r="Z387" s="5"/>
      <c r="AA387" s="5"/>
      <c r="AB387" s="5"/>
      <c r="AC387" s="5"/>
      <c r="AD387" s="5"/>
      <c r="AE387" s="5"/>
      <c r="AF387" s="5"/>
      <c r="AG387" s="5"/>
      <c r="AH387" s="5"/>
      <c r="AI387" s="5"/>
      <c r="AJ387" s="5"/>
      <c r="AK387" s="5"/>
      <c r="AL387" s="5">
        <v>1.1852228071957075E-3</v>
      </c>
      <c r="AM387" s="5"/>
      <c r="AN387" s="5"/>
      <c r="AO387">
        <v>0.13</v>
      </c>
      <c r="AP387">
        <v>70</v>
      </c>
      <c r="BO387" s="17">
        <v>5000</v>
      </c>
      <c r="BP387" t="s">
        <v>82</v>
      </c>
      <c r="BQ387" t="s">
        <v>83</v>
      </c>
      <c r="BR387">
        <v>25</v>
      </c>
      <c r="BS387">
        <v>168</v>
      </c>
      <c r="BT387" t="s">
        <v>149</v>
      </c>
      <c r="BV387" t="s">
        <v>350</v>
      </c>
      <c r="BW387" t="s">
        <v>683</v>
      </c>
    </row>
    <row r="388" spans="1:75" x14ac:dyDescent="0.75">
      <c r="A388" t="s">
        <v>352</v>
      </c>
      <c r="B388" t="s">
        <v>426</v>
      </c>
      <c r="C388" t="s">
        <v>300</v>
      </c>
      <c r="D388" t="s">
        <v>77</v>
      </c>
      <c r="E388" t="s">
        <v>77</v>
      </c>
      <c r="F388">
        <v>100</v>
      </c>
      <c r="G388">
        <v>1</v>
      </c>
      <c r="H388" t="s">
        <v>78</v>
      </c>
      <c r="J388">
        <f>1/6</f>
        <v>0.16666666666666666</v>
      </c>
      <c r="R388" t="s">
        <v>84</v>
      </c>
      <c r="S388" s="5"/>
      <c r="T388" s="5"/>
      <c r="U388" s="5"/>
      <c r="V388" s="5"/>
      <c r="W388" s="5"/>
      <c r="X388" s="5"/>
      <c r="Y388" s="5"/>
      <c r="Z388" s="5"/>
      <c r="AA388" s="5"/>
      <c r="AB388" s="5"/>
      <c r="AC388" s="5"/>
      <c r="AD388" s="5"/>
      <c r="AE388" s="5"/>
      <c r="AF388" s="5"/>
      <c r="AG388" s="5"/>
      <c r="AH388" s="5"/>
      <c r="AI388" s="5"/>
      <c r="AJ388" s="5"/>
      <c r="AK388" s="5"/>
      <c r="AL388" s="5">
        <v>3.7316422366470242E-4</v>
      </c>
      <c r="AM388" s="5"/>
      <c r="AN388" s="5"/>
      <c r="AO388">
        <v>6.3E-2</v>
      </c>
      <c r="AP388">
        <v>70</v>
      </c>
      <c r="BO388" s="17">
        <v>5000</v>
      </c>
      <c r="BP388" t="s">
        <v>82</v>
      </c>
      <c r="BQ388" t="s">
        <v>83</v>
      </c>
      <c r="BR388">
        <v>25</v>
      </c>
      <c r="BS388">
        <v>168</v>
      </c>
      <c r="BT388" t="s">
        <v>149</v>
      </c>
      <c r="BV388" t="s">
        <v>350</v>
      </c>
      <c r="BW388" t="s">
        <v>683</v>
      </c>
    </row>
    <row r="389" spans="1:75" x14ac:dyDescent="0.75">
      <c r="B389" t="s">
        <v>426</v>
      </c>
      <c r="C389" t="s">
        <v>300</v>
      </c>
      <c r="D389" t="s">
        <v>77</v>
      </c>
      <c r="E389" t="s">
        <v>77</v>
      </c>
      <c r="F389">
        <v>100</v>
      </c>
      <c r="G389">
        <v>1</v>
      </c>
      <c r="H389" t="s">
        <v>78</v>
      </c>
      <c r="J389">
        <f>1/5</f>
        <v>0.2</v>
      </c>
      <c r="R389" t="s">
        <v>84</v>
      </c>
      <c r="S389" s="5"/>
      <c r="T389" s="5"/>
      <c r="U389" s="5"/>
      <c r="V389" s="5"/>
      <c r="W389" s="5"/>
      <c r="X389" s="5"/>
      <c r="Y389" s="5"/>
      <c r="Z389" s="5"/>
      <c r="AA389" s="5"/>
      <c r="AB389" s="5"/>
      <c r="AC389" s="5"/>
      <c r="AD389" s="5"/>
      <c r="AE389" s="5"/>
      <c r="AF389" s="5"/>
      <c r="AG389" s="5"/>
      <c r="AH389" s="5"/>
      <c r="AI389" s="5"/>
      <c r="AJ389" s="5"/>
      <c r="AK389" s="5"/>
      <c r="AL389" s="5">
        <v>6.0048200890754598E-4</v>
      </c>
      <c r="AM389" s="5"/>
      <c r="AN389" s="5"/>
      <c r="AO389">
        <v>0.10199999999999999</v>
      </c>
      <c r="AP389">
        <v>70</v>
      </c>
      <c r="BO389" s="17">
        <v>5000</v>
      </c>
      <c r="BP389" t="s">
        <v>82</v>
      </c>
      <c r="BQ389" t="s">
        <v>83</v>
      </c>
      <c r="BR389">
        <v>25</v>
      </c>
      <c r="BS389">
        <v>168</v>
      </c>
      <c r="BT389" t="s">
        <v>149</v>
      </c>
      <c r="BV389" t="s">
        <v>350</v>
      </c>
      <c r="BW389" t="s">
        <v>683</v>
      </c>
    </row>
    <row r="390" spans="1:75" x14ac:dyDescent="0.75">
      <c r="B390" t="s">
        <v>426</v>
      </c>
      <c r="C390" t="s">
        <v>300</v>
      </c>
      <c r="D390" t="s">
        <v>77</v>
      </c>
      <c r="E390" t="s">
        <v>77</v>
      </c>
      <c r="F390">
        <v>100</v>
      </c>
      <c r="G390">
        <v>1</v>
      </c>
      <c r="H390" t="s">
        <v>78</v>
      </c>
      <c r="J390">
        <f>1/3</f>
        <v>0.33333333333333331</v>
      </c>
      <c r="R390" t="s">
        <v>84</v>
      </c>
      <c r="S390" s="5"/>
      <c r="T390" s="5"/>
      <c r="U390" s="5"/>
      <c r="V390" s="5"/>
      <c r="W390" s="5"/>
      <c r="X390" s="5"/>
      <c r="Y390" s="5"/>
      <c r="Z390" s="5"/>
      <c r="AA390" s="5"/>
      <c r="AB390" s="5"/>
      <c r="AC390" s="5"/>
      <c r="AD390" s="5"/>
      <c r="AE390" s="5"/>
      <c r="AF390" s="5"/>
      <c r="AG390" s="5"/>
      <c r="AH390" s="5"/>
      <c r="AI390" s="5"/>
      <c r="AJ390" s="5"/>
      <c r="AK390" s="5"/>
      <c r="AL390" s="5">
        <v>1.1199535223848859E-4</v>
      </c>
      <c r="AM390" s="5"/>
      <c r="AN390" s="5"/>
      <c r="AO390">
        <v>0.251</v>
      </c>
      <c r="AP390">
        <v>70</v>
      </c>
      <c r="BO390" s="17">
        <v>5000</v>
      </c>
      <c r="BP390" t="s">
        <v>82</v>
      </c>
      <c r="BQ390" t="s">
        <v>83</v>
      </c>
      <c r="BR390">
        <v>25</v>
      </c>
      <c r="BS390">
        <v>168</v>
      </c>
      <c r="BT390" t="s">
        <v>149</v>
      </c>
      <c r="BV390" t="s">
        <v>350</v>
      </c>
      <c r="BW390" t="s">
        <v>683</v>
      </c>
    </row>
    <row r="391" spans="1:75" x14ac:dyDescent="0.75">
      <c r="B391" t="s">
        <v>426</v>
      </c>
      <c r="C391" t="s">
        <v>300</v>
      </c>
      <c r="D391" t="s">
        <v>77</v>
      </c>
      <c r="E391" t="s">
        <v>77</v>
      </c>
      <c r="F391">
        <v>100</v>
      </c>
      <c r="G391">
        <v>1</v>
      </c>
      <c r="H391" t="s">
        <v>78</v>
      </c>
      <c r="J391">
        <f>1/2</f>
        <v>0.5</v>
      </c>
      <c r="R391" t="s">
        <v>84</v>
      </c>
      <c r="S391" s="5"/>
      <c r="T391" s="5"/>
      <c r="U391" s="5"/>
      <c r="V391" s="5"/>
      <c r="W391" s="5"/>
      <c r="X391" s="5"/>
      <c r="Y391" s="5"/>
      <c r="Z391" s="5"/>
      <c r="AA391" s="5"/>
      <c r="AB391" s="5"/>
      <c r="AC391" s="5"/>
      <c r="AD391" s="5"/>
      <c r="AE391" s="5"/>
      <c r="AF391" s="5"/>
      <c r="AG391" s="5"/>
      <c r="AH391" s="5"/>
      <c r="AI391" s="5"/>
      <c r="AJ391" s="5"/>
      <c r="AK391" s="5"/>
      <c r="AL391" s="5">
        <v>1.4239672466462425E-6</v>
      </c>
      <c r="AM391" s="5"/>
      <c r="AN391" s="5"/>
      <c r="AO391">
        <v>0.70599999999999996</v>
      </c>
      <c r="AP391">
        <v>70</v>
      </c>
      <c r="BO391" s="17">
        <v>5000</v>
      </c>
      <c r="BP391" t="s">
        <v>82</v>
      </c>
      <c r="BQ391" t="s">
        <v>83</v>
      </c>
      <c r="BR391">
        <v>25</v>
      </c>
      <c r="BS391">
        <v>168</v>
      </c>
      <c r="BT391" t="s">
        <v>149</v>
      </c>
      <c r="BV391" t="s">
        <v>350</v>
      </c>
      <c r="BW391" t="s">
        <v>683</v>
      </c>
    </row>
    <row r="392" spans="1:75" x14ac:dyDescent="0.75">
      <c r="A392" s="1"/>
      <c r="B392" t="s">
        <v>426</v>
      </c>
      <c r="C392" s="1" t="s">
        <v>300</v>
      </c>
      <c r="D392" t="s">
        <v>77</v>
      </c>
      <c r="E392" t="s">
        <v>77</v>
      </c>
      <c r="F392">
        <v>100</v>
      </c>
      <c r="G392">
        <v>1</v>
      </c>
      <c r="H392" s="1" t="s">
        <v>78</v>
      </c>
      <c r="I392" s="1"/>
      <c r="J392" s="1">
        <f>1/1.5</f>
        <v>0.66666666666666663</v>
      </c>
      <c r="K392" s="1"/>
      <c r="L392" s="1"/>
      <c r="M392" s="1"/>
      <c r="N392" s="1"/>
      <c r="O392" s="1"/>
      <c r="P392" s="1"/>
      <c r="Q392" s="1"/>
      <c r="R392" t="s">
        <v>84</v>
      </c>
      <c r="S392" s="3"/>
      <c r="T392" s="3"/>
      <c r="U392" s="3"/>
      <c r="V392" s="3"/>
      <c r="W392" s="3"/>
      <c r="X392" s="3"/>
      <c r="Y392" s="3"/>
      <c r="Z392" s="3"/>
      <c r="AA392" s="3"/>
      <c r="AB392" s="3"/>
      <c r="AC392" s="3"/>
      <c r="AD392" s="3"/>
      <c r="AE392" s="3"/>
      <c r="AF392" s="3"/>
      <c r="AG392" s="3"/>
      <c r="AH392" s="3"/>
      <c r="AI392" s="3"/>
      <c r="AJ392" s="3"/>
      <c r="AK392" s="3"/>
      <c r="AL392" s="3">
        <v>1.9076557239900646E-6</v>
      </c>
      <c r="AM392" s="3"/>
      <c r="AN392" s="3"/>
      <c r="AO392" s="1">
        <v>0.72</v>
      </c>
      <c r="AP392" s="1">
        <v>70</v>
      </c>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9">
        <v>5000</v>
      </c>
      <c r="BP392" s="1" t="s">
        <v>82</v>
      </c>
      <c r="BQ392" s="1" t="s">
        <v>83</v>
      </c>
      <c r="BR392" s="1">
        <v>25</v>
      </c>
      <c r="BS392" s="1">
        <v>168</v>
      </c>
      <c r="BT392" t="s">
        <v>149</v>
      </c>
      <c r="BU392" s="1"/>
      <c r="BV392" t="s">
        <v>350</v>
      </c>
      <c r="BW392" t="s">
        <v>683</v>
      </c>
    </row>
    <row r="393" spans="1:75" x14ac:dyDescent="0.75">
      <c r="B393" t="s">
        <v>426</v>
      </c>
      <c r="C393" t="s">
        <v>300</v>
      </c>
      <c r="D393" t="s">
        <v>77</v>
      </c>
      <c r="E393" t="s">
        <v>77</v>
      </c>
      <c r="F393">
        <v>100</v>
      </c>
      <c r="G393">
        <v>1</v>
      </c>
      <c r="H393" t="s">
        <v>353</v>
      </c>
      <c r="J393">
        <f>1/20</f>
        <v>0.05</v>
      </c>
      <c r="L393">
        <v>-45</v>
      </c>
      <c r="N393">
        <v>65</v>
      </c>
      <c r="Q393">
        <v>44</v>
      </c>
      <c r="R393" t="s">
        <v>84</v>
      </c>
      <c r="S393" s="5"/>
      <c r="T393" s="5"/>
      <c r="U393" s="5"/>
      <c r="V393" s="5"/>
      <c r="W393" s="5"/>
      <c r="X393" s="5"/>
      <c r="Y393" s="5">
        <v>4.1798823845699801E-7</v>
      </c>
      <c r="Z393" s="5">
        <v>1.1354237857625901E-6</v>
      </c>
      <c r="AA393" s="5">
        <v>2.98739696417552E-6</v>
      </c>
      <c r="AB393" s="5">
        <v>7.6246922798928097E-6</v>
      </c>
      <c r="AC393" s="5">
        <v>1.89042356156104E-5</v>
      </c>
      <c r="AD393" s="5">
        <v>4.5590982792485599E-5</v>
      </c>
      <c r="AE393" s="5">
        <v>1.0708357956785199E-4</v>
      </c>
      <c r="AF393" s="5">
        <v>4.1194466964925301E-4</v>
      </c>
      <c r="AG393" s="5">
        <v>5.5667281457902297E-4</v>
      </c>
      <c r="AH393" s="5">
        <v>7.4577059106695296E-4</v>
      </c>
      <c r="AI393" s="5">
        <v>9.9086420490458109E-4</v>
      </c>
      <c r="AJ393" s="5">
        <v>1.30610260117096E-3</v>
      </c>
      <c r="AK393" s="5">
        <v>1.7085867886906601E-3</v>
      </c>
      <c r="AL393" s="5">
        <v>2.8613928863932699E-3</v>
      </c>
      <c r="AM393" s="5"/>
      <c r="AN393" s="5"/>
      <c r="AO393">
        <v>0.14000000000000001</v>
      </c>
      <c r="AP393">
        <v>80</v>
      </c>
      <c r="AV393">
        <v>1953</v>
      </c>
      <c r="AW393">
        <v>1488</v>
      </c>
      <c r="AX393">
        <v>-47</v>
      </c>
      <c r="AY393" t="s">
        <v>80</v>
      </c>
      <c r="AZ393" s="5">
        <v>1300000</v>
      </c>
      <c r="BA393">
        <v>3196</v>
      </c>
      <c r="BB393">
        <v>-95</v>
      </c>
      <c r="BE393">
        <v>1.6</v>
      </c>
      <c r="BF393" s="5">
        <v>2.3E+20</v>
      </c>
      <c r="BG393">
        <v>0.6</v>
      </c>
      <c r="BH393" s="5">
        <v>390000</v>
      </c>
      <c r="BI393" t="s">
        <v>354</v>
      </c>
      <c r="BN393" s="15"/>
      <c r="BO393" s="17">
        <v>500</v>
      </c>
      <c r="BP393" s="42" t="s">
        <v>82</v>
      </c>
      <c r="BQ393" s="42" t="s">
        <v>83</v>
      </c>
      <c r="BR393" s="42">
        <v>25</v>
      </c>
      <c r="BS393" s="42">
        <v>48</v>
      </c>
      <c r="BT393" t="s">
        <v>149</v>
      </c>
      <c r="BV393" t="s">
        <v>355</v>
      </c>
      <c r="BW393" t="s">
        <v>356</v>
      </c>
    </row>
    <row r="394" spans="1:75" x14ac:dyDescent="0.75">
      <c r="A394" s="1"/>
      <c r="B394" t="s">
        <v>426</v>
      </c>
      <c r="C394" s="1" t="s">
        <v>300</v>
      </c>
      <c r="D394" t="s">
        <v>77</v>
      </c>
      <c r="E394" t="s">
        <v>77</v>
      </c>
      <c r="F394">
        <v>100</v>
      </c>
      <c r="G394">
        <v>1</v>
      </c>
      <c r="H394" s="1" t="s">
        <v>78</v>
      </c>
      <c r="I394" s="1"/>
      <c r="J394" s="1">
        <f>1/20</f>
        <v>0.05</v>
      </c>
      <c r="K394" s="1"/>
      <c r="L394" s="1">
        <v>-36</v>
      </c>
      <c r="M394" s="1"/>
      <c r="N394" s="1" t="s">
        <v>357</v>
      </c>
      <c r="O394" s="1"/>
      <c r="P394" s="1"/>
      <c r="Q394" s="1">
        <v>48</v>
      </c>
      <c r="R394" t="s">
        <v>84</v>
      </c>
      <c r="S394" s="3"/>
      <c r="T394" s="3"/>
      <c r="U394" s="3"/>
      <c r="V394" s="3"/>
      <c r="W394" s="3"/>
      <c r="X394" s="3"/>
      <c r="Y394" s="3">
        <v>8.6553390191547302E-6</v>
      </c>
      <c r="Z394" s="3">
        <v>1.6153409808050798E-5</v>
      </c>
      <c r="AA394" s="3">
        <v>2.9552278703638101E-5</v>
      </c>
      <c r="AB394" s="3">
        <v>5.30484081917056E-5</v>
      </c>
      <c r="AC394" s="3">
        <v>9.3517113662883595E-5</v>
      </c>
      <c r="AD394" s="3">
        <v>1.6203416453788701E-4</v>
      </c>
      <c r="AE394" s="3">
        <v>2.7615740194418602E-4</v>
      </c>
      <c r="AF394" s="3">
        <v>4.8691203893792199E-4</v>
      </c>
      <c r="AG394" s="3">
        <v>6.0012790614684798E-4</v>
      </c>
      <c r="AH394" s="3">
        <v>7.3524021342165704E-4</v>
      </c>
      <c r="AI394" s="3">
        <v>8.95607193318745E-4</v>
      </c>
      <c r="AJ394" s="3">
        <v>1.0849591022046401E-3</v>
      </c>
      <c r="AK394" s="3">
        <v>1.30742101104252E-3</v>
      </c>
      <c r="AL394" s="3">
        <v>1.87028310252575E-3</v>
      </c>
      <c r="AM394" s="3"/>
      <c r="AN394" s="3"/>
      <c r="AO394" s="1">
        <v>0.18</v>
      </c>
      <c r="AP394" s="1">
        <v>80</v>
      </c>
      <c r="AQ394" s="1"/>
      <c r="AR394" s="1"/>
      <c r="AS394" s="1"/>
      <c r="AT394" s="1"/>
      <c r="AU394" s="1"/>
      <c r="AV394" s="1">
        <v>6.7</v>
      </c>
      <c r="AW394" s="1">
        <v>687</v>
      </c>
      <c r="AX394" s="1">
        <v>-34</v>
      </c>
      <c r="AY394" s="1" t="s">
        <v>80</v>
      </c>
      <c r="AZ394" s="1">
        <v>477</v>
      </c>
      <c r="BA394" s="1">
        <v>1714</v>
      </c>
      <c r="BB394" s="1">
        <v>-86</v>
      </c>
      <c r="BC394" s="1"/>
      <c r="BD394" s="1"/>
      <c r="BE394" s="1">
        <v>1</v>
      </c>
      <c r="BF394" s="3">
        <v>430000000000</v>
      </c>
      <c r="BG394" s="1">
        <v>0.42</v>
      </c>
      <c r="BH394" s="1">
        <v>829</v>
      </c>
      <c r="BI394" s="1" t="s">
        <v>354</v>
      </c>
      <c r="BJ394" s="1"/>
      <c r="BK394" s="1"/>
      <c r="BL394" s="1"/>
      <c r="BM394" s="1"/>
      <c r="BN394" s="22"/>
      <c r="BO394" s="19">
        <v>500</v>
      </c>
      <c r="BP394" s="1" t="s">
        <v>82</v>
      </c>
      <c r="BQ394" s="1" t="s">
        <v>83</v>
      </c>
      <c r="BR394" s="1">
        <v>25</v>
      </c>
      <c r="BS394" s="1">
        <v>48</v>
      </c>
      <c r="BT394" s="1" t="s">
        <v>149</v>
      </c>
      <c r="BU394" s="1"/>
      <c r="BV394" t="s">
        <v>355</v>
      </c>
      <c r="BW394" t="s">
        <v>356</v>
      </c>
    </row>
    <row r="395" spans="1:75" x14ac:dyDescent="0.75">
      <c r="A395" t="s">
        <v>358</v>
      </c>
      <c r="B395" t="s">
        <v>426</v>
      </c>
      <c r="C395" t="s">
        <v>300</v>
      </c>
      <c r="D395" t="s">
        <v>77</v>
      </c>
      <c r="E395" t="s">
        <v>77</v>
      </c>
      <c r="F395">
        <v>100</v>
      </c>
      <c r="G395">
        <v>1</v>
      </c>
      <c r="H395" t="s">
        <v>89</v>
      </c>
      <c r="J395">
        <f>1/2</f>
        <v>0.5</v>
      </c>
      <c r="R395" t="s">
        <v>84</v>
      </c>
      <c r="S395" s="5"/>
      <c r="T395" s="5"/>
      <c r="U395" s="5"/>
      <c r="V395" s="5"/>
      <c r="W395" s="5"/>
      <c r="X395" s="5"/>
      <c r="Y395" s="5"/>
      <c r="Z395" s="5"/>
      <c r="AA395" s="5"/>
      <c r="AB395" s="5"/>
      <c r="AC395" s="5"/>
      <c r="AD395" s="5"/>
      <c r="AE395" s="5"/>
      <c r="AF395" s="5"/>
      <c r="AG395" s="5"/>
      <c r="AH395" s="5"/>
      <c r="AI395" s="5"/>
      <c r="AJ395" s="5"/>
      <c r="AK395" s="5"/>
      <c r="AL395" s="5"/>
      <c r="AM395" s="5"/>
      <c r="AN395" s="5"/>
      <c r="BC395">
        <v>1.36</v>
      </c>
      <c r="BD395">
        <v>0.48</v>
      </c>
      <c r="BO395" s="17">
        <v>5000</v>
      </c>
      <c r="BP395" t="s">
        <v>82</v>
      </c>
      <c r="BQ395" t="s">
        <v>83</v>
      </c>
      <c r="BR395">
        <v>25</v>
      </c>
      <c r="BS395">
        <v>48</v>
      </c>
      <c r="BT395" t="s">
        <v>125</v>
      </c>
      <c r="BV395" t="s">
        <v>359</v>
      </c>
      <c r="BW395" t="s">
        <v>684</v>
      </c>
    </row>
    <row r="396" spans="1:75" x14ac:dyDescent="0.75">
      <c r="B396" t="s">
        <v>426</v>
      </c>
      <c r="C396" t="s">
        <v>300</v>
      </c>
      <c r="D396" t="s">
        <v>77</v>
      </c>
      <c r="E396" t="s">
        <v>77</v>
      </c>
      <c r="F396">
        <v>100</v>
      </c>
      <c r="G396">
        <v>1</v>
      </c>
      <c r="H396" t="s">
        <v>89</v>
      </c>
      <c r="J396">
        <f>1/3.5</f>
        <v>0.2857142857142857</v>
      </c>
      <c r="R396" t="s">
        <v>84</v>
      </c>
      <c r="S396" s="5"/>
      <c r="T396" s="5"/>
      <c r="U396" s="5"/>
      <c r="V396" s="5"/>
      <c r="W396" s="5"/>
      <c r="X396" s="5"/>
      <c r="Y396" s="5"/>
      <c r="Z396" s="5"/>
      <c r="AA396" s="5">
        <v>3.5693880024483673E-7</v>
      </c>
      <c r="AB396" s="5">
        <v>4.8964624205015236E-7</v>
      </c>
      <c r="AC396" s="5">
        <v>6.6515466568298149E-7</v>
      </c>
      <c r="AD396" s="5"/>
      <c r="AE396" s="5">
        <v>9.1665825188659787E-7</v>
      </c>
      <c r="AF396" s="5"/>
      <c r="AG396" s="5">
        <v>1.1555068966522236E-6</v>
      </c>
      <c r="AH396" s="5"/>
      <c r="AI396" s="5">
        <v>1.43761406401667E-6</v>
      </c>
      <c r="AJ396" s="5">
        <v>1.5557166835677201E-6</v>
      </c>
      <c r="AK396" s="5">
        <v>2.0618334307348301E-6</v>
      </c>
      <c r="AL396" s="5">
        <v>3.54050613461405E-6</v>
      </c>
      <c r="AM396" s="5">
        <v>5.9104454625860402E-6</v>
      </c>
      <c r="AN396" s="5">
        <v>1.2310733513436725E-5</v>
      </c>
      <c r="AV396" s="5">
        <v>38000</v>
      </c>
      <c r="AW396">
        <v>7515</v>
      </c>
      <c r="AX396">
        <v>-273.14999999999998</v>
      </c>
      <c r="AY396">
        <v>84</v>
      </c>
      <c r="BE396">
        <v>0.23</v>
      </c>
      <c r="BF396">
        <v>2.5999999999999999E-3</v>
      </c>
      <c r="BG396">
        <v>0.63</v>
      </c>
      <c r="BH396">
        <v>1191</v>
      </c>
      <c r="BI396" t="s">
        <v>360</v>
      </c>
      <c r="BO396" s="17">
        <v>5000</v>
      </c>
      <c r="BP396" t="s">
        <v>82</v>
      </c>
      <c r="BQ396" t="s">
        <v>83</v>
      </c>
      <c r="BR396">
        <v>25</v>
      </c>
      <c r="BS396">
        <v>48</v>
      </c>
      <c r="BT396" t="s">
        <v>125</v>
      </c>
      <c r="BV396" t="s">
        <v>359</v>
      </c>
      <c r="BW396" t="s">
        <v>684</v>
      </c>
    </row>
    <row r="397" spans="1:75" x14ac:dyDescent="0.75">
      <c r="A397" t="s">
        <v>361</v>
      </c>
      <c r="B397" t="s">
        <v>426</v>
      </c>
      <c r="C397" t="s">
        <v>300</v>
      </c>
      <c r="D397" t="s">
        <v>77</v>
      </c>
      <c r="E397" t="s">
        <v>77</v>
      </c>
      <c r="F397">
        <v>100</v>
      </c>
      <c r="G397">
        <v>1</v>
      </c>
      <c r="H397" t="s">
        <v>89</v>
      </c>
      <c r="J397">
        <f>1/4</f>
        <v>0.25</v>
      </c>
      <c r="R397" t="s">
        <v>84</v>
      </c>
      <c r="S397" s="5"/>
      <c r="T397" s="5"/>
      <c r="U397" s="5"/>
      <c r="V397" s="5"/>
      <c r="W397" s="5"/>
      <c r="X397" s="5"/>
      <c r="Y397" s="5"/>
      <c r="Z397" s="5"/>
      <c r="AA397" s="5"/>
      <c r="AB397" s="5"/>
      <c r="AC397" s="5"/>
      <c r="AD397" s="5"/>
      <c r="AE397" s="5"/>
      <c r="AF397" s="5"/>
      <c r="AG397" s="5"/>
      <c r="AH397" s="5"/>
      <c r="AI397" s="5"/>
      <c r="AJ397" s="5"/>
      <c r="AK397" s="5"/>
      <c r="AL397" s="5"/>
      <c r="AM397" s="5"/>
      <c r="AN397" s="5"/>
      <c r="AO397" s="5"/>
      <c r="BC397">
        <v>0.98</v>
      </c>
      <c r="BD397">
        <v>0.34</v>
      </c>
      <c r="BO397" s="17">
        <v>5000</v>
      </c>
      <c r="BP397" t="s">
        <v>82</v>
      </c>
      <c r="BQ397" t="s">
        <v>83</v>
      </c>
      <c r="BR397">
        <v>25</v>
      </c>
      <c r="BS397">
        <v>48</v>
      </c>
      <c r="BT397" t="s">
        <v>125</v>
      </c>
      <c r="BV397" t="s">
        <v>359</v>
      </c>
      <c r="BW397" t="s">
        <v>684</v>
      </c>
    </row>
    <row r="398" spans="1:75" x14ac:dyDescent="0.75">
      <c r="B398" t="s">
        <v>426</v>
      </c>
      <c r="C398" t="s">
        <v>300</v>
      </c>
      <c r="D398" t="s">
        <v>77</v>
      </c>
      <c r="E398" t="s">
        <v>77</v>
      </c>
      <c r="F398">
        <v>100</v>
      </c>
      <c r="G398">
        <v>1</v>
      </c>
      <c r="H398" t="s">
        <v>89</v>
      </c>
      <c r="J398">
        <f>1/4.5</f>
        <v>0.22222222222222221</v>
      </c>
      <c r="R398" t="s">
        <v>84</v>
      </c>
      <c r="S398" s="5"/>
      <c r="T398" s="5"/>
      <c r="U398" s="5"/>
      <c r="V398" s="5"/>
      <c r="W398" s="5"/>
      <c r="X398" s="5"/>
      <c r="Y398" s="5"/>
      <c r="Z398" s="5"/>
      <c r="AA398" s="5"/>
      <c r="AB398" s="5"/>
      <c r="AC398" s="5"/>
      <c r="AD398" s="5"/>
      <c r="AE398" s="5"/>
      <c r="AF398" s="5"/>
      <c r="AG398" s="5"/>
      <c r="AH398" s="5"/>
      <c r="AI398" s="5"/>
      <c r="AJ398" s="5"/>
      <c r="AK398" s="5"/>
      <c r="AL398" s="5"/>
      <c r="AM398" s="5"/>
      <c r="AN398" s="5"/>
      <c r="AO398" s="5"/>
      <c r="BC398">
        <v>1.64</v>
      </c>
      <c r="BD398">
        <v>0.33</v>
      </c>
      <c r="BO398" s="17">
        <v>5000</v>
      </c>
      <c r="BP398" t="s">
        <v>82</v>
      </c>
      <c r="BQ398" t="s">
        <v>83</v>
      </c>
      <c r="BR398">
        <v>25</v>
      </c>
      <c r="BS398">
        <v>48</v>
      </c>
      <c r="BT398" t="s">
        <v>125</v>
      </c>
      <c r="BV398" t="s">
        <v>359</v>
      </c>
      <c r="BW398" t="s">
        <v>684</v>
      </c>
    </row>
    <row r="399" spans="1:75" x14ac:dyDescent="0.75">
      <c r="B399" t="s">
        <v>426</v>
      </c>
      <c r="C399" t="s">
        <v>300</v>
      </c>
      <c r="D399" t="s">
        <v>77</v>
      </c>
      <c r="E399" t="s">
        <v>77</v>
      </c>
      <c r="F399">
        <v>100</v>
      </c>
      <c r="G399">
        <v>1</v>
      </c>
      <c r="H399" t="s">
        <v>89</v>
      </c>
      <c r="J399">
        <f>1/6</f>
        <v>0.16666666666666666</v>
      </c>
      <c r="R399" t="s">
        <v>84</v>
      </c>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BC399">
        <v>1.0900000000000001</v>
      </c>
      <c r="BD399">
        <v>0.28999999999999998</v>
      </c>
      <c r="BO399" s="17">
        <v>5000</v>
      </c>
      <c r="BP399" t="s">
        <v>82</v>
      </c>
      <c r="BQ399" t="s">
        <v>83</v>
      </c>
      <c r="BR399">
        <v>25</v>
      </c>
      <c r="BS399">
        <v>48</v>
      </c>
      <c r="BT399" t="s">
        <v>125</v>
      </c>
      <c r="BV399" t="s">
        <v>359</v>
      </c>
      <c r="BW399" t="s">
        <v>684</v>
      </c>
    </row>
    <row r="400" spans="1:75" x14ac:dyDescent="0.75">
      <c r="B400" t="s">
        <v>426</v>
      </c>
      <c r="C400" t="s">
        <v>300</v>
      </c>
      <c r="D400" t="s">
        <v>77</v>
      </c>
      <c r="E400" t="s">
        <v>77</v>
      </c>
      <c r="F400">
        <v>100</v>
      </c>
      <c r="G400">
        <v>1</v>
      </c>
      <c r="H400" t="s">
        <v>89</v>
      </c>
      <c r="J400">
        <f>1/8</f>
        <v>0.125</v>
      </c>
      <c r="R400" t="s">
        <v>84</v>
      </c>
      <c r="S400" s="5"/>
      <c r="T400" s="5"/>
      <c r="U400" s="5"/>
      <c r="V400" s="5"/>
      <c r="W400" s="5"/>
      <c r="X400" s="5"/>
      <c r="Y400" s="5"/>
      <c r="Z400" s="5"/>
      <c r="AA400" s="5">
        <v>1.98374497075297E-7</v>
      </c>
      <c r="AB400" s="5">
        <v>6.5622294147508295E-7</v>
      </c>
      <c r="AC400" s="5">
        <v>2.0918899088846002E-6</v>
      </c>
      <c r="AD400" s="5">
        <v>6.4369929174097098E-6</v>
      </c>
      <c r="AE400" s="5">
        <v>4.32098652593462E-5</v>
      </c>
      <c r="AF400" s="5">
        <v>5.3879254144788402E-5</v>
      </c>
      <c r="AG400" s="5">
        <v>6.6752468337161506E-5</v>
      </c>
      <c r="AH400" s="5">
        <v>8.2194074021816596E-5</v>
      </c>
      <c r="AI400">
        <v>1.0061312208808E-4</v>
      </c>
      <c r="AJ400">
        <v>1.22466375045395E-4</v>
      </c>
      <c r="AK400">
        <v>1.48261535984318E-4</v>
      </c>
      <c r="AL400" s="5">
        <v>2.1398232606973299E-4</v>
      </c>
      <c r="AM400" s="5">
        <v>3.0297685482620201E-4</v>
      </c>
      <c r="AN400" s="5">
        <v>4.9400549267835097E-4</v>
      </c>
      <c r="AO400" s="5"/>
      <c r="AP400" s="5"/>
      <c r="AV400">
        <v>317</v>
      </c>
      <c r="AW400">
        <v>3438</v>
      </c>
      <c r="AX400">
        <v>-206</v>
      </c>
      <c r="AY400">
        <v>60</v>
      </c>
      <c r="BC400">
        <v>1.42</v>
      </c>
      <c r="BD400">
        <v>0.27</v>
      </c>
      <c r="BE400">
        <v>2.0499999999999998</v>
      </c>
      <c r="BF400" s="5">
        <v>2.2999999999999998E+25</v>
      </c>
      <c r="BG400">
        <v>0.43</v>
      </c>
      <c r="BH400">
        <v>131</v>
      </c>
      <c r="BI400" t="s">
        <v>354</v>
      </c>
      <c r="BO400" s="17">
        <v>5000</v>
      </c>
      <c r="BP400" t="s">
        <v>82</v>
      </c>
      <c r="BQ400" t="s">
        <v>83</v>
      </c>
      <c r="BR400">
        <v>25</v>
      </c>
      <c r="BS400">
        <v>48</v>
      </c>
      <c r="BT400" t="s">
        <v>125</v>
      </c>
      <c r="BV400" t="s">
        <v>359</v>
      </c>
      <c r="BW400" t="s">
        <v>684</v>
      </c>
    </row>
    <row r="401" spans="1:75" x14ac:dyDescent="0.75">
      <c r="B401" t="s">
        <v>426</v>
      </c>
      <c r="C401" t="s">
        <v>300</v>
      </c>
      <c r="D401" t="s">
        <v>77</v>
      </c>
      <c r="E401" t="s">
        <v>77</v>
      </c>
      <c r="F401">
        <v>100</v>
      </c>
      <c r="G401">
        <v>1</v>
      </c>
      <c r="H401" t="s">
        <v>89</v>
      </c>
      <c r="J401">
        <f>1/10</f>
        <v>0.1</v>
      </c>
      <c r="R401" t="s">
        <v>84</v>
      </c>
      <c r="S401" s="5"/>
      <c r="T401" s="5"/>
      <c r="U401" s="5"/>
      <c r="V401" s="5"/>
      <c r="W401" s="5"/>
      <c r="X401" s="5"/>
      <c r="Y401" s="5"/>
      <c r="Z401" s="5"/>
      <c r="AA401" s="5">
        <v>2.517890876799957E-7</v>
      </c>
      <c r="AB401" s="5">
        <v>7.329366680468075E-7</v>
      </c>
      <c r="AC401" s="5">
        <v>2.0641270420873561E-6</v>
      </c>
      <c r="AD401" s="5"/>
      <c r="AE401" s="5">
        <v>2.6318702791754999E-5</v>
      </c>
      <c r="AF401" s="5">
        <v>3.2514210559492897E-5</v>
      </c>
      <c r="AG401" s="5">
        <v>3.9921465760958901E-5</v>
      </c>
      <c r="AH401" s="5">
        <v>4.87281076556934E-5</v>
      </c>
      <c r="AI401" s="5">
        <v>5.9142701790013598E-5</v>
      </c>
      <c r="AJ401" s="5">
        <v>7.1396018438207103E-5</v>
      </c>
      <c r="AK401" s="5">
        <v>8.5742286575842206E-5</v>
      </c>
      <c r="AL401" s="5">
        <v>1.21855173358883E-4</v>
      </c>
      <c r="AM401" s="5">
        <v>1.7002969697502301E-4</v>
      </c>
      <c r="AN401" s="5">
        <v>2.7159335766112298E-4</v>
      </c>
      <c r="AP401" s="5"/>
      <c r="AV401">
        <v>53</v>
      </c>
      <c r="AW401">
        <v>2857</v>
      </c>
      <c r="AX401">
        <v>-186</v>
      </c>
      <c r="AY401">
        <v>60</v>
      </c>
      <c r="BC401">
        <v>1.47</v>
      </c>
      <c r="BD401">
        <v>0.28999999999999998</v>
      </c>
      <c r="BE401">
        <v>1.87</v>
      </c>
      <c r="BF401" s="5">
        <v>2.8000000000000002E+23</v>
      </c>
      <c r="BG401">
        <v>0.41</v>
      </c>
      <c r="BH401">
        <v>43</v>
      </c>
      <c r="BI401" t="s">
        <v>354</v>
      </c>
      <c r="BO401" s="17">
        <v>5000</v>
      </c>
      <c r="BP401" t="s">
        <v>82</v>
      </c>
      <c r="BQ401" t="s">
        <v>83</v>
      </c>
      <c r="BR401">
        <v>25</v>
      </c>
      <c r="BS401">
        <v>48</v>
      </c>
      <c r="BT401" t="s">
        <v>125</v>
      </c>
      <c r="BV401" t="s">
        <v>359</v>
      </c>
      <c r="BW401" t="s">
        <v>684</v>
      </c>
    </row>
    <row r="402" spans="1:75" x14ac:dyDescent="0.75">
      <c r="B402" t="s">
        <v>426</v>
      </c>
      <c r="C402" t="s">
        <v>300</v>
      </c>
      <c r="D402" t="s">
        <v>77</v>
      </c>
      <c r="E402" t="s">
        <v>77</v>
      </c>
      <c r="F402">
        <v>100</v>
      </c>
      <c r="G402">
        <v>1</v>
      </c>
      <c r="H402" t="s">
        <v>89</v>
      </c>
      <c r="J402">
        <f>1/15</f>
        <v>6.6666666666666666E-2</v>
      </c>
      <c r="R402" t="s">
        <v>84</v>
      </c>
      <c r="S402" s="5"/>
      <c r="T402" s="5"/>
      <c r="U402" s="5"/>
      <c r="V402" s="5"/>
      <c r="W402" s="5"/>
      <c r="X402" s="5"/>
      <c r="Y402" s="5"/>
      <c r="Z402" s="5"/>
      <c r="AA402" s="5">
        <v>1.3112965453634139E-7</v>
      </c>
      <c r="AB402" s="5">
        <v>4.2436650214056893E-7</v>
      </c>
      <c r="AC402" s="5">
        <v>1.3243350863227282E-6</v>
      </c>
      <c r="AD402" s="5"/>
      <c r="AE402" s="5">
        <v>1.1641364169851161E-5</v>
      </c>
      <c r="AF402" s="5">
        <v>3.4221005905778399E-5</v>
      </c>
      <c r="AG402" s="5">
        <v>4.2856258510937602E-5</v>
      </c>
      <c r="AH402" s="5">
        <v>5.2305708417542498E-5</v>
      </c>
      <c r="AI402" s="5">
        <v>6.24701648489295E-5</v>
      </c>
      <c r="AJ402" s="3">
        <v>7.3249463197253695E-5</v>
      </c>
      <c r="AK402" s="5">
        <v>8.4545982978804607E-5</v>
      </c>
      <c r="AL402" s="5">
        <v>1.0832615543289901E-4</v>
      </c>
      <c r="AM402" s="5">
        <v>1.3314944001799201E-4</v>
      </c>
      <c r="AN402" s="5">
        <v>1.7118014240560201E-4</v>
      </c>
      <c r="AP402" s="5"/>
      <c r="AV402">
        <v>0.03</v>
      </c>
      <c r="AW402">
        <v>315</v>
      </c>
      <c r="AX402">
        <v>-15</v>
      </c>
      <c r="AY402">
        <v>61</v>
      </c>
      <c r="BC402">
        <v>1.57</v>
      </c>
      <c r="BD402">
        <v>0.28999999999999998</v>
      </c>
      <c r="BE402">
        <v>2.02</v>
      </c>
      <c r="BF402" s="5">
        <v>3.6999999999999999E+25</v>
      </c>
      <c r="BG402">
        <v>0.31</v>
      </c>
      <c r="BH402">
        <v>1.4</v>
      </c>
      <c r="BI402" t="s">
        <v>354</v>
      </c>
      <c r="BO402" s="17">
        <v>5000</v>
      </c>
      <c r="BP402" t="s">
        <v>82</v>
      </c>
      <c r="BQ402" t="s">
        <v>83</v>
      </c>
      <c r="BR402">
        <v>25</v>
      </c>
      <c r="BS402">
        <v>48</v>
      </c>
      <c r="BT402" t="s">
        <v>125</v>
      </c>
      <c r="BV402" t="s">
        <v>359</v>
      </c>
      <c r="BW402" t="s">
        <v>684</v>
      </c>
    </row>
    <row r="403" spans="1:75" x14ac:dyDescent="0.75">
      <c r="B403" t="s">
        <v>426</v>
      </c>
      <c r="C403" t="s">
        <v>300</v>
      </c>
      <c r="D403" t="s">
        <v>77</v>
      </c>
      <c r="E403" t="s">
        <v>77</v>
      </c>
      <c r="F403">
        <v>100</v>
      </c>
      <c r="G403">
        <v>1</v>
      </c>
      <c r="H403" t="s">
        <v>91</v>
      </c>
      <c r="J403">
        <f>1/3.5</f>
        <v>0.2857142857142857</v>
      </c>
      <c r="R403" t="s">
        <v>84</v>
      </c>
      <c r="S403" s="5"/>
      <c r="T403" s="5"/>
      <c r="U403" s="5"/>
      <c r="V403" s="5"/>
      <c r="W403" s="5"/>
      <c r="X403" s="5"/>
      <c r="Y403" s="5"/>
      <c r="Z403" s="5"/>
      <c r="AA403" s="5">
        <v>4.8901497352147521E-8</v>
      </c>
      <c r="AB403" s="5">
        <v>7.6955450148326687E-8</v>
      </c>
      <c r="AC403" s="5">
        <v>1.1941611274875163E-7</v>
      </c>
      <c r="AD403" s="5"/>
      <c r="AE403" s="5">
        <v>1.4514909402139014E-7</v>
      </c>
      <c r="AF403" s="5"/>
      <c r="AG403" s="5">
        <v>1.4489438562011917E-7</v>
      </c>
      <c r="AH403" s="5"/>
      <c r="AI403" s="5">
        <v>1.4115130843938958E-7</v>
      </c>
      <c r="AJ403" s="5">
        <v>1.9127437054471745E-7</v>
      </c>
      <c r="AK403" s="5">
        <v>2.5703636302354166E-7</v>
      </c>
      <c r="AL403" s="5">
        <v>4.5326503096839176E-7</v>
      </c>
      <c r="AM403" s="5">
        <v>7.7597953834479636E-7</v>
      </c>
      <c r="AN403" s="5">
        <v>1.6523619866690519E-6</v>
      </c>
      <c r="AP403" s="5"/>
      <c r="AV403">
        <v>60741</v>
      </c>
      <c r="AW403">
        <v>8471</v>
      </c>
      <c r="AX403">
        <v>-273.14999999999998</v>
      </c>
      <c r="AY403">
        <v>84</v>
      </c>
      <c r="BG403">
        <v>0.71</v>
      </c>
      <c r="BH403">
        <v>1896</v>
      </c>
      <c r="BI403" t="s">
        <v>362</v>
      </c>
      <c r="BO403" s="17">
        <v>5000</v>
      </c>
      <c r="BP403" t="s">
        <v>82</v>
      </c>
      <c r="BQ403" t="s">
        <v>83</v>
      </c>
      <c r="BR403">
        <v>25</v>
      </c>
      <c r="BS403">
        <v>48</v>
      </c>
      <c r="BT403" t="s">
        <v>125</v>
      </c>
      <c r="BV403" t="s">
        <v>359</v>
      </c>
      <c r="BW403" t="s">
        <v>684</v>
      </c>
    </row>
    <row r="404" spans="1:75" x14ac:dyDescent="0.75">
      <c r="B404" t="s">
        <v>426</v>
      </c>
      <c r="C404" t="s">
        <v>300</v>
      </c>
      <c r="D404" t="s">
        <v>77</v>
      </c>
      <c r="E404" t="s">
        <v>77</v>
      </c>
      <c r="F404">
        <v>100</v>
      </c>
      <c r="G404">
        <v>1</v>
      </c>
      <c r="H404" t="s">
        <v>91</v>
      </c>
      <c r="J404">
        <f>1/4</f>
        <v>0.25</v>
      </c>
      <c r="R404" t="s">
        <v>84</v>
      </c>
      <c r="S404" s="5"/>
      <c r="T404" s="5"/>
      <c r="U404" s="5"/>
      <c r="V404" s="5"/>
      <c r="W404" s="5"/>
      <c r="X404" s="5"/>
      <c r="Y404" s="5"/>
      <c r="Z404" s="5"/>
      <c r="AA404" s="5"/>
      <c r="AB404" s="5"/>
      <c r="AC404" s="5"/>
      <c r="AD404" s="5"/>
      <c r="AE404" s="5"/>
      <c r="AF404" s="5"/>
      <c r="AG404" s="5"/>
      <c r="AH404" s="5"/>
      <c r="AI404" s="5"/>
      <c r="AJ404" s="5"/>
      <c r="AK404" s="5"/>
      <c r="AL404" s="5"/>
      <c r="AM404" s="5"/>
      <c r="AN404" s="5"/>
      <c r="AP404" s="5"/>
      <c r="BC404">
        <v>1.07</v>
      </c>
      <c r="BD404">
        <v>0.39</v>
      </c>
      <c r="BO404" s="17">
        <v>5000</v>
      </c>
      <c r="BP404" t="s">
        <v>82</v>
      </c>
      <c r="BQ404" t="s">
        <v>83</v>
      </c>
      <c r="BR404">
        <v>25</v>
      </c>
      <c r="BS404">
        <v>48</v>
      </c>
      <c r="BT404" t="s">
        <v>125</v>
      </c>
      <c r="BV404" t="s">
        <v>359</v>
      </c>
      <c r="BW404" t="s">
        <v>684</v>
      </c>
    </row>
    <row r="405" spans="1:75" x14ac:dyDescent="0.75">
      <c r="B405" t="s">
        <v>426</v>
      </c>
      <c r="C405" t="s">
        <v>300</v>
      </c>
      <c r="D405" t="s">
        <v>77</v>
      </c>
      <c r="E405" t="s">
        <v>77</v>
      </c>
      <c r="F405">
        <v>100</v>
      </c>
      <c r="G405">
        <v>1</v>
      </c>
      <c r="H405" t="s">
        <v>91</v>
      </c>
      <c r="J405">
        <f>1/4.5</f>
        <v>0.22222222222222221</v>
      </c>
      <c r="R405" t="s">
        <v>84</v>
      </c>
      <c r="S405" s="5"/>
      <c r="T405" s="5"/>
      <c r="U405" s="5"/>
      <c r="V405" s="5"/>
      <c r="W405" s="5"/>
      <c r="X405" s="5"/>
      <c r="Y405" s="5"/>
      <c r="Z405" s="5"/>
      <c r="AA405" s="5"/>
      <c r="AB405" s="5"/>
      <c r="AC405" s="5"/>
      <c r="AD405" s="5"/>
      <c r="AE405" s="5"/>
      <c r="AF405" s="5"/>
      <c r="AG405" s="5"/>
      <c r="AH405" s="5"/>
      <c r="AI405" s="5"/>
      <c r="AJ405" s="5"/>
      <c r="AK405" s="5"/>
      <c r="AL405" s="5"/>
      <c r="AM405" s="5"/>
      <c r="AN405" s="5"/>
      <c r="AP405" s="5"/>
      <c r="BC405">
        <v>0.9</v>
      </c>
      <c r="BD405">
        <v>0.37</v>
      </c>
      <c r="BO405" s="17">
        <v>5000</v>
      </c>
      <c r="BP405" t="s">
        <v>82</v>
      </c>
      <c r="BQ405" t="s">
        <v>83</v>
      </c>
      <c r="BR405">
        <v>25</v>
      </c>
      <c r="BS405">
        <v>48</v>
      </c>
      <c r="BT405" t="s">
        <v>125</v>
      </c>
      <c r="BV405" t="s">
        <v>359</v>
      </c>
      <c r="BW405" t="s">
        <v>684</v>
      </c>
    </row>
    <row r="406" spans="1:75" x14ac:dyDescent="0.75">
      <c r="B406" t="s">
        <v>426</v>
      </c>
      <c r="C406" t="s">
        <v>300</v>
      </c>
      <c r="D406" t="s">
        <v>77</v>
      </c>
      <c r="E406" t="s">
        <v>77</v>
      </c>
      <c r="F406">
        <v>100</v>
      </c>
      <c r="G406">
        <v>1</v>
      </c>
      <c r="H406" t="s">
        <v>91</v>
      </c>
      <c r="J406">
        <f>1/5</f>
        <v>0.2</v>
      </c>
      <c r="R406" t="s">
        <v>84</v>
      </c>
      <c r="S406" s="5"/>
      <c r="T406" s="5"/>
      <c r="U406" s="5"/>
      <c r="V406" s="5"/>
      <c r="W406" s="5"/>
      <c r="X406" s="5"/>
      <c r="Y406" s="5"/>
      <c r="Z406" s="5"/>
      <c r="AA406" s="5"/>
      <c r="AB406" s="5"/>
      <c r="AC406" s="5"/>
      <c r="AD406" s="5"/>
      <c r="AE406" s="5"/>
      <c r="AF406" s="5"/>
      <c r="AG406" s="5"/>
      <c r="AH406" s="5"/>
      <c r="AI406" s="5"/>
      <c r="AJ406" s="5"/>
      <c r="AK406" s="5"/>
      <c r="AL406" s="5"/>
      <c r="AM406" s="5"/>
      <c r="AN406" s="5"/>
      <c r="BC406">
        <v>1.36</v>
      </c>
      <c r="BD406">
        <v>0.33</v>
      </c>
      <c r="BO406" s="17">
        <v>5000</v>
      </c>
      <c r="BP406" t="s">
        <v>82</v>
      </c>
      <c r="BQ406" t="s">
        <v>83</v>
      </c>
      <c r="BR406">
        <v>25</v>
      </c>
      <c r="BS406">
        <v>48</v>
      </c>
      <c r="BT406" t="s">
        <v>125</v>
      </c>
      <c r="BV406" t="s">
        <v>359</v>
      </c>
      <c r="BW406" t="s">
        <v>684</v>
      </c>
    </row>
    <row r="407" spans="1:75" x14ac:dyDescent="0.75">
      <c r="B407" t="s">
        <v>426</v>
      </c>
      <c r="C407" t="s">
        <v>300</v>
      </c>
      <c r="D407" t="s">
        <v>77</v>
      </c>
      <c r="E407" t="s">
        <v>77</v>
      </c>
      <c r="F407">
        <v>100</v>
      </c>
      <c r="G407">
        <v>1</v>
      </c>
      <c r="H407" t="s">
        <v>91</v>
      </c>
      <c r="J407">
        <f>1/6</f>
        <v>0.16666666666666666</v>
      </c>
      <c r="R407" t="s">
        <v>84</v>
      </c>
      <c r="S407" s="5"/>
      <c r="T407" s="5"/>
      <c r="U407" s="5"/>
      <c r="V407" s="5"/>
      <c r="W407" s="5"/>
      <c r="X407" s="5"/>
      <c r="Y407" s="5"/>
      <c r="Z407" s="5"/>
      <c r="AA407" s="5"/>
      <c r="AB407" s="5"/>
      <c r="AC407" s="5"/>
      <c r="AD407" s="5"/>
      <c r="AE407" s="5"/>
      <c r="AF407" s="5"/>
      <c r="AG407" s="5"/>
      <c r="AH407" s="5"/>
      <c r="AI407" s="5"/>
      <c r="AJ407" s="5"/>
      <c r="AK407" s="5"/>
      <c r="AL407" s="5"/>
      <c r="AM407" s="5"/>
      <c r="AN407" s="5"/>
      <c r="BC407">
        <v>1.27</v>
      </c>
      <c r="BD407">
        <v>0.35</v>
      </c>
      <c r="BO407" s="17">
        <v>5000</v>
      </c>
      <c r="BP407" t="s">
        <v>82</v>
      </c>
      <c r="BQ407" t="s">
        <v>83</v>
      </c>
      <c r="BR407">
        <v>25</v>
      </c>
      <c r="BS407">
        <v>48</v>
      </c>
      <c r="BT407" t="s">
        <v>125</v>
      </c>
      <c r="BV407" t="s">
        <v>359</v>
      </c>
      <c r="BW407" t="s">
        <v>684</v>
      </c>
    </row>
    <row r="408" spans="1:75" x14ac:dyDescent="0.75">
      <c r="B408" t="s">
        <v>426</v>
      </c>
      <c r="C408" t="s">
        <v>300</v>
      </c>
      <c r="D408" t="s">
        <v>77</v>
      </c>
      <c r="E408" t="s">
        <v>77</v>
      </c>
      <c r="F408">
        <v>100</v>
      </c>
      <c r="G408">
        <v>1</v>
      </c>
      <c r="H408" t="s">
        <v>91</v>
      </c>
      <c r="J408">
        <f>1/8</f>
        <v>0.125</v>
      </c>
      <c r="R408" t="s">
        <v>84</v>
      </c>
      <c r="S408" s="5"/>
      <c r="T408" s="5"/>
      <c r="U408" s="5"/>
      <c r="V408" s="5"/>
      <c r="W408" s="5"/>
      <c r="X408" s="5"/>
      <c r="Y408" s="5"/>
      <c r="Z408" s="5"/>
      <c r="AA408" s="5">
        <v>1.8870528624161681E-7</v>
      </c>
      <c r="AB408" s="5">
        <v>4.0044655473010959E-7</v>
      </c>
      <c r="AC408" s="5">
        <v>8.3022026241386679E-7</v>
      </c>
      <c r="AD408" s="5"/>
      <c r="AE408" s="5">
        <v>3.3417718084166277E-6</v>
      </c>
      <c r="AF408" s="5">
        <v>7.6828503623075508E-6</v>
      </c>
      <c r="AG408" s="5">
        <v>9.9689598880384493E-6</v>
      </c>
      <c r="AH408" s="5">
        <v>1.2838903470146799E-5</v>
      </c>
      <c r="AI408" s="5">
        <v>1.64170320926699E-5</v>
      </c>
      <c r="AJ408" s="5">
        <v>2.08487633285203E-5</v>
      </c>
      <c r="AK408" s="5">
        <v>2.6303165865303201E-5</v>
      </c>
      <c r="AL408" s="5">
        <v>4.1091237806119398E-5</v>
      </c>
      <c r="AM408" s="5">
        <v>6.2715855516536599E-5</v>
      </c>
      <c r="AN408" s="5">
        <v>1.13638217961108E-4</v>
      </c>
      <c r="AV408">
        <v>14111</v>
      </c>
      <c r="AW408">
        <v>6229</v>
      </c>
      <c r="AX408">
        <v>-273.14999999999998</v>
      </c>
      <c r="AY408">
        <v>64</v>
      </c>
      <c r="BC408">
        <v>1.26</v>
      </c>
      <c r="BD408">
        <v>0.33</v>
      </c>
      <c r="BE408">
        <v>1.29</v>
      </c>
      <c r="BF408" s="5">
        <v>120000000000000</v>
      </c>
      <c r="BG408">
        <v>0.52</v>
      </c>
      <c r="BH408">
        <v>411</v>
      </c>
      <c r="BI408" t="s">
        <v>363</v>
      </c>
      <c r="BO408" s="17">
        <v>5000</v>
      </c>
      <c r="BP408" t="s">
        <v>82</v>
      </c>
      <c r="BQ408" t="s">
        <v>83</v>
      </c>
      <c r="BR408">
        <v>25</v>
      </c>
      <c r="BS408">
        <v>48</v>
      </c>
      <c r="BT408" t="s">
        <v>125</v>
      </c>
      <c r="BV408" t="s">
        <v>359</v>
      </c>
      <c r="BW408" t="s">
        <v>684</v>
      </c>
    </row>
    <row r="409" spans="1:75" x14ac:dyDescent="0.75">
      <c r="B409" t="s">
        <v>426</v>
      </c>
      <c r="C409" t="s">
        <v>300</v>
      </c>
      <c r="D409" t="s">
        <v>77</v>
      </c>
      <c r="E409" t="s">
        <v>77</v>
      </c>
      <c r="F409">
        <v>100</v>
      </c>
      <c r="G409">
        <v>1</v>
      </c>
      <c r="H409" t="s">
        <v>91</v>
      </c>
      <c r="J409">
        <f>1/12</f>
        <v>8.3333333333333329E-2</v>
      </c>
      <c r="R409" t="s">
        <v>84</v>
      </c>
      <c r="S409" s="5"/>
      <c r="T409" s="5"/>
      <c r="U409" s="5"/>
      <c r="V409" s="5"/>
      <c r="W409" s="5"/>
      <c r="X409" s="5"/>
      <c r="Y409" s="5"/>
      <c r="Z409" s="5"/>
      <c r="AA409" s="5"/>
      <c r="AB409" s="5"/>
      <c r="AC409" s="5"/>
      <c r="AD409" s="5"/>
      <c r="AE409" s="5"/>
      <c r="AF409" s="5"/>
      <c r="AG409" s="5"/>
      <c r="AH409" s="5"/>
      <c r="AI409" s="5"/>
      <c r="AJ409" s="5"/>
      <c r="AK409" s="5"/>
      <c r="AL409" s="5"/>
      <c r="AM409" s="5"/>
      <c r="AN409" s="5"/>
      <c r="BC409">
        <v>0.94</v>
      </c>
      <c r="BD409">
        <v>0.28999999999999998</v>
      </c>
      <c r="BO409" s="17">
        <v>5000</v>
      </c>
      <c r="BP409" t="s">
        <v>82</v>
      </c>
      <c r="BQ409" t="s">
        <v>83</v>
      </c>
      <c r="BR409">
        <v>25</v>
      </c>
      <c r="BS409">
        <v>48</v>
      </c>
      <c r="BT409" t="s">
        <v>125</v>
      </c>
      <c r="BV409" t="s">
        <v>359</v>
      </c>
      <c r="BW409" t="s">
        <v>684</v>
      </c>
    </row>
    <row r="410" spans="1:75" x14ac:dyDescent="0.75">
      <c r="B410" t="s">
        <v>426</v>
      </c>
      <c r="C410" t="s">
        <v>300</v>
      </c>
      <c r="D410" t="s">
        <v>77</v>
      </c>
      <c r="E410" t="s">
        <v>77</v>
      </c>
      <c r="F410">
        <v>100</v>
      </c>
      <c r="G410">
        <v>1</v>
      </c>
      <c r="H410" t="s">
        <v>91</v>
      </c>
      <c r="J410">
        <f>1/16</f>
        <v>6.25E-2</v>
      </c>
      <c r="R410" t="s">
        <v>84</v>
      </c>
      <c r="S410" s="5"/>
      <c r="T410" s="5"/>
      <c r="U410" s="5"/>
      <c r="V410" s="5"/>
      <c r="W410" s="5"/>
      <c r="X410" s="5"/>
      <c r="Y410" s="5"/>
      <c r="Z410" s="5"/>
      <c r="AA410" s="5">
        <v>1.1067831023273353E-6</v>
      </c>
      <c r="AB410" s="5">
        <v>2.2726107881956068E-6</v>
      </c>
      <c r="AC410" s="5">
        <v>4.5637131091778422E-6</v>
      </c>
      <c r="AD410" s="5"/>
      <c r="AE410" s="5">
        <v>1.7283770349335483E-5</v>
      </c>
      <c r="AF410" s="5"/>
      <c r="AG410" s="5">
        <v>5.5225922631146261E-5</v>
      </c>
      <c r="AH410" s="5"/>
      <c r="AI410" s="5">
        <v>8.449677748035825E-5</v>
      </c>
      <c r="AJ410" s="5">
        <v>1.0359075439412585E-4</v>
      </c>
      <c r="AK410" s="5">
        <v>1.2628895313887889E-4</v>
      </c>
      <c r="AL410" s="5">
        <v>1.8472957090489851E-4</v>
      </c>
      <c r="AM410" s="5">
        <v>2.6490230411440859E-4</v>
      </c>
      <c r="AN410" s="5">
        <v>4.39708655780371E-4</v>
      </c>
      <c r="AV410">
        <v>5832</v>
      </c>
      <c r="AW410">
        <v>5338</v>
      </c>
      <c r="AX410">
        <v>-273.14999999999998</v>
      </c>
      <c r="AY410">
        <v>66</v>
      </c>
      <c r="BC410">
        <v>1.04</v>
      </c>
      <c r="BD410">
        <v>0.28000000000000003</v>
      </c>
      <c r="BE410">
        <v>1.24</v>
      </c>
      <c r="BF410" s="5">
        <v>84000000000000</v>
      </c>
      <c r="BG410">
        <v>0.44</v>
      </c>
      <c r="BH410">
        <v>184</v>
      </c>
      <c r="BI410" t="s">
        <v>364</v>
      </c>
      <c r="BO410" s="17">
        <v>5000</v>
      </c>
      <c r="BP410" t="s">
        <v>82</v>
      </c>
      <c r="BQ410" t="s">
        <v>83</v>
      </c>
      <c r="BR410">
        <v>25</v>
      </c>
      <c r="BS410">
        <v>48</v>
      </c>
      <c r="BT410" t="s">
        <v>125</v>
      </c>
      <c r="BV410" t="s">
        <v>359</v>
      </c>
      <c r="BW410" t="s">
        <v>684</v>
      </c>
    </row>
    <row r="411" spans="1:75" x14ac:dyDescent="0.75">
      <c r="A411" s="1"/>
      <c r="B411" t="s">
        <v>426</v>
      </c>
      <c r="C411" s="1" t="s">
        <v>300</v>
      </c>
      <c r="D411" t="s">
        <v>77</v>
      </c>
      <c r="E411" t="s">
        <v>77</v>
      </c>
      <c r="F411">
        <v>100</v>
      </c>
      <c r="G411">
        <v>1</v>
      </c>
      <c r="H411" s="1" t="s">
        <v>91</v>
      </c>
      <c r="I411" s="1"/>
      <c r="J411" s="1">
        <f>1/20</f>
        <v>0.05</v>
      </c>
      <c r="K411" s="1"/>
      <c r="L411" s="1"/>
      <c r="M411" s="1"/>
      <c r="N411" s="1"/>
      <c r="O411" s="1"/>
      <c r="P411" s="1"/>
      <c r="Q411" s="1"/>
      <c r="R411" t="s">
        <v>84</v>
      </c>
      <c r="S411" s="3"/>
      <c r="T411" s="3"/>
      <c r="U411" s="3"/>
      <c r="V411" s="3"/>
      <c r="W411" s="3"/>
      <c r="X411" s="3"/>
      <c r="Y411" s="3"/>
      <c r="Z411" s="3"/>
      <c r="AA411" s="3">
        <v>7.0892475899006687E-7</v>
      </c>
      <c r="AB411" s="3">
        <v>1.3622933129818481E-6</v>
      </c>
      <c r="AC411" s="3">
        <v>2.565445625365179E-6</v>
      </c>
      <c r="AD411" s="3"/>
      <c r="AE411" s="3">
        <v>8.5939590765865546E-6</v>
      </c>
      <c r="AF411" s="3"/>
      <c r="AG411" s="3">
        <v>2.6830150523446445E-5</v>
      </c>
      <c r="AH411" s="3"/>
      <c r="AI411" s="3">
        <v>2.7111571093320222E-5</v>
      </c>
      <c r="AJ411" s="3">
        <v>3.2448944417932223E-5</v>
      </c>
      <c r="AK411" s="3">
        <v>3.8645357154820387E-5</v>
      </c>
      <c r="AL411" s="3">
        <v>5.4049164679625341E-5</v>
      </c>
      <c r="AM411" s="3">
        <v>7.4280651852594079E-5</v>
      </c>
      <c r="AN411" s="3">
        <v>1.161448625361864E-4</v>
      </c>
      <c r="AO411" s="1"/>
      <c r="AP411" s="1"/>
      <c r="AQ411" s="1"/>
      <c r="AR411" s="1"/>
      <c r="AS411" s="1"/>
      <c r="AT411" s="1"/>
      <c r="AU411" s="1"/>
      <c r="AV411" s="1">
        <v>20</v>
      </c>
      <c r="AW411" s="1">
        <v>3656</v>
      </c>
      <c r="AX411" s="1">
        <v>-273.14999999999998</v>
      </c>
      <c r="AY411" s="1">
        <v>65</v>
      </c>
      <c r="AZ411" s="1"/>
      <c r="BA411" s="1"/>
      <c r="BB411" s="1"/>
      <c r="BC411" s="1"/>
      <c r="BD411" s="1"/>
      <c r="BE411" s="1">
        <v>1</v>
      </c>
      <c r="BF411" s="3">
        <v>49000000000</v>
      </c>
      <c r="BG411" s="1">
        <v>0.3</v>
      </c>
      <c r="BH411" s="1">
        <v>0.63</v>
      </c>
      <c r="BI411" s="1" t="s">
        <v>363</v>
      </c>
      <c r="BJ411" s="1"/>
      <c r="BK411" s="1"/>
      <c r="BL411" s="1"/>
      <c r="BM411" s="1"/>
      <c r="BN411" s="1"/>
      <c r="BO411" s="19">
        <v>5000</v>
      </c>
      <c r="BP411" s="1" t="s">
        <v>82</v>
      </c>
      <c r="BQ411" s="1" t="s">
        <v>83</v>
      </c>
      <c r="BR411" s="1">
        <v>25</v>
      </c>
      <c r="BS411" s="1">
        <v>48</v>
      </c>
      <c r="BT411" t="s">
        <v>125</v>
      </c>
      <c r="BU411" s="1"/>
      <c r="BV411" t="s">
        <v>359</v>
      </c>
      <c r="BW411" t="s">
        <v>684</v>
      </c>
    </row>
    <row r="412" spans="1:75" x14ac:dyDescent="0.75">
      <c r="A412" t="s">
        <v>365</v>
      </c>
      <c r="B412" t="s">
        <v>426</v>
      </c>
      <c r="C412" t="s">
        <v>300</v>
      </c>
      <c r="D412" t="s">
        <v>77</v>
      </c>
      <c r="E412" t="s">
        <v>77</v>
      </c>
      <c r="F412">
        <v>100</v>
      </c>
      <c r="G412">
        <v>1</v>
      </c>
      <c r="H412" t="s">
        <v>89</v>
      </c>
      <c r="J412">
        <f>1/20</f>
        <v>0.05</v>
      </c>
      <c r="R412" t="s">
        <v>84</v>
      </c>
      <c r="S412" s="5"/>
      <c r="T412" s="5"/>
      <c r="U412" s="5">
        <v>3.2982345417245335E-9</v>
      </c>
      <c r="V412" s="5"/>
      <c r="W412" s="5">
        <v>5.1277563827823197E-9</v>
      </c>
      <c r="X412" s="5"/>
      <c r="Y412" s="5">
        <v>7.2163584738062754E-9</v>
      </c>
      <c r="Z412" s="5">
        <v>1.12645336234287E-8</v>
      </c>
      <c r="AA412" s="5">
        <v>1.5989656074054766E-8</v>
      </c>
      <c r="AB412" s="5">
        <v>2.2054794393904601E-8</v>
      </c>
      <c r="AC412" s="5">
        <v>3.0065065699451845E-8</v>
      </c>
      <c r="AD412" s="5">
        <v>3.9391094976727703E-8</v>
      </c>
      <c r="AE412" s="5">
        <v>5.1098659406680053E-8</v>
      </c>
      <c r="AF412" s="5">
        <v>6.5306348502498995E-8</v>
      </c>
      <c r="AG412" s="5">
        <v>8.0510049082515319E-8</v>
      </c>
      <c r="AH412" s="5"/>
      <c r="AI412" s="5"/>
      <c r="AJ412" s="5"/>
      <c r="AK412" s="5"/>
      <c r="AL412" s="5"/>
      <c r="AM412" s="5"/>
      <c r="AN412" s="5"/>
      <c r="AO412">
        <v>0.32</v>
      </c>
      <c r="AP412">
        <v>70</v>
      </c>
      <c r="AQ412" t="s">
        <v>366</v>
      </c>
      <c r="AV412">
        <v>3.0000000000000001E-3</v>
      </c>
      <c r="AW412">
        <v>1233</v>
      </c>
      <c r="AX412">
        <v>-94</v>
      </c>
      <c r="AY412">
        <v>20</v>
      </c>
      <c r="BG412">
        <v>0.56000000000000005</v>
      </c>
      <c r="BH412">
        <v>13.8</v>
      </c>
      <c r="BI412" t="s">
        <v>81</v>
      </c>
      <c r="BO412" s="17">
        <v>4000</v>
      </c>
      <c r="BP412" t="s">
        <v>82</v>
      </c>
      <c r="BQ412" t="s">
        <v>83</v>
      </c>
      <c r="BR412">
        <v>60</v>
      </c>
      <c r="BS412">
        <v>48</v>
      </c>
      <c r="BT412" t="s">
        <v>84</v>
      </c>
      <c r="BV412" t="s">
        <v>367</v>
      </c>
      <c r="BW412" t="s">
        <v>685</v>
      </c>
    </row>
    <row r="413" spans="1:75" x14ac:dyDescent="0.75">
      <c r="A413" s="1" t="s">
        <v>368</v>
      </c>
      <c r="B413" t="s">
        <v>426</v>
      </c>
      <c r="C413" s="1" t="s">
        <v>300</v>
      </c>
      <c r="D413" t="s">
        <v>77</v>
      </c>
      <c r="E413" t="s">
        <v>77</v>
      </c>
      <c r="F413">
        <v>100</v>
      </c>
      <c r="G413">
        <v>1</v>
      </c>
      <c r="H413" s="1" t="s">
        <v>89</v>
      </c>
      <c r="I413" s="1"/>
      <c r="J413" s="1">
        <f>1/100</f>
        <v>0.01</v>
      </c>
      <c r="K413" s="1"/>
      <c r="L413" s="1"/>
      <c r="M413" s="1"/>
      <c r="N413" s="1"/>
      <c r="O413" s="1"/>
      <c r="P413" s="1"/>
      <c r="Q413" s="1"/>
      <c r="R413" t="s">
        <v>84</v>
      </c>
      <c r="S413" s="3"/>
      <c r="T413" s="3"/>
      <c r="U413" s="3">
        <v>2.9192082805512114E-10</v>
      </c>
      <c r="V413" s="3"/>
      <c r="W413" s="3">
        <v>4.13281464959363E-10</v>
      </c>
      <c r="X413" s="3"/>
      <c r="Y413" s="3">
        <v>5.3520380900587282E-10</v>
      </c>
      <c r="Z413" s="3">
        <v>7.41444258596505E-10</v>
      </c>
      <c r="AA413" s="3">
        <v>9.8123562845028662E-10</v>
      </c>
      <c r="AB413" s="3">
        <v>1.1923470818647899E-9</v>
      </c>
      <c r="AC413" s="3">
        <v>1.4332010900278109E-9</v>
      </c>
      <c r="AD413" s="3">
        <v>1.76686719228212E-9</v>
      </c>
      <c r="AE413" s="3">
        <v>2.0933456805894595E-9</v>
      </c>
      <c r="AF413" s="3">
        <v>2.4589971559776801E-9</v>
      </c>
      <c r="AG413" s="3">
        <v>2.8344448239120795E-9</v>
      </c>
      <c r="AH413" s="3"/>
      <c r="AI413" s="3"/>
      <c r="AJ413" s="3"/>
      <c r="AK413" s="3"/>
      <c r="AL413" s="3"/>
      <c r="AM413" s="3"/>
      <c r="AN413" s="3"/>
      <c r="AO413" s="1">
        <v>0.36</v>
      </c>
      <c r="AP413" s="1">
        <v>90</v>
      </c>
      <c r="AQ413" s="1" t="s">
        <v>293</v>
      </c>
      <c r="AR413" s="1"/>
      <c r="AS413" s="1"/>
      <c r="AT413" s="1"/>
      <c r="AU413" s="1"/>
      <c r="AV413" s="3">
        <v>3.0000000000000001E-6</v>
      </c>
      <c r="AW413" s="1">
        <v>533</v>
      </c>
      <c r="AX413" s="1">
        <v>-65</v>
      </c>
      <c r="AY413" s="1">
        <v>20</v>
      </c>
      <c r="AZ413" s="1"/>
      <c r="BA413" s="1"/>
      <c r="BB413" s="1"/>
      <c r="BC413" s="1"/>
      <c r="BD413" s="1"/>
      <c r="BE413" s="1"/>
      <c r="BF413" s="1"/>
      <c r="BG413" s="1">
        <v>0.39</v>
      </c>
      <c r="BH413" s="1">
        <v>2E-3</v>
      </c>
      <c r="BI413" s="1" t="s">
        <v>81</v>
      </c>
      <c r="BJ413" s="3">
        <v>1.9999999999999999E-7</v>
      </c>
      <c r="BK413" s="1">
        <v>90</v>
      </c>
      <c r="BL413" s="1"/>
      <c r="BM413" s="1"/>
      <c r="BN413" s="1"/>
      <c r="BO413" s="19">
        <v>4000</v>
      </c>
      <c r="BP413" s="1" t="s">
        <v>82</v>
      </c>
      <c r="BQ413" s="1" t="s">
        <v>83</v>
      </c>
      <c r="BR413" s="1">
        <v>60</v>
      </c>
      <c r="BS413" s="1">
        <v>48</v>
      </c>
      <c r="BT413" s="1" t="s">
        <v>84</v>
      </c>
      <c r="BU413" s="1"/>
      <c r="BV413" t="s">
        <v>367</v>
      </c>
      <c r="BW413" t="s">
        <v>685</v>
      </c>
    </row>
    <row r="414" spans="1:75" x14ac:dyDescent="0.75">
      <c r="A414" t="s">
        <v>369</v>
      </c>
      <c r="B414" t="s">
        <v>426</v>
      </c>
      <c r="C414" t="s">
        <v>300</v>
      </c>
      <c r="D414" t="s">
        <v>77</v>
      </c>
      <c r="E414" t="s">
        <v>77</v>
      </c>
      <c r="F414">
        <v>100</v>
      </c>
      <c r="G414">
        <v>1</v>
      </c>
      <c r="H414" t="s">
        <v>78</v>
      </c>
      <c r="J414">
        <f>1/5</f>
        <v>0.2</v>
      </c>
      <c r="R414" t="s">
        <v>84</v>
      </c>
      <c r="S414" s="5"/>
      <c r="T414" s="5"/>
      <c r="U414" s="5"/>
      <c r="V414" s="5"/>
      <c r="W414" s="5"/>
      <c r="X414" s="5"/>
      <c r="Y414" s="5"/>
      <c r="Z414" s="5"/>
      <c r="AA414" s="5"/>
      <c r="AB414" s="5"/>
      <c r="AC414" s="5"/>
      <c r="AD414" s="5"/>
      <c r="AE414" s="5"/>
      <c r="AF414" s="5"/>
      <c r="AG414" s="5"/>
      <c r="AH414" s="5"/>
      <c r="AI414" s="5"/>
      <c r="AJ414" s="5"/>
      <c r="AK414" s="5"/>
      <c r="AL414" s="5"/>
      <c r="AM414" s="5"/>
      <c r="AN414" s="5"/>
      <c r="AO414">
        <v>0.15742319748081401</v>
      </c>
      <c r="AP414">
        <v>85</v>
      </c>
      <c r="AQ414" t="s">
        <v>293</v>
      </c>
      <c r="BJ414">
        <v>8.3338807167059991E-11</v>
      </c>
      <c r="BK414">
        <v>85</v>
      </c>
      <c r="BO414" s="17">
        <v>5000</v>
      </c>
      <c r="BP414" t="s">
        <v>82</v>
      </c>
      <c r="BQ414" t="s">
        <v>83</v>
      </c>
      <c r="BR414">
        <v>25</v>
      </c>
      <c r="BS414">
        <v>48</v>
      </c>
      <c r="BT414" t="s">
        <v>149</v>
      </c>
      <c r="BV414" t="s">
        <v>370</v>
      </c>
      <c r="BW414" t="s">
        <v>686</v>
      </c>
    </row>
    <row r="415" spans="1:75" x14ac:dyDescent="0.75">
      <c r="B415" t="s">
        <v>426</v>
      </c>
      <c r="C415" t="s">
        <v>300</v>
      </c>
      <c r="D415" t="s">
        <v>77</v>
      </c>
      <c r="E415" t="s">
        <v>77</v>
      </c>
      <c r="F415">
        <v>100</v>
      </c>
      <c r="G415">
        <v>1</v>
      </c>
      <c r="H415" t="s">
        <v>78</v>
      </c>
      <c r="J415">
        <f>1/8</f>
        <v>0.125</v>
      </c>
      <c r="R415" t="s">
        <v>84</v>
      </c>
      <c r="S415" s="5"/>
      <c r="T415" s="5"/>
      <c r="U415" s="5"/>
      <c r="V415" s="5"/>
      <c r="W415" s="5"/>
      <c r="X415" s="5"/>
      <c r="Y415" s="5"/>
      <c r="Z415" s="5"/>
      <c r="AA415" s="5"/>
      <c r="AB415" s="5"/>
      <c r="AC415" s="5"/>
      <c r="AD415" s="5"/>
      <c r="AE415" s="5"/>
      <c r="AF415" s="5"/>
      <c r="AG415" s="5"/>
      <c r="AH415" s="5"/>
      <c r="AI415" s="5"/>
      <c r="AJ415" s="5"/>
      <c r="AK415" s="5"/>
      <c r="AL415" s="5"/>
      <c r="AM415" s="5"/>
      <c r="AN415" s="5"/>
      <c r="AO415">
        <v>0.11940531995226727</v>
      </c>
      <c r="AP415">
        <v>85</v>
      </c>
      <c r="BJ415">
        <v>1.3166681151251867E-10</v>
      </c>
      <c r="BK415">
        <v>85</v>
      </c>
      <c r="BO415" s="17">
        <v>5000</v>
      </c>
      <c r="BP415" t="s">
        <v>82</v>
      </c>
      <c r="BQ415" t="s">
        <v>83</v>
      </c>
      <c r="BR415">
        <v>25</v>
      </c>
      <c r="BS415">
        <v>48</v>
      </c>
      <c r="BT415" t="s">
        <v>149</v>
      </c>
      <c r="BV415" t="s">
        <v>370</v>
      </c>
      <c r="BW415" t="s">
        <v>686</v>
      </c>
    </row>
    <row r="416" spans="1:75" x14ac:dyDescent="0.75">
      <c r="B416" t="s">
        <v>426</v>
      </c>
      <c r="C416" t="s">
        <v>300</v>
      </c>
      <c r="D416" t="s">
        <v>77</v>
      </c>
      <c r="E416" t="s">
        <v>77</v>
      </c>
      <c r="F416">
        <v>100</v>
      </c>
      <c r="G416">
        <v>1</v>
      </c>
      <c r="H416" t="s">
        <v>78</v>
      </c>
      <c r="J416">
        <f>1/12</f>
        <v>8.3333333333333329E-2</v>
      </c>
      <c r="R416" t="s">
        <v>84</v>
      </c>
      <c r="S416" s="5"/>
      <c r="T416" s="5"/>
      <c r="U416" s="5"/>
      <c r="V416" s="5"/>
      <c r="W416" s="5"/>
      <c r="X416" s="5"/>
      <c r="Y416" s="5"/>
      <c r="Z416" s="5"/>
      <c r="AA416" s="5"/>
      <c r="AB416" s="5"/>
      <c r="AC416" s="5"/>
      <c r="AD416" s="5"/>
      <c r="AE416" s="5"/>
      <c r="AF416" s="5"/>
      <c r="AG416" s="5"/>
      <c r="AH416" s="5"/>
      <c r="AI416" s="5"/>
      <c r="AJ416" s="5"/>
      <c r="AK416" s="5"/>
      <c r="AL416" s="5"/>
      <c r="AM416" s="5"/>
      <c r="AN416" s="5"/>
      <c r="AO416">
        <v>0.14641423379491691</v>
      </c>
      <c r="AP416">
        <v>85</v>
      </c>
      <c r="BJ416">
        <v>2.8368314718326195E-10</v>
      </c>
      <c r="BK416">
        <v>85</v>
      </c>
      <c r="BO416" s="17">
        <v>5000</v>
      </c>
      <c r="BP416" t="s">
        <v>82</v>
      </c>
      <c r="BQ416" t="s">
        <v>83</v>
      </c>
      <c r="BR416">
        <v>25</v>
      </c>
      <c r="BS416">
        <v>48</v>
      </c>
      <c r="BT416" t="s">
        <v>149</v>
      </c>
      <c r="BV416" t="s">
        <v>370</v>
      </c>
      <c r="BW416" t="s">
        <v>686</v>
      </c>
    </row>
    <row r="417" spans="1:75" x14ac:dyDescent="0.75">
      <c r="B417" t="s">
        <v>426</v>
      </c>
      <c r="C417" t="s">
        <v>300</v>
      </c>
      <c r="D417" t="s">
        <v>77</v>
      </c>
      <c r="E417" t="s">
        <v>77</v>
      </c>
      <c r="F417">
        <v>100</v>
      </c>
      <c r="G417">
        <v>1</v>
      </c>
      <c r="H417" t="s">
        <v>78</v>
      </c>
      <c r="J417">
        <f>1/16</f>
        <v>6.25E-2</v>
      </c>
      <c r="R417" t="s">
        <v>84</v>
      </c>
      <c r="S417" s="5"/>
      <c r="T417" s="5"/>
      <c r="U417" s="5"/>
      <c r="V417" s="5"/>
      <c r="W417" s="5"/>
      <c r="X417" s="5"/>
      <c r="Y417" s="5"/>
      <c r="Z417" s="5"/>
      <c r="AA417" s="5"/>
      <c r="AB417" s="5"/>
      <c r="AC417" s="5"/>
      <c r="AD417" s="5"/>
      <c r="AE417" s="5"/>
      <c r="AF417" s="5"/>
      <c r="AG417" s="5"/>
      <c r="AH417" s="5"/>
      <c r="AI417" s="5"/>
      <c r="AJ417" s="5"/>
      <c r="AK417" s="5"/>
      <c r="AL417" s="5"/>
      <c r="AM417" s="5"/>
      <c r="AN417" s="5"/>
      <c r="AO417">
        <v>0.16028061754820921</v>
      </c>
      <c r="AP417">
        <v>85</v>
      </c>
      <c r="BJ417">
        <v>4.3448154283863045E-10</v>
      </c>
      <c r="BK417">
        <v>85</v>
      </c>
      <c r="BO417" s="17">
        <v>5000</v>
      </c>
      <c r="BP417" t="s">
        <v>82</v>
      </c>
      <c r="BQ417" t="s">
        <v>83</v>
      </c>
      <c r="BR417">
        <v>25</v>
      </c>
      <c r="BS417">
        <v>48</v>
      </c>
      <c r="BT417" t="s">
        <v>149</v>
      </c>
      <c r="BV417" t="s">
        <v>370</v>
      </c>
      <c r="BW417" t="s">
        <v>686</v>
      </c>
    </row>
    <row r="418" spans="1:75" x14ac:dyDescent="0.75">
      <c r="B418" t="s">
        <v>426</v>
      </c>
      <c r="C418" t="s">
        <v>300</v>
      </c>
      <c r="D418" t="s">
        <v>77</v>
      </c>
      <c r="E418" t="s">
        <v>77</v>
      </c>
      <c r="F418">
        <v>100</v>
      </c>
      <c r="G418">
        <v>1</v>
      </c>
      <c r="H418" t="s">
        <v>78</v>
      </c>
      <c r="J418">
        <f>1/20</f>
        <v>0.05</v>
      </c>
      <c r="R418" t="s">
        <v>84</v>
      </c>
      <c r="S418" s="5"/>
      <c r="T418" s="5"/>
      <c r="U418" s="5"/>
      <c r="V418" s="5"/>
      <c r="W418" s="5"/>
      <c r="X418" s="5"/>
      <c r="Y418" s="5"/>
      <c r="Z418" s="5"/>
      <c r="AA418" s="5"/>
      <c r="AB418" s="5"/>
      <c r="AC418" s="5"/>
      <c r="AD418" s="5"/>
      <c r="AE418" s="5"/>
      <c r="AF418" s="5"/>
      <c r="AG418" s="5"/>
      <c r="AH418" s="5"/>
      <c r="AI418" s="5"/>
      <c r="AJ418" s="5"/>
      <c r="AK418" s="5"/>
      <c r="AL418" s="5"/>
      <c r="AM418" s="5"/>
      <c r="AN418" s="5"/>
      <c r="AO418">
        <v>0.15884564608016666</v>
      </c>
      <c r="AP418">
        <v>85</v>
      </c>
      <c r="BJ418">
        <v>4.6785668195046394E-10</v>
      </c>
      <c r="BK418">
        <v>85</v>
      </c>
      <c r="BO418" s="17">
        <v>5000</v>
      </c>
      <c r="BP418" t="s">
        <v>82</v>
      </c>
      <c r="BQ418" t="s">
        <v>83</v>
      </c>
      <c r="BR418">
        <v>25</v>
      </c>
      <c r="BS418">
        <v>48</v>
      </c>
      <c r="BT418" t="s">
        <v>149</v>
      </c>
      <c r="BV418" t="s">
        <v>370</v>
      </c>
      <c r="BW418" t="s">
        <v>686</v>
      </c>
    </row>
    <row r="419" spans="1:75" x14ac:dyDescent="0.75">
      <c r="B419" t="s">
        <v>426</v>
      </c>
      <c r="C419" t="s">
        <v>300</v>
      </c>
      <c r="D419" t="s">
        <v>77</v>
      </c>
      <c r="E419" t="s">
        <v>77</v>
      </c>
      <c r="F419">
        <v>100</v>
      </c>
      <c r="G419">
        <v>1</v>
      </c>
      <c r="H419" t="s">
        <v>78</v>
      </c>
      <c r="J419">
        <f>1/30</f>
        <v>3.3333333333333333E-2</v>
      </c>
      <c r="R419" t="s">
        <v>84</v>
      </c>
      <c r="S419" s="5"/>
      <c r="T419" s="5"/>
      <c r="U419" s="5"/>
      <c r="V419" s="5"/>
      <c r="W419" s="5"/>
      <c r="X419" s="5"/>
      <c r="Y419" s="5"/>
      <c r="Z419" s="5"/>
      <c r="AA419" s="5"/>
      <c r="AB419" s="5"/>
      <c r="AC419" s="5"/>
      <c r="AD419" s="5"/>
      <c r="AE419" s="5"/>
      <c r="AF419" s="5"/>
      <c r="AG419" s="5"/>
      <c r="AH419" s="5"/>
      <c r="AI419" s="5"/>
      <c r="AJ419" s="5"/>
      <c r="AK419" s="5"/>
      <c r="AL419" s="5"/>
      <c r="AM419" s="5"/>
      <c r="AN419" s="5"/>
      <c r="AO419">
        <v>0.17060251487385991</v>
      </c>
      <c r="AP419">
        <v>85</v>
      </c>
      <c r="BJ419">
        <v>6.1694190281223006E-10</v>
      </c>
      <c r="BK419">
        <v>85</v>
      </c>
      <c r="BO419" s="17">
        <v>5000</v>
      </c>
      <c r="BP419" t="s">
        <v>82</v>
      </c>
      <c r="BQ419" t="s">
        <v>83</v>
      </c>
      <c r="BR419">
        <v>25</v>
      </c>
      <c r="BS419">
        <v>48</v>
      </c>
      <c r="BT419" t="s">
        <v>149</v>
      </c>
      <c r="BV419" t="s">
        <v>370</v>
      </c>
      <c r="BW419" t="s">
        <v>686</v>
      </c>
    </row>
    <row r="420" spans="1:75" x14ac:dyDescent="0.75">
      <c r="A420" s="1"/>
      <c r="B420" t="s">
        <v>426</v>
      </c>
      <c r="C420" s="1" t="s">
        <v>300</v>
      </c>
      <c r="D420" t="s">
        <v>77</v>
      </c>
      <c r="E420" t="s">
        <v>77</v>
      </c>
      <c r="F420">
        <v>100</v>
      </c>
      <c r="G420">
        <v>1</v>
      </c>
      <c r="H420" s="1" t="s">
        <v>78</v>
      </c>
      <c r="I420" s="1"/>
      <c r="J420" s="1">
        <f>1/50</f>
        <v>0.02</v>
      </c>
      <c r="K420" s="1"/>
      <c r="L420" s="1"/>
      <c r="M420" s="1"/>
      <c r="N420" s="1"/>
      <c r="O420" s="1"/>
      <c r="P420" s="1"/>
      <c r="Q420" s="1"/>
      <c r="R420" t="s">
        <v>84</v>
      </c>
      <c r="S420" s="3"/>
      <c r="T420" s="3"/>
      <c r="U420" s="3"/>
      <c r="V420" s="3"/>
      <c r="W420" s="3"/>
      <c r="X420" s="3"/>
      <c r="Y420" s="3"/>
      <c r="Z420" s="3"/>
      <c r="AA420" s="3"/>
      <c r="AB420" s="3"/>
      <c r="AC420" s="3"/>
      <c r="AD420" s="3"/>
      <c r="AE420" s="3"/>
      <c r="AF420" s="3"/>
      <c r="AG420" s="3"/>
      <c r="AH420" s="3"/>
      <c r="AI420" s="3"/>
      <c r="AJ420" s="3"/>
      <c r="AK420" s="3"/>
      <c r="AL420" s="3"/>
      <c r="AM420" s="3"/>
      <c r="AN420" s="3"/>
      <c r="AO420" s="1">
        <v>0.17060251487386033</v>
      </c>
      <c r="AP420" s="1">
        <v>85</v>
      </c>
      <c r="AQ420" s="1"/>
      <c r="AR420" s="1"/>
      <c r="AS420" s="1"/>
      <c r="AT420" s="1"/>
      <c r="AU420" s="1"/>
      <c r="AV420" s="1"/>
      <c r="AW420" s="1"/>
      <c r="AX420" s="1"/>
      <c r="AY420" s="1"/>
      <c r="AZ420" s="1"/>
      <c r="BA420" s="1"/>
      <c r="BB420" s="1"/>
      <c r="BC420" s="1"/>
      <c r="BD420" s="1"/>
      <c r="BE420" s="1"/>
      <c r="BF420" s="1"/>
      <c r="BG420" s="1"/>
      <c r="BH420" s="1"/>
      <c r="BI420" s="1"/>
      <c r="BJ420" s="1">
        <v>7.3113761296483837E-10</v>
      </c>
      <c r="BK420" s="1">
        <v>85</v>
      </c>
      <c r="BL420" s="1"/>
      <c r="BM420" s="1"/>
      <c r="BN420" s="1"/>
      <c r="BO420" s="19">
        <v>5000</v>
      </c>
      <c r="BP420" s="1" t="s">
        <v>82</v>
      </c>
      <c r="BQ420" s="1" t="s">
        <v>83</v>
      </c>
      <c r="BR420" s="1">
        <v>25</v>
      </c>
      <c r="BS420" s="1">
        <v>48</v>
      </c>
      <c r="BT420" t="s">
        <v>149</v>
      </c>
      <c r="BU420" s="1"/>
      <c r="BV420" t="s">
        <v>370</v>
      </c>
      <c r="BW420" t="s">
        <v>686</v>
      </c>
    </row>
    <row r="421" spans="1:75" x14ac:dyDescent="0.75">
      <c r="A421" t="s">
        <v>371</v>
      </c>
      <c r="B421" t="s">
        <v>426</v>
      </c>
      <c r="C421" t="s">
        <v>300</v>
      </c>
      <c r="D421" t="s">
        <v>77</v>
      </c>
      <c r="E421" t="s">
        <v>77</v>
      </c>
      <c r="F421">
        <v>100</v>
      </c>
      <c r="G421">
        <v>1</v>
      </c>
      <c r="H421" t="s">
        <v>90</v>
      </c>
      <c r="J421">
        <f>1/64</f>
        <v>1.5625E-2</v>
      </c>
      <c r="R421" t="s">
        <v>84</v>
      </c>
      <c r="S421" s="5"/>
      <c r="T421" s="5"/>
      <c r="U421" s="5"/>
      <c r="V421" s="5"/>
      <c r="W421" s="5"/>
      <c r="X421" s="5"/>
      <c r="Y421" s="5"/>
      <c r="Z421" s="5"/>
      <c r="AA421" s="5"/>
      <c r="AB421" s="5"/>
      <c r="AC421" s="5" t="s">
        <v>372</v>
      </c>
      <c r="AD421" s="5"/>
      <c r="AE421" s="5"/>
      <c r="AF421" s="5"/>
      <c r="AG421" s="5"/>
      <c r="AH421" s="5"/>
      <c r="AI421" s="5"/>
      <c r="AJ421" s="5"/>
      <c r="AK421" s="5"/>
      <c r="AL421" s="5" t="s">
        <v>373</v>
      </c>
      <c r="AM421" s="5"/>
      <c r="AN421" s="5"/>
      <c r="BM421">
        <v>1.02</v>
      </c>
      <c r="BN421" s="17">
        <v>3.9</v>
      </c>
      <c r="BO421" s="17">
        <f>BN421*BM421</f>
        <v>3.9779999999999998</v>
      </c>
      <c r="BP421" t="s">
        <v>82</v>
      </c>
      <c r="BQ421" t="s">
        <v>241</v>
      </c>
      <c r="BR421">
        <v>130</v>
      </c>
      <c r="BT421" t="s">
        <v>149</v>
      </c>
      <c r="BV421" t="s">
        <v>374</v>
      </c>
      <c r="BW421" t="s">
        <v>375</v>
      </c>
    </row>
    <row r="422" spans="1:75" x14ac:dyDescent="0.75">
      <c r="B422" t="s">
        <v>426</v>
      </c>
      <c r="C422" t="s">
        <v>300</v>
      </c>
      <c r="D422" t="s">
        <v>77</v>
      </c>
      <c r="E422" t="s">
        <v>77</v>
      </c>
      <c r="F422">
        <v>100</v>
      </c>
      <c r="G422">
        <v>1</v>
      </c>
      <c r="H422" t="s">
        <v>90</v>
      </c>
      <c r="J422">
        <f>1/32</f>
        <v>3.125E-2</v>
      </c>
      <c r="R422" t="s">
        <v>84</v>
      </c>
      <c r="S422" s="5"/>
      <c r="T422" s="5"/>
      <c r="U422" s="5"/>
      <c r="V422" s="5"/>
      <c r="W422" s="5"/>
      <c r="X422" s="5"/>
      <c r="Y422" s="5"/>
      <c r="Z422" s="5"/>
      <c r="AA422" s="5"/>
      <c r="AB422" s="5"/>
      <c r="AC422" s="5" t="s">
        <v>376</v>
      </c>
      <c r="AD422" s="5"/>
      <c r="AE422" s="5"/>
      <c r="AF422" s="5"/>
      <c r="AG422" s="5"/>
      <c r="AH422" s="5"/>
      <c r="AI422" s="5"/>
      <c r="AJ422" s="5"/>
      <c r="AK422" s="5"/>
      <c r="AL422" s="5" t="s">
        <v>377</v>
      </c>
      <c r="AM422" s="5"/>
      <c r="AN422" s="5"/>
      <c r="BM422">
        <v>1.02</v>
      </c>
      <c r="BN422" s="17">
        <v>3.9</v>
      </c>
      <c r="BO422" s="17">
        <f t="shared" ref="BO422:BO455" si="16">BN422*BM422</f>
        <v>3.9779999999999998</v>
      </c>
      <c r="BP422" t="s">
        <v>82</v>
      </c>
      <c r="BQ422" t="s">
        <v>241</v>
      </c>
      <c r="BR422">
        <v>130</v>
      </c>
      <c r="BT422" t="s">
        <v>149</v>
      </c>
      <c r="BV422" t="s">
        <v>374</v>
      </c>
      <c r="BW422" t="s">
        <v>375</v>
      </c>
    </row>
    <row r="423" spans="1:75" x14ac:dyDescent="0.75">
      <c r="B423" t="s">
        <v>426</v>
      </c>
      <c r="C423" t="s">
        <v>300</v>
      </c>
      <c r="D423" t="s">
        <v>77</v>
      </c>
      <c r="E423" t="s">
        <v>77</v>
      </c>
      <c r="F423">
        <v>100</v>
      </c>
      <c r="G423">
        <v>1</v>
      </c>
      <c r="H423" t="s">
        <v>90</v>
      </c>
      <c r="J423">
        <f>1/24</f>
        <v>4.1666666666666664E-2</v>
      </c>
      <c r="L423" t="s">
        <v>378</v>
      </c>
      <c r="R423" t="s">
        <v>84</v>
      </c>
      <c r="S423" s="5"/>
      <c r="T423" s="5"/>
      <c r="U423" s="5"/>
      <c r="V423" s="5"/>
      <c r="W423" s="5"/>
      <c r="X423" s="5"/>
      <c r="Y423" s="5"/>
      <c r="Z423" s="5"/>
      <c r="AA423" s="5"/>
      <c r="AB423" s="5"/>
      <c r="AC423" s="5" t="s">
        <v>379</v>
      </c>
      <c r="AD423" s="5"/>
      <c r="AE423" s="5"/>
      <c r="AF423" s="5"/>
      <c r="AG423" s="5"/>
      <c r="AH423" s="5"/>
      <c r="AI423" s="5"/>
      <c r="AJ423" s="5"/>
      <c r="AK423" s="5"/>
      <c r="AL423" s="5" t="s">
        <v>380</v>
      </c>
      <c r="AM423" s="5"/>
      <c r="AN423" s="5"/>
      <c r="BM423">
        <v>1.02</v>
      </c>
      <c r="BN423" s="17">
        <v>3.9</v>
      </c>
      <c r="BO423" s="17">
        <f t="shared" si="16"/>
        <v>3.9779999999999998</v>
      </c>
      <c r="BP423" t="s">
        <v>82</v>
      </c>
      <c r="BQ423" t="s">
        <v>241</v>
      </c>
      <c r="BR423">
        <v>130</v>
      </c>
      <c r="BT423" t="s">
        <v>149</v>
      </c>
      <c r="BV423" t="s">
        <v>374</v>
      </c>
      <c r="BW423" t="s">
        <v>375</v>
      </c>
    </row>
    <row r="424" spans="1:75" x14ac:dyDescent="0.75">
      <c r="B424" t="s">
        <v>426</v>
      </c>
      <c r="C424" t="s">
        <v>300</v>
      </c>
      <c r="D424" t="s">
        <v>77</v>
      </c>
      <c r="E424" t="s">
        <v>77</v>
      </c>
      <c r="F424">
        <v>100</v>
      </c>
      <c r="G424">
        <v>1</v>
      </c>
      <c r="H424" t="s">
        <v>90</v>
      </c>
      <c r="J424">
        <f>1/16</f>
        <v>6.25E-2</v>
      </c>
      <c r="L424" t="s">
        <v>381</v>
      </c>
      <c r="R424" t="s">
        <v>84</v>
      </c>
      <c r="S424" s="5"/>
      <c r="T424" s="5"/>
      <c r="U424" s="5"/>
      <c r="V424" s="5"/>
      <c r="W424" s="5"/>
      <c r="X424" s="5"/>
      <c r="Y424" s="5"/>
      <c r="Z424" s="5"/>
      <c r="AA424" s="5"/>
      <c r="AB424" s="5"/>
      <c r="AC424" s="5" t="s">
        <v>382</v>
      </c>
      <c r="AD424" s="5"/>
      <c r="AE424" s="5"/>
      <c r="AF424" s="5"/>
      <c r="AG424" s="5"/>
      <c r="AH424" s="5"/>
      <c r="AI424" s="5"/>
      <c r="AJ424" s="5"/>
      <c r="AK424" s="5"/>
      <c r="AL424" s="5" t="s">
        <v>383</v>
      </c>
      <c r="AM424" s="5"/>
      <c r="AN424" s="5"/>
      <c r="BM424">
        <v>1.02</v>
      </c>
      <c r="BN424" s="17">
        <v>3.9</v>
      </c>
      <c r="BO424" s="17">
        <f t="shared" si="16"/>
        <v>3.9779999999999998</v>
      </c>
      <c r="BP424" t="s">
        <v>82</v>
      </c>
      <c r="BQ424" t="s">
        <v>241</v>
      </c>
      <c r="BR424">
        <v>130</v>
      </c>
      <c r="BT424" t="s">
        <v>149</v>
      </c>
      <c r="BV424" t="s">
        <v>374</v>
      </c>
      <c r="BW424" t="s">
        <v>375</v>
      </c>
    </row>
    <row r="425" spans="1:75" x14ac:dyDescent="0.75">
      <c r="B425" t="s">
        <v>426</v>
      </c>
      <c r="C425" t="s">
        <v>300</v>
      </c>
      <c r="D425" t="s">
        <v>77</v>
      </c>
      <c r="E425" t="s">
        <v>77</v>
      </c>
      <c r="F425">
        <v>100</v>
      </c>
      <c r="G425">
        <v>1</v>
      </c>
      <c r="H425" t="s">
        <v>90</v>
      </c>
      <c r="J425">
        <f>1/8</f>
        <v>0.125</v>
      </c>
      <c r="L425" t="s">
        <v>384</v>
      </c>
      <c r="R425" t="s">
        <v>84</v>
      </c>
      <c r="S425" s="5"/>
      <c r="T425" s="5"/>
      <c r="U425" s="5"/>
      <c r="V425" s="5"/>
      <c r="W425" s="5"/>
      <c r="X425" s="5"/>
      <c r="Y425" s="5"/>
      <c r="Z425" s="5"/>
      <c r="AA425" s="5"/>
      <c r="AB425" s="5"/>
      <c r="AC425" s="5" t="s">
        <v>385</v>
      </c>
      <c r="AD425" s="5"/>
      <c r="AE425" s="5"/>
      <c r="AF425" s="5"/>
      <c r="AG425" s="5"/>
      <c r="AH425" s="5"/>
      <c r="AI425" s="5"/>
      <c r="AJ425" s="5"/>
      <c r="AK425" s="5"/>
      <c r="AL425" s="5" t="s">
        <v>386</v>
      </c>
      <c r="AM425" s="5"/>
      <c r="AN425" s="5"/>
      <c r="BM425">
        <v>1.02</v>
      </c>
      <c r="BN425" s="17">
        <v>3.9</v>
      </c>
      <c r="BO425" s="17">
        <f t="shared" si="16"/>
        <v>3.9779999999999998</v>
      </c>
      <c r="BP425" t="s">
        <v>82</v>
      </c>
      <c r="BQ425" t="s">
        <v>241</v>
      </c>
      <c r="BR425">
        <v>130</v>
      </c>
      <c r="BT425" t="s">
        <v>149</v>
      </c>
      <c r="BV425" t="s">
        <v>374</v>
      </c>
      <c r="BW425" t="s">
        <v>375</v>
      </c>
    </row>
    <row r="426" spans="1:75" x14ac:dyDescent="0.75">
      <c r="B426" t="s">
        <v>426</v>
      </c>
      <c r="C426" t="s">
        <v>300</v>
      </c>
      <c r="D426" t="s">
        <v>77</v>
      </c>
      <c r="E426" t="s">
        <v>77</v>
      </c>
      <c r="F426">
        <v>100</v>
      </c>
      <c r="G426">
        <v>1</v>
      </c>
      <c r="H426" t="s">
        <v>90</v>
      </c>
      <c r="J426">
        <f>1/6</f>
        <v>0.16666666666666666</v>
      </c>
      <c r="L426" t="s">
        <v>387</v>
      </c>
      <c r="R426" t="s">
        <v>84</v>
      </c>
      <c r="S426" s="5"/>
      <c r="T426" s="5"/>
      <c r="U426" s="5"/>
      <c r="V426" s="5"/>
      <c r="W426" s="5"/>
      <c r="X426" s="5"/>
      <c r="Y426" s="5"/>
      <c r="Z426" s="5"/>
      <c r="AA426" s="5"/>
      <c r="AB426" s="5"/>
      <c r="AC426" s="5" t="s">
        <v>388</v>
      </c>
      <c r="AD426" s="5"/>
      <c r="AE426" s="5"/>
      <c r="AF426" s="5"/>
      <c r="AG426" s="5"/>
      <c r="AH426" s="5"/>
      <c r="AI426" s="5"/>
      <c r="AJ426" s="5"/>
      <c r="AK426" s="5"/>
      <c r="AL426" s="5" t="s">
        <v>389</v>
      </c>
      <c r="AM426" s="5"/>
      <c r="AN426" s="5"/>
      <c r="BM426">
        <v>1.02</v>
      </c>
      <c r="BN426" s="17">
        <v>3.9</v>
      </c>
      <c r="BO426" s="17">
        <f t="shared" si="16"/>
        <v>3.9779999999999998</v>
      </c>
      <c r="BP426" t="s">
        <v>82</v>
      </c>
      <c r="BQ426" t="s">
        <v>241</v>
      </c>
      <c r="BR426">
        <v>130</v>
      </c>
      <c r="BT426" t="s">
        <v>149</v>
      </c>
      <c r="BV426" t="s">
        <v>374</v>
      </c>
      <c r="BW426" t="s">
        <v>375</v>
      </c>
    </row>
    <row r="427" spans="1:75" x14ac:dyDescent="0.75">
      <c r="B427" t="s">
        <v>426</v>
      </c>
      <c r="C427" t="s">
        <v>300</v>
      </c>
      <c r="D427" t="s">
        <v>77</v>
      </c>
      <c r="E427" t="s">
        <v>77</v>
      </c>
      <c r="F427">
        <v>100</v>
      </c>
      <c r="G427">
        <v>1</v>
      </c>
      <c r="H427" t="s">
        <v>90</v>
      </c>
      <c r="J427">
        <f>1/4</f>
        <v>0.25</v>
      </c>
      <c r="L427" t="s">
        <v>390</v>
      </c>
      <c r="R427" t="s">
        <v>84</v>
      </c>
      <c r="S427" s="5"/>
      <c r="T427" s="5"/>
      <c r="U427" s="5"/>
      <c r="V427" s="5"/>
      <c r="W427" s="5"/>
      <c r="X427" s="5"/>
      <c r="Y427" s="5"/>
      <c r="Z427" s="5"/>
      <c r="AA427" s="5"/>
      <c r="AB427" s="5"/>
      <c r="AC427" s="5"/>
      <c r="AD427" s="5"/>
      <c r="AE427" s="5"/>
      <c r="AF427" s="5"/>
      <c r="AG427" s="5"/>
      <c r="AH427" s="5"/>
      <c r="AI427" s="5"/>
      <c r="AJ427" s="5"/>
      <c r="AK427" s="5"/>
      <c r="AL427" s="5" t="s">
        <v>391</v>
      </c>
      <c r="AM427" s="5"/>
      <c r="AN427" s="5"/>
      <c r="BM427">
        <v>1.02</v>
      </c>
      <c r="BN427" s="17">
        <v>3.9</v>
      </c>
      <c r="BO427" s="17">
        <f t="shared" si="16"/>
        <v>3.9779999999999998</v>
      </c>
      <c r="BP427" t="s">
        <v>82</v>
      </c>
      <c r="BQ427" t="s">
        <v>241</v>
      </c>
      <c r="BR427">
        <v>130</v>
      </c>
      <c r="BT427" t="s">
        <v>149</v>
      </c>
      <c r="BV427" t="s">
        <v>374</v>
      </c>
      <c r="BW427" t="s">
        <v>375</v>
      </c>
    </row>
    <row r="428" spans="1:75" x14ac:dyDescent="0.75">
      <c r="B428" t="s">
        <v>426</v>
      </c>
      <c r="C428" t="s">
        <v>300</v>
      </c>
      <c r="D428" t="s">
        <v>77</v>
      </c>
      <c r="E428" t="s">
        <v>77</v>
      </c>
      <c r="F428">
        <v>100</v>
      </c>
      <c r="G428">
        <v>1</v>
      </c>
      <c r="H428" t="s">
        <v>78</v>
      </c>
      <c r="J428">
        <f>1/64</f>
        <v>1.5625E-2</v>
      </c>
      <c r="R428" t="s">
        <v>84</v>
      </c>
      <c r="S428" s="5"/>
      <c r="T428" s="5"/>
      <c r="U428" s="5"/>
      <c r="V428" s="5"/>
      <c r="W428" s="5"/>
      <c r="X428" s="5"/>
      <c r="Y428" s="5"/>
      <c r="Z428" s="5"/>
      <c r="AA428" s="5"/>
      <c r="AB428" s="5"/>
      <c r="AC428" s="5" t="s">
        <v>392</v>
      </c>
      <c r="AD428" s="5"/>
      <c r="AE428" s="5"/>
      <c r="AF428" s="5"/>
      <c r="AG428" s="5"/>
      <c r="AH428" s="5"/>
      <c r="AI428" s="5"/>
      <c r="AJ428" s="5"/>
      <c r="AK428" s="5"/>
      <c r="AL428" s="5" t="s">
        <v>393</v>
      </c>
      <c r="AM428" s="5"/>
      <c r="AN428" s="5"/>
      <c r="BM428">
        <v>1.02</v>
      </c>
      <c r="BN428" s="17">
        <v>3.9</v>
      </c>
      <c r="BO428" s="17">
        <f t="shared" si="16"/>
        <v>3.9779999999999998</v>
      </c>
      <c r="BP428" t="s">
        <v>82</v>
      </c>
      <c r="BQ428" t="s">
        <v>241</v>
      </c>
      <c r="BR428">
        <v>160</v>
      </c>
      <c r="BT428" t="s">
        <v>149</v>
      </c>
      <c r="BV428" t="s">
        <v>374</v>
      </c>
      <c r="BW428" t="s">
        <v>375</v>
      </c>
    </row>
    <row r="429" spans="1:75" x14ac:dyDescent="0.75">
      <c r="B429" t="s">
        <v>426</v>
      </c>
      <c r="C429" t="s">
        <v>300</v>
      </c>
      <c r="D429" t="s">
        <v>77</v>
      </c>
      <c r="E429" t="s">
        <v>77</v>
      </c>
      <c r="F429">
        <v>100</v>
      </c>
      <c r="G429">
        <v>1</v>
      </c>
      <c r="H429" t="s">
        <v>78</v>
      </c>
      <c r="J429">
        <f>1/32</f>
        <v>3.125E-2</v>
      </c>
      <c r="R429" t="s">
        <v>84</v>
      </c>
      <c r="S429" s="5"/>
      <c r="T429" s="5"/>
      <c r="U429" s="5"/>
      <c r="V429" s="5"/>
      <c r="W429" s="5"/>
      <c r="X429" s="5"/>
      <c r="Y429" s="5"/>
      <c r="Z429" s="5"/>
      <c r="AA429" s="5"/>
      <c r="AB429" s="5"/>
      <c r="AC429" s="5" t="s">
        <v>394</v>
      </c>
      <c r="AD429" s="5"/>
      <c r="AE429" s="5"/>
      <c r="AF429" s="5"/>
      <c r="AG429" s="5"/>
      <c r="AH429" s="5"/>
      <c r="AI429" s="5"/>
      <c r="AJ429" s="5"/>
      <c r="AK429" s="5"/>
      <c r="AL429" s="5" t="s">
        <v>395</v>
      </c>
      <c r="AM429" s="5"/>
      <c r="AN429" s="5"/>
      <c r="BM429">
        <v>1.02</v>
      </c>
      <c r="BN429" s="17">
        <v>3.9</v>
      </c>
      <c r="BO429" s="17">
        <f t="shared" si="16"/>
        <v>3.9779999999999998</v>
      </c>
      <c r="BP429" t="s">
        <v>82</v>
      </c>
      <c r="BQ429" t="s">
        <v>241</v>
      </c>
      <c r="BR429">
        <v>160</v>
      </c>
      <c r="BT429" t="s">
        <v>149</v>
      </c>
      <c r="BV429" t="s">
        <v>374</v>
      </c>
      <c r="BW429" t="s">
        <v>375</v>
      </c>
    </row>
    <row r="430" spans="1:75" x14ac:dyDescent="0.75">
      <c r="B430" t="s">
        <v>426</v>
      </c>
      <c r="C430" t="s">
        <v>300</v>
      </c>
      <c r="D430" t="s">
        <v>77</v>
      </c>
      <c r="E430" t="s">
        <v>77</v>
      </c>
      <c r="F430">
        <v>100</v>
      </c>
      <c r="G430">
        <v>1</v>
      </c>
      <c r="H430" t="s">
        <v>78</v>
      </c>
      <c r="J430">
        <f>1/24</f>
        <v>4.1666666666666664E-2</v>
      </c>
      <c r="L430" t="s">
        <v>396</v>
      </c>
      <c r="R430" t="s">
        <v>84</v>
      </c>
      <c r="S430" s="5"/>
      <c r="T430" s="5"/>
      <c r="U430" s="5"/>
      <c r="V430" s="5"/>
      <c r="W430" s="5"/>
      <c r="X430" s="5"/>
      <c r="Y430" s="5"/>
      <c r="Z430" s="5"/>
      <c r="AA430" s="5"/>
      <c r="AB430" s="5"/>
      <c r="AC430" s="5" t="s">
        <v>397</v>
      </c>
      <c r="AD430" s="5"/>
      <c r="AE430" s="5"/>
      <c r="AF430" s="5"/>
      <c r="AG430" s="5"/>
      <c r="AH430" s="5"/>
      <c r="AI430" s="5"/>
      <c r="AJ430" s="5"/>
      <c r="AK430" s="5"/>
      <c r="AL430" s="5" t="s">
        <v>398</v>
      </c>
      <c r="AM430" s="5"/>
      <c r="AN430" s="5"/>
      <c r="BM430">
        <v>1.02</v>
      </c>
      <c r="BN430" s="17">
        <v>3.9</v>
      </c>
      <c r="BO430" s="17">
        <f t="shared" si="16"/>
        <v>3.9779999999999998</v>
      </c>
      <c r="BP430" t="s">
        <v>82</v>
      </c>
      <c r="BQ430" t="s">
        <v>241</v>
      </c>
      <c r="BR430">
        <v>160</v>
      </c>
      <c r="BT430" t="s">
        <v>149</v>
      </c>
      <c r="BV430" t="s">
        <v>374</v>
      </c>
      <c r="BW430" t="s">
        <v>375</v>
      </c>
    </row>
    <row r="431" spans="1:75" x14ac:dyDescent="0.75">
      <c r="B431" t="s">
        <v>426</v>
      </c>
      <c r="C431" t="s">
        <v>300</v>
      </c>
      <c r="D431" t="s">
        <v>77</v>
      </c>
      <c r="E431" t="s">
        <v>77</v>
      </c>
      <c r="F431">
        <v>100</v>
      </c>
      <c r="G431">
        <v>1</v>
      </c>
      <c r="H431" t="s">
        <v>78</v>
      </c>
      <c r="J431">
        <f>1/16</f>
        <v>6.25E-2</v>
      </c>
      <c r="L431" t="s">
        <v>399</v>
      </c>
      <c r="R431" t="s">
        <v>84</v>
      </c>
      <c r="S431" s="5"/>
      <c r="T431" s="5"/>
      <c r="U431" s="5"/>
      <c r="V431" s="5"/>
      <c r="W431" s="5"/>
      <c r="X431" s="5"/>
      <c r="Y431" s="5"/>
      <c r="Z431" s="5"/>
      <c r="AA431" s="5"/>
      <c r="AB431" s="5"/>
      <c r="AC431" s="5" t="s">
        <v>400</v>
      </c>
      <c r="AD431" s="5"/>
      <c r="AE431" s="5"/>
      <c r="AF431" s="5"/>
      <c r="AG431" s="5"/>
      <c r="AH431" s="5"/>
      <c r="AI431" s="5"/>
      <c r="AJ431" s="5"/>
      <c r="AK431" s="5"/>
      <c r="AL431" s="5" t="s">
        <v>401</v>
      </c>
      <c r="AM431" s="5"/>
      <c r="AN431" s="5"/>
      <c r="BM431">
        <v>1.02</v>
      </c>
      <c r="BN431" s="17">
        <v>3.9</v>
      </c>
      <c r="BO431" s="17">
        <f t="shared" si="16"/>
        <v>3.9779999999999998</v>
      </c>
      <c r="BP431" t="s">
        <v>82</v>
      </c>
      <c r="BQ431" t="s">
        <v>241</v>
      </c>
      <c r="BR431">
        <v>160</v>
      </c>
      <c r="BT431" t="s">
        <v>149</v>
      </c>
      <c r="BV431" t="s">
        <v>374</v>
      </c>
      <c r="BW431" t="s">
        <v>375</v>
      </c>
    </row>
    <row r="432" spans="1:75" x14ac:dyDescent="0.75">
      <c r="B432" t="s">
        <v>426</v>
      </c>
      <c r="C432" t="s">
        <v>300</v>
      </c>
      <c r="D432" t="s">
        <v>77</v>
      </c>
      <c r="E432" t="s">
        <v>77</v>
      </c>
      <c r="F432">
        <v>100</v>
      </c>
      <c r="G432">
        <v>1</v>
      </c>
      <c r="H432" t="s">
        <v>78</v>
      </c>
      <c r="J432">
        <f>1/10</f>
        <v>0.1</v>
      </c>
      <c r="L432" t="s">
        <v>402</v>
      </c>
      <c r="R432" t="s">
        <v>84</v>
      </c>
      <c r="S432" s="5"/>
      <c r="T432" s="5"/>
      <c r="U432" s="5"/>
      <c r="V432" s="5"/>
      <c r="W432" s="5" t="s">
        <v>403</v>
      </c>
      <c r="X432" s="5"/>
      <c r="Y432" s="5"/>
      <c r="Z432" s="5"/>
      <c r="AA432" s="5"/>
      <c r="AB432" s="5"/>
      <c r="AC432" s="5" t="s">
        <v>404</v>
      </c>
      <c r="AD432" s="5"/>
      <c r="AE432" s="5"/>
      <c r="AF432" s="5"/>
      <c r="AG432" s="5"/>
      <c r="AH432" s="5"/>
      <c r="AI432" s="5"/>
      <c r="AJ432" s="5"/>
      <c r="AK432" s="5"/>
      <c r="AL432" s="5" t="s">
        <v>405</v>
      </c>
      <c r="AM432" s="5"/>
      <c r="AN432" s="5"/>
      <c r="BM432">
        <v>1.02</v>
      </c>
      <c r="BN432" s="17">
        <v>3.9</v>
      </c>
      <c r="BO432" s="17">
        <f t="shared" si="16"/>
        <v>3.9779999999999998</v>
      </c>
      <c r="BP432" t="s">
        <v>82</v>
      </c>
      <c r="BQ432" t="s">
        <v>241</v>
      </c>
      <c r="BR432">
        <v>160</v>
      </c>
      <c r="BT432" t="s">
        <v>149</v>
      </c>
      <c r="BV432" t="s">
        <v>374</v>
      </c>
      <c r="BW432" t="s">
        <v>375</v>
      </c>
    </row>
    <row r="433" spans="1:75" x14ac:dyDescent="0.75">
      <c r="B433" t="s">
        <v>426</v>
      </c>
      <c r="C433" t="s">
        <v>300</v>
      </c>
      <c r="D433" t="s">
        <v>77</v>
      </c>
      <c r="E433" t="s">
        <v>77</v>
      </c>
      <c r="F433">
        <v>100</v>
      </c>
      <c r="G433">
        <v>1</v>
      </c>
      <c r="H433" t="s">
        <v>78</v>
      </c>
      <c r="J433">
        <f>1/8</f>
        <v>0.125</v>
      </c>
      <c r="L433" t="s">
        <v>406</v>
      </c>
      <c r="R433" t="s">
        <v>84</v>
      </c>
      <c r="S433" s="5"/>
      <c r="T433" s="5"/>
      <c r="U433" s="5"/>
      <c r="V433" s="5"/>
      <c r="W433" s="5" t="s">
        <v>407</v>
      </c>
      <c r="X433" s="5"/>
      <c r="Y433" s="5"/>
      <c r="Z433" s="5"/>
      <c r="AA433" s="5"/>
      <c r="AB433" s="5"/>
      <c r="AC433" s="5" t="s">
        <v>408</v>
      </c>
      <c r="AD433" s="5"/>
      <c r="AE433" s="5"/>
      <c r="AF433" s="5"/>
      <c r="AG433" s="5"/>
      <c r="AH433" s="5"/>
      <c r="AI433" s="5"/>
      <c r="AJ433" s="5"/>
      <c r="AK433" s="5"/>
      <c r="AL433" s="5" t="s">
        <v>409</v>
      </c>
      <c r="AM433" s="5"/>
      <c r="AN433" s="5"/>
      <c r="BM433">
        <v>1.02</v>
      </c>
      <c r="BN433" s="17">
        <v>3.9</v>
      </c>
      <c r="BO433" s="17">
        <f t="shared" si="16"/>
        <v>3.9779999999999998</v>
      </c>
      <c r="BP433" t="s">
        <v>82</v>
      </c>
      <c r="BQ433" t="s">
        <v>241</v>
      </c>
      <c r="BR433">
        <v>160</v>
      </c>
      <c r="BT433" t="s">
        <v>149</v>
      </c>
      <c r="BV433" t="s">
        <v>374</v>
      </c>
      <c r="BW433" t="s">
        <v>375</v>
      </c>
    </row>
    <row r="434" spans="1:75" x14ac:dyDescent="0.75">
      <c r="A434" s="1"/>
      <c r="B434" t="s">
        <v>426</v>
      </c>
      <c r="C434" s="1" t="s">
        <v>300</v>
      </c>
      <c r="D434" t="s">
        <v>77</v>
      </c>
      <c r="E434" t="s">
        <v>77</v>
      </c>
      <c r="F434">
        <v>100</v>
      </c>
      <c r="G434">
        <v>1</v>
      </c>
      <c r="H434" s="1" t="s">
        <v>78</v>
      </c>
      <c r="I434" s="1"/>
      <c r="J434" s="1">
        <f>1/4</f>
        <v>0.25</v>
      </c>
      <c r="K434" s="1"/>
      <c r="L434" s="1" t="s">
        <v>410</v>
      </c>
      <c r="M434" s="1"/>
      <c r="N434" s="1"/>
      <c r="O434" s="1"/>
      <c r="P434" s="1"/>
      <c r="Q434" s="1"/>
      <c r="R434" t="s">
        <v>84</v>
      </c>
      <c r="S434" s="3"/>
      <c r="T434" s="3"/>
      <c r="U434" s="3"/>
      <c r="V434" s="3"/>
      <c r="W434" s="3"/>
      <c r="X434" s="3"/>
      <c r="Y434" s="3"/>
      <c r="Z434" s="3"/>
      <c r="AA434" s="3"/>
      <c r="AB434" s="3"/>
      <c r="AC434" s="3" t="s">
        <v>411</v>
      </c>
      <c r="AD434" s="3"/>
      <c r="AE434" s="3"/>
      <c r="AF434" s="3"/>
      <c r="AG434" s="3"/>
      <c r="AH434" s="3"/>
      <c r="AI434" s="3"/>
      <c r="AJ434" s="3"/>
      <c r="AK434" s="3"/>
      <c r="AL434" s="3" t="s">
        <v>412</v>
      </c>
      <c r="AM434" s="3"/>
      <c r="AN434" s="3"/>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v>1.02</v>
      </c>
      <c r="BN434" s="19">
        <v>3.9</v>
      </c>
      <c r="BO434" s="17">
        <f t="shared" si="16"/>
        <v>3.9779999999999998</v>
      </c>
      <c r="BP434" s="1" t="s">
        <v>82</v>
      </c>
      <c r="BQ434" s="1" t="s">
        <v>241</v>
      </c>
      <c r="BR434" s="1">
        <v>160</v>
      </c>
      <c r="BS434" s="1"/>
      <c r="BT434" t="s">
        <v>149</v>
      </c>
      <c r="BU434" s="1"/>
      <c r="BV434" t="s">
        <v>374</v>
      </c>
      <c r="BW434" t="s">
        <v>375</v>
      </c>
    </row>
    <row r="435" spans="1:75" x14ac:dyDescent="0.75">
      <c r="B435" t="s">
        <v>426</v>
      </c>
      <c r="C435" t="s">
        <v>300</v>
      </c>
      <c r="D435" t="s">
        <v>77</v>
      </c>
      <c r="E435" t="s">
        <v>77</v>
      </c>
      <c r="F435">
        <v>100</v>
      </c>
      <c r="G435">
        <v>1</v>
      </c>
      <c r="H435" t="s">
        <v>78</v>
      </c>
      <c r="J435">
        <f>1/500</f>
        <v>2E-3</v>
      </c>
      <c r="L435">
        <v>-66</v>
      </c>
      <c r="R435" t="s">
        <v>84</v>
      </c>
      <c r="S435" s="5"/>
      <c r="T435" s="5"/>
      <c r="U435" s="5"/>
      <c r="V435" s="5"/>
      <c r="W435" s="5"/>
      <c r="X435" s="5"/>
      <c r="Y435" s="5"/>
      <c r="Z435" s="5"/>
      <c r="AA435" s="5"/>
      <c r="AB435" s="5"/>
      <c r="AC435" s="5">
        <v>2.2800000000000002E-5</v>
      </c>
      <c r="AD435">
        <v>2.7000000000000002E-5</v>
      </c>
      <c r="AE435" s="5">
        <v>3.18E-5</v>
      </c>
      <c r="AF435">
        <v>3.6999999999999998E-5</v>
      </c>
      <c r="AG435" s="5">
        <v>4.18E-5</v>
      </c>
      <c r="AH435">
        <v>4.7700000000000001E-5</v>
      </c>
      <c r="AI435" s="5">
        <v>5.4000000000000005E-5</v>
      </c>
      <c r="AJ435" s="5">
        <v>6.2000000000000003E-5</v>
      </c>
      <c r="AK435" s="5">
        <v>6.7000000000000002E-5</v>
      </c>
      <c r="AL435" s="5">
        <v>8.2000000000000001E-5</v>
      </c>
      <c r="AM435" s="5">
        <v>9.7E-5</v>
      </c>
      <c r="AN435" s="5"/>
      <c r="AV435">
        <v>0.05</v>
      </c>
      <c r="AW435">
        <v>638</v>
      </c>
      <c r="AX435">
        <v>-81</v>
      </c>
      <c r="AY435">
        <v>50</v>
      </c>
      <c r="AZ435">
        <v>0.13600000000000001</v>
      </c>
      <c r="BA435">
        <v>961</v>
      </c>
      <c r="BB435">
        <v>-116</v>
      </c>
      <c r="BG435">
        <v>0.26</v>
      </c>
      <c r="BH435">
        <v>0.25</v>
      </c>
      <c r="BI435" t="s">
        <v>81</v>
      </c>
      <c r="BM435">
        <v>1.21</v>
      </c>
      <c r="BN435" s="17">
        <v>4</v>
      </c>
      <c r="BO435" s="17">
        <f t="shared" si="16"/>
        <v>4.84</v>
      </c>
      <c r="BP435" t="s">
        <v>82</v>
      </c>
      <c r="BQ435" t="s">
        <v>241</v>
      </c>
      <c r="BR435">
        <v>130</v>
      </c>
      <c r="BS435">
        <v>24</v>
      </c>
      <c r="BT435" t="s">
        <v>149</v>
      </c>
      <c r="BU435" t="s">
        <v>413</v>
      </c>
      <c r="BV435" t="s">
        <v>414</v>
      </c>
      <c r="BW435" t="s">
        <v>687</v>
      </c>
    </row>
    <row r="436" spans="1:75" x14ac:dyDescent="0.75">
      <c r="B436" t="s">
        <v>426</v>
      </c>
      <c r="C436" t="s">
        <v>300</v>
      </c>
      <c r="D436" t="s">
        <v>77</v>
      </c>
      <c r="E436" t="s">
        <v>77</v>
      </c>
      <c r="F436">
        <v>100</v>
      </c>
      <c r="G436">
        <v>1</v>
      </c>
      <c r="H436" t="s">
        <v>78</v>
      </c>
      <c r="J436">
        <f>1/192</f>
        <v>5.208333333333333E-3</v>
      </c>
      <c r="L436">
        <v>-65</v>
      </c>
      <c r="R436" t="s">
        <v>84</v>
      </c>
      <c r="S436" s="5"/>
      <c r="T436" s="5"/>
      <c r="U436" s="5"/>
      <c r="V436" s="5"/>
      <c r="W436" s="5"/>
      <c r="X436" s="5"/>
      <c r="Y436" s="5"/>
      <c r="Z436" s="5"/>
      <c r="AA436" s="5"/>
      <c r="AB436" s="5"/>
      <c r="AC436" s="5">
        <v>8.2000000000000001E-5</v>
      </c>
      <c r="AD436">
        <v>9.3999999999999994E-5</v>
      </c>
      <c r="AE436" s="5">
        <v>1.16E-4</v>
      </c>
      <c r="AF436">
        <v>1.3600000000000003E-4</v>
      </c>
      <c r="AG436" s="5">
        <v>1.5600000000000002E-4</v>
      </c>
      <c r="AH436">
        <v>1.8000000000000001E-4</v>
      </c>
      <c r="AI436" s="5">
        <v>2.02E-4</v>
      </c>
      <c r="AJ436" s="5">
        <v>2.2900000000000001E-4</v>
      </c>
      <c r="AK436" s="5">
        <v>2.5500000000000002E-4</v>
      </c>
      <c r="AL436" s="5">
        <v>3.1200000000000005E-4</v>
      </c>
      <c r="AM436" s="5">
        <v>3.7100000000000002E-4</v>
      </c>
      <c r="AN436" s="5"/>
      <c r="AV436">
        <v>0.22</v>
      </c>
      <c r="AW436">
        <v>644</v>
      </c>
      <c r="AX436">
        <v>-78</v>
      </c>
      <c r="AY436">
        <v>50</v>
      </c>
      <c r="AZ436">
        <v>0.6</v>
      </c>
      <c r="BA436">
        <v>989</v>
      </c>
      <c r="BB436">
        <v>-115</v>
      </c>
      <c r="BG436">
        <v>0.27</v>
      </c>
      <c r="BH436">
        <v>1.3</v>
      </c>
      <c r="BI436" t="s">
        <v>81</v>
      </c>
      <c r="BM436">
        <v>1.21</v>
      </c>
      <c r="BN436" s="17">
        <v>4</v>
      </c>
      <c r="BO436" s="17">
        <f t="shared" si="16"/>
        <v>4.84</v>
      </c>
      <c r="BP436" t="s">
        <v>82</v>
      </c>
      <c r="BQ436" t="s">
        <v>241</v>
      </c>
      <c r="BR436">
        <v>130</v>
      </c>
      <c r="BS436">
        <v>24</v>
      </c>
      <c r="BT436" t="s">
        <v>149</v>
      </c>
      <c r="BU436" t="s">
        <v>413</v>
      </c>
      <c r="BV436" t="s">
        <v>414</v>
      </c>
      <c r="BW436" t="s">
        <v>687</v>
      </c>
    </row>
    <row r="437" spans="1:75" x14ac:dyDescent="0.75">
      <c r="B437" t="s">
        <v>426</v>
      </c>
      <c r="C437" t="s">
        <v>300</v>
      </c>
      <c r="D437" t="s">
        <v>77</v>
      </c>
      <c r="E437" t="s">
        <v>77</v>
      </c>
      <c r="F437">
        <v>100</v>
      </c>
      <c r="G437">
        <v>1</v>
      </c>
      <c r="H437" t="s">
        <v>78</v>
      </c>
      <c r="J437">
        <f>1/128</f>
        <v>7.8125E-3</v>
      </c>
      <c r="L437">
        <v>-64</v>
      </c>
      <c r="R437" t="s">
        <v>84</v>
      </c>
      <c r="S437" s="5"/>
      <c r="T437" s="5"/>
      <c r="U437" s="5"/>
      <c r="V437" s="5"/>
      <c r="W437" s="5"/>
      <c r="X437" s="5"/>
      <c r="Y437" s="5"/>
      <c r="Z437" s="5"/>
      <c r="AA437" s="5"/>
      <c r="AB437" s="5"/>
      <c r="AC437" s="5">
        <v>1.2E-4</v>
      </c>
      <c r="AD437">
        <v>1.4300000000000001E-4</v>
      </c>
      <c r="AE437" s="5">
        <v>1.6900000000000002E-4</v>
      </c>
      <c r="AF437">
        <v>1.9900000000000001E-4</v>
      </c>
      <c r="AG437" s="5">
        <v>2.2900000000000001E-4</v>
      </c>
      <c r="AH437">
        <v>2.6000000000000003E-4</v>
      </c>
      <c r="AI437" s="5">
        <v>2.9700000000000001E-4</v>
      </c>
      <c r="AJ437" s="5">
        <v>3.3599999999999998E-4</v>
      </c>
      <c r="AK437" s="5">
        <v>3.79E-4</v>
      </c>
      <c r="AL437" s="5">
        <v>4.6300000000000003E-4</v>
      </c>
      <c r="AM437" s="5">
        <v>5.5999999999999995E-4</v>
      </c>
      <c r="AN437" s="5"/>
      <c r="AV437">
        <v>0.52</v>
      </c>
      <c r="AW437">
        <v>781</v>
      </c>
      <c r="AX437">
        <v>-92</v>
      </c>
      <c r="AY437">
        <v>50</v>
      </c>
      <c r="AZ437">
        <v>0.94</v>
      </c>
      <c r="BA437">
        <v>996</v>
      </c>
      <c r="BB437">
        <v>-114</v>
      </c>
      <c r="BG437">
        <v>0.27</v>
      </c>
      <c r="BH437">
        <v>2.2999999999999998</v>
      </c>
      <c r="BI437" t="s">
        <v>81</v>
      </c>
      <c r="BM437">
        <v>1.21</v>
      </c>
      <c r="BN437" s="17">
        <v>4</v>
      </c>
      <c r="BO437" s="17">
        <f t="shared" si="16"/>
        <v>4.84</v>
      </c>
      <c r="BP437" t="s">
        <v>82</v>
      </c>
      <c r="BQ437" t="s">
        <v>241</v>
      </c>
      <c r="BR437">
        <v>130</v>
      </c>
      <c r="BS437">
        <v>24</v>
      </c>
      <c r="BT437" t="s">
        <v>149</v>
      </c>
      <c r="BU437" t="s">
        <v>413</v>
      </c>
      <c r="BV437" t="s">
        <v>414</v>
      </c>
      <c r="BW437" t="s">
        <v>687</v>
      </c>
    </row>
    <row r="438" spans="1:75" x14ac:dyDescent="0.75">
      <c r="B438" t="s">
        <v>426</v>
      </c>
      <c r="C438" t="s">
        <v>300</v>
      </c>
      <c r="D438" t="s">
        <v>77</v>
      </c>
      <c r="E438" t="s">
        <v>77</v>
      </c>
      <c r="F438">
        <v>100</v>
      </c>
      <c r="G438">
        <v>1</v>
      </c>
      <c r="H438" t="s">
        <v>78</v>
      </c>
      <c r="J438">
        <f>1/96</f>
        <v>1.0416666666666666E-2</v>
      </c>
      <c r="L438">
        <v>-63.5</v>
      </c>
      <c r="R438" t="s">
        <v>84</v>
      </c>
      <c r="S438" s="5"/>
      <c r="T438" s="5"/>
      <c r="U438" s="5"/>
      <c r="V438" s="5"/>
      <c r="W438" s="5"/>
      <c r="X438" s="5"/>
      <c r="Y438" s="5"/>
      <c r="Z438" s="5"/>
      <c r="AA438" s="5"/>
      <c r="AB438" s="5"/>
      <c r="AC438" s="5">
        <v>1.4100000000000001E-4</v>
      </c>
      <c r="AD438">
        <v>1.7100000000000001E-4</v>
      </c>
      <c r="AE438" s="5">
        <v>2.02E-4</v>
      </c>
      <c r="AF438">
        <v>2.42E-4</v>
      </c>
      <c r="AG438" s="5">
        <v>2.7900000000000001E-4</v>
      </c>
      <c r="AH438">
        <v>3.2000000000000003E-4</v>
      </c>
      <c r="AI438" s="5">
        <v>3.6700000000000003E-4</v>
      </c>
      <c r="AJ438" s="5">
        <v>4.2200000000000001E-4</v>
      </c>
      <c r="AK438" s="5">
        <v>4.7600000000000002E-4</v>
      </c>
      <c r="AL438" s="5">
        <v>5.8E-4</v>
      </c>
      <c r="AM438" s="5">
        <v>7.1000000000000002E-4</v>
      </c>
      <c r="AN438" s="5"/>
      <c r="AV438">
        <v>0.6</v>
      </c>
      <c r="AW438">
        <v>723</v>
      </c>
      <c r="AX438">
        <v>-83</v>
      </c>
      <c r="AY438">
        <v>50</v>
      </c>
      <c r="AZ438">
        <v>1.5</v>
      </c>
      <c r="BA438">
        <v>1038</v>
      </c>
      <c r="BB438">
        <v>-113.5</v>
      </c>
      <c r="BG438">
        <v>0.28999999999999998</v>
      </c>
      <c r="BH438">
        <v>4.5</v>
      </c>
      <c r="BI438" t="s">
        <v>81</v>
      </c>
      <c r="BM438">
        <v>1.21</v>
      </c>
      <c r="BN438" s="17">
        <v>4</v>
      </c>
      <c r="BO438" s="17">
        <f t="shared" si="16"/>
        <v>4.84</v>
      </c>
      <c r="BP438" t="s">
        <v>82</v>
      </c>
      <c r="BQ438" t="s">
        <v>241</v>
      </c>
      <c r="BR438">
        <v>130</v>
      </c>
      <c r="BS438">
        <v>24</v>
      </c>
      <c r="BT438" t="s">
        <v>149</v>
      </c>
      <c r="BU438" t="s">
        <v>413</v>
      </c>
      <c r="BV438" t="s">
        <v>414</v>
      </c>
      <c r="BW438" t="s">
        <v>687</v>
      </c>
    </row>
    <row r="439" spans="1:75" x14ac:dyDescent="0.75">
      <c r="B439" t="s">
        <v>426</v>
      </c>
      <c r="C439" t="s">
        <v>300</v>
      </c>
      <c r="D439" t="s">
        <v>77</v>
      </c>
      <c r="E439" t="s">
        <v>77</v>
      </c>
      <c r="F439">
        <v>100</v>
      </c>
      <c r="G439">
        <v>1</v>
      </c>
      <c r="H439" t="s">
        <v>78</v>
      </c>
      <c r="J439">
        <f>1/64</f>
        <v>1.5625E-2</v>
      </c>
      <c r="L439">
        <v>-62</v>
      </c>
      <c r="R439" t="s">
        <v>84</v>
      </c>
      <c r="S439" s="5"/>
      <c r="T439" s="5"/>
      <c r="U439" s="5"/>
      <c r="V439" s="5"/>
      <c r="W439" s="5"/>
      <c r="X439" s="5"/>
      <c r="Y439" s="5"/>
      <c r="Z439" s="5"/>
      <c r="AA439" s="5"/>
      <c r="AB439" s="5"/>
      <c r="AC439" s="5">
        <v>1.8500000000000002E-4</v>
      </c>
      <c r="AD439">
        <v>2.31E-4</v>
      </c>
      <c r="AE439" s="5">
        <v>2.7999999999999998E-4</v>
      </c>
      <c r="AF439">
        <v>3.3500000000000001E-4</v>
      </c>
      <c r="AG439" s="5">
        <v>3.9700000000000005E-4</v>
      </c>
      <c r="AH439">
        <v>4.6500000000000008E-4</v>
      </c>
      <c r="AI439" s="5">
        <v>5.4000000000000012E-4</v>
      </c>
      <c r="AJ439" s="5">
        <v>6.2E-4</v>
      </c>
      <c r="AK439" s="5">
        <v>6.9999999999999999E-4</v>
      </c>
      <c r="AL439" s="5">
        <v>9.0000000000000008E-4</v>
      </c>
      <c r="AM439" s="5">
        <v>1.1199999999999999E-3</v>
      </c>
      <c r="AN439" s="5"/>
      <c r="AV439">
        <v>1.5</v>
      </c>
      <c r="AW439">
        <v>822</v>
      </c>
      <c r="AX439">
        <v>-85</v>
      </c>
      <c r="AY439">
        <v>50</v>
      </c>
      <c r="AZ439">
        <v>3.5</v>
      </c>
      <c r="BA439">
        <v>1126</v>
      </c>
      <c r="BB439">
        <v>-112</v>
      </c>
      <c r="BG439">
        <v>0.32</v>
      </c>
      <c r="BH439">
        <v>18.3</v>
      </c>
      <c r="BI439" t="s">
        <v>81</v>
      </c>
      <c r="BM439">
        <v>1.21</v>
      </c>
      <c r="BN439" s="17">
        <v>4</v>
      </c>
      <c r="BO439" s="17">
        <f t="shared" si="16"/>
        <v>4.84</v>
      </c>
      <c r="BP439" t="s">
        <v>82</v>
      </c>
      <c r="BQ439" t="s">
        <v>241</v>
      </c>
      <c r="BR439">
        <v>130</v>
      </c>
      <c r="BS439">
        <v>24</v>
      </c>
      <c r="BT439" t="s">
        <v>149</v>
      </c>
      <c r="BU439" t="s">
        <v>413</v>
      </c>
      <c r="BV439" t="s">
        <v>414</v>
      </c>
      <c r="BW439" t="s">
        <v>687</v>
      </c>
    </row>
    <row r="440" spans="1:75" x14ac:dyDescent="0.75">
      <c r="B440" t="s">
        <v>426</v>
      </c>
      <c r="C440" t="s">
        <v>300</v>
      </c>
      <c r="D440" t="s">
        <v>77</v>
      </c>
      <c r="E440" t="s">
        <v>77</v>
      </c>
      <c r="F440">
        <v>100</v>
      </c>
      <c r="G440">
        <v>1</v>
      </c>
      <c r="H440" t="s">
        <v>78</v>
      </c>
      <c r="J440">
        <f>1/48</f>
        <v>2.0833333333333332E-2</v>
      </c>
      <c r="L440">
        <v>-61</v>
      </c>
      <c r="R440" t="s">
        <v>84</v>
      </c>
      <c r="S440" s="5"/>
      <c r="T440" s="5"/>
      <c r="U440" s="5"/>
      <c r="V440" s="5"/>
      <c r="W440" s="5"/>
      <c r="X440" s="5"/>
      <c r="Y440" s="5"/>
      <c r="Z440" s="5"/>
      <c r="AA440" s="5"/>
      <c r="AB440" s="5"/>
      <c r="AC440" s="5">
        <v>2.6800000000000001E-4</v>
      </c>
      <c r="AD440">
        <v>3.2500000000000004E-4</v>
      </c>
      <c r="AE440" s="5">
        <v>3.9500000000000006E-4</v>
      </c>
      <c r="AF440">
        <v>4.6700000000000002E-4</v>
      </c>
      <c r="AG440" s="5">
        <v>5.5999999999999995E-4</v>
      </c>
      <c r="AH440">
        <v>6.5000000000000008E-4</v>
      </c>
      <c r="AI440" s="5">
        <v>7.400000000000001E-4</v>
      </c>
      <c r="AJ440" s="5">
        <v>8.5000000000000006E-4</v>
      </c>
      <c r="AK440" s="5">
        <v>9.6000000000000002E-4</v>
      </c>
      <c r="AL440" s="5">
        <v>1.2000000000000001E-3</v>
      </c>
      <c r="AM440" s="5">
        <v>1.49E-3</v>
      </c>
      <c r="AN440" s="5"/>
      <c r="AV440">
        <v>1.5</v>
      </c>
      <c r="AW440">
        <v>751</v>
      </c>
      <c r="AX440">
        <v>-81</v>
      </c>
      <c r="AY440">
        <v>50</v>
      </c>
      <c r="AZ440">
        <v>3.6</v>
      </c>
      <c r="BA440">
        <v>1064</v>
      </c>
      <c r="BB440">
        <v>-111</v>
      </c>
      <c r="BG440">
        <v>0.3</v>
      </c>
      <c r="BH440">
        <v>15</v>
      </c>
      <c r="BI440" t="s">
        <v>81</v>
      </c>
      <c r="BM440">
        <v>1.21</v>
      </c>
      <c r="BN440" s="17">
        <v>4</v>
      </c>
      <c r="BO440" s="17">
        <f t="shared" si="16"/>
        <v>4.84</v>
      </c>
      <c r="BP440" t="s">
        <v>82</v>
      </c>
      <c r="BQ440" t="s">
        <v>241</v>
      </c>
      <c r="BR440">
        <v>130</v>
      </c>
      <c r="BS440">
        <v>24</v>
      </c>
      <c r="BT440" t="s">
        <v>149</v>
      </c>
      <c r="BU440" t="s">
        <v>413</v>
      </c>
      <c r="BV440" t="s">
        <v>414</v>
      </c>
      <c r="BW440" t="s">
        <v>687</v>
      </c>
    </row>
    <row r="441" spans="1:75" x14ac:dyDescent="0.75">
      <c r="B441" t="s">
        <v>426</v>
      </c>
      <c r="C441" t="s">
        <v>300</v>
      </c>
      <c r="D441" t="s">
        <v>77</v>
      </c>
      <c r="E441" t="s">
        <v>77</v>
      </c>
      <c r="F441">
        <v>100</v>
      </c>
      <c r="G441">
        <v>1</v>
      </c>
      <c r="H441" t="s">
        <v>78</v>
      </c>
      <c r="J441">
        <f>1/32</f>
        <v>3.125E-2</v>
      </c>
      <c r="L441">
        <v>-58</v>
      </c>
      <c r="R441" t="s">
        <v>84</v>
      </c>
      <c r="S441" s="5"/>
      <c r="T441" s="5"/>
      <c r="U441" s="5"/>
      <c r="V441" s="5"/>
      <c r="W441" s="5"/>
      <c r="X441" s="5"/>
      <c r="Y441" s="5"/>
      <c r="Z441" s="5"/>
      <c r="AA441" s="5"/>
      <c r="AB441" s="5"/>
      <c r="AC441" s="5">
        <v>3.6299999999999999E-4</v>
      </c>
      <c r="AD441">
        <v>4.46E-4</v>
      </c>
      <c r="AE441" s="5">
        <v>5.4000000000000012E-4</v>
      </c>
      <c r="AF441">
        <v>6.4000000000000005E-4</v>
      </c>
      <c r="AG441" s="5">
        <v>7.400000000000001E-4</v>
      </c>
      <c r="AH441">
        <v>8.8000000000000014E-4</v>
      </c>
      <c r="AI441" s="5">
        <v>1.01E-3</v>
      </c>
      <c r="AJ441" s="5">
        <v>1.17E-3</v>
      </c>
      <c r="AK441" s="5">
        <v>1.34E-3</v>
      </c>
      <c r="AL441" s="5">
        <v>1.7100000000000001E-3</v>
      </c>
      <c r="AM441" s="5"/>
      <c r="AN441" s="5"/>
      <c r="AV441">
        <v>8.8000000000000007</v>
      </c>
      <c r="AW441">
        <v>1240</v>
      </c>
      <c r="AX441">
        <v>-122</v>
      </c>
      <c r="AY441">
        <v>50</v>
      </c>
      <c r="AZ441">
        <v>5.5</v>
      </c>
      <c r="BA441">
        <v>1064</v>
      </c>
      <c r="BB441">
        <v>-108</v>
      </c>
      <c r="BG441">
        <v>0.32</v>
      </c>
      <c r="BH441">
        <v>39</v>
      </c>
      <c r="BI441" t="s">
        <v>81</v>
      </c>
      <c r="BM441">
        <v>1.21</v>
      </c>
      <c r="BN441" s="17">
        <v>4</v>
      </c>
      <c r="BO441" s="17">
        <f t="shared" si="16"/>
        <v>4.84</v>
      </c>
      <c r="BP441" t="s">
        <v>82</v>
      </c>
      <c r="BQ441" t="s">
        <v>241</v>
      </c>
      <c r="BR441">
        <v>130</v>
      </c>
      <c r="BS441">
        <v>24</v>
      </c>
      <c r="BT441" t="s">
        <v>149</v>
      </c>
      <c r="BU441" t="s">
        <v>413</v>
      </c>
      <c r="BV441" t="s">
        <v>414</v>
      </c>
      <c r="BW441" t="s">
        <v>687</v>
      </c>
    </row>
    <row r="442" spans="1:75" x14ac:dyDescent="0.75">
      <c r="B442" t="s">
        <v>426</v>
      </c>
      <c r="C442" t="s">
        <v>300</v>
      </c>
      <c r="D442" t="s">
        <v>77</v>
      </c>
      <c r="E442" t="s">
        <v>77</v>
      </c>
      <c r="F442">
        <v>100</v>
      </c>
      <c r="G442">
        <v>1</v>
      </c>
      <c r="H442" t="s">
        <v>78</v>
      </c>
      <c r="J442">
        <f>1/24</f>
        <v>4.1666666666666664E-2</v>
      </c>
      <c r="L442">
        <v>-56</v>
      </c>
      <c r="R442" t="s">
        <v>84</v>
      </c>
      <c r="S442" s="5"/>
      <c r="T442" s="5"/>
      <c r="U442" s="5"/>
      <c r="V442" s="5"/>
      <c r="W442" s="5"/>
      <c r="X442" s="5"/>
      <c r="Y442" s="5"/>
      <c r="Z442" s="5"/>
      <c r="AA442" s="5"/>
      <c r="AB442" s="5"/>
      <c r="AC442" s="5">
        <v>3.8400000000000001E-4</v>
      </c>
      <c r="AD442">
        <v>4.8000000000000001E-4</v>
      </c>
      <c r="AE442" s="5">
        <v>5.9000000000000003E-4</v>
      </c>
      <c r="AF442">
        <v>7.1000000000000002E-4</v>
      </c>
      <c r="AG442" s="5">
        <v>8.4000000000000003E-4</v>
      </c>
      <c r="AH442">
        <v>9.8999999999999999E-4</v>
      </c>
      <c r="AI442" s="5">
        <v>1.16E-3</v>
      </c>
      <c r="AJ442" s="5">
        <v>1.3500000000000001E-3</v>
      </c>
      <c r="AK442" s="5">
        <v>1.5400000000000001E-3</v>
      </c>
      <c r="AL442" s="5">
        <v>1.9600000000000004E-3</v>
      </c>
      <c r="AM442" s="5"/>
      <c r="AN442" s="5"/>
      <c r="AV442">
        <v>3</v>
      </c>
      <c r="AW442">
        <v>783</v>
      </c>
      <c r="AX442">
        <v>-79</v>
      </c>
      <c r="AY442">
        <v>50</v>
      </c>
      <c r="AZ442">
        <v>7.8</v>
      </c>
      <c r="BA442">
        <v>1096</v>
      </c>
      <c r="BB442">
        <v>-106</v>
      </c>
      <c r="BG442">
        <v>0.34</v>
      </c>
      <c r="BH442">
        <v>79</v>
      </c>
      <c r="BI442" t="s">
        <v>81</v>
      </c>
      <c r="BM442">
        <v>1.21</v>
      </c>
      <c r="BN442" s="17">
        <v>4</v>
      </c>
      <c r="BO442" s="17">
        <f t="shared" si="16"/>
        <v>4.84</v>
      </c>
      <c r="BP442" t="s">
        <v>82</v>
      </c>
      <c r="BQ442" t="s">
        <v>241</v>
      </c>
      <c r="BR442">
        <v>130</v>
      </c>
      <c r="BS442">
        <v>24</v>
      </c>
      <c r="BT442" t="s">
        <v>149</v>
      </c>
      <c r="BU442" t="s">
        <v>413</v>
      </c>
      <c r="BV442" t="s">
        <v>414</v>
      </c>
      <c r="BW442" t="s">
        <v>687</v>
      </c>
    </row>
    <row r="443" spans="1:75" x14ac:dyDescent="0.75">
      <c r="B443" t="s">
        <v>426</v>
      </c>
      <c r="C443" t="s">
        <v>300</v>
      </c>
      <c r="D443" t="s">
        <v>77</v>
      </c>
      <c r="E443" t="s">
        <v>77</v>
      </c>
      <c r="F443">
        <v>100</v>
      </c>
      <c r="G443">
        <v>1</v>
      </c>
      <c r="H443" t="s">
        <v>78</v>
      </c>
      <c r="J443">
        <f>1/16</f>
        <v>6.25E-2</v>
      </c>
      <c r="L443">
        <v>-50</v>
      </c>
      <c r="R443" t="s">
        <v>84</v>
      </c>
      <c r="S443" s="5"/>
      <c r="T443" s="5"/>
      <c r="U443" s="5"/>
      <c r="V443" s="5"/>
      <c r="W443" s="5"/>
      <c r="X443" s="5"/>
      <c r="Y443" s="5"/>
      <c r="Z443" s="5"/>
      <c r="AA443" s="5"/>
      <c r="AB443" s="5"/>
      <c r="AC443" s="5">
        <v>3.8100000000000005E-4</v>
      </c>
      <c r="AD443">
        <v>4.9000000000000009E-4</v>
      </c>
      <c r="AE443" s="5">
        <v>6.0999999999999997E-4</v>
      </c>
      <c r="AF443">
        <v>7.7000000000000007E-4</v>
      </c>
      <c r="AG443" s="5">
        <v>9.4000000000000008E-4</v>
      </c>
      <c r="AH443">
        <v>1.1100000000000001E-3</v>
      </c>
      <c r="AI443" s="5">
        <v>1.32E-3</v>
      </c>
      <c r="AJ443" s="5">
        <v>1.5500000000000002E-3</v>
      </c>
      <c r="AK443" s="5">
        <v>1.7899999999999999E-3</v>
      </c>
      <c r="AL443" s="5"/>
      <c r="AM443" s="5"/>
      <c r="AN443" s="5"/>
      <c r="AV443">
        <v>3.3</v>
      </c>
      <c r="AW443">
        <v>704</v>
      </c>
      <c r="AX443">
        <v>-64</v>
      </c>
      <c r="AY443">
        <v>50</v>
      </c>
      <c r="AZ443">
        <v>14.5</v>
      </c>
      <c r="BA443">
        <v>1147</v>
      </c>
      <c r="BB443">
        <v>-100</v>
      </c>
      <c r="BG443">
        <v>0.39</v>
      </c>
      <c r="BH443">
        <v>498</v>
      </c>
      <c r="BI443" t="s">
        <v>81</v>
      </c>
      <c r="BM443">
        <v>1.21</v>
      </c>
      <c r="BN443" s="17">
        <v>4</v>
      </c>
      <c r="BO443" s="17">
        <f t="shared" si="16"/>
        <v>4.84</v>
      </c>
      <c r="BP443" t="s">
        <v>82</v>
      </c>
      <c r="BQ443" t="s">
        <v>241</v>
      </c>
      <c r="BR443">
        <v>130</v>
      </c>
      <c r="BS443">
        <v>24</v>
      </c>
      <c r="BT443" t="s">
        <v>149</v>
      </c>
      <c r="BU443" t="s">
        <v>413</v>
      </c>
      <c r="BV443" t="s">
        <v>414</v>
      </c>
      <c r="BW443" t="s">
        <v>687</v>
      </c>
    </row>
    <row r="444" spans="1:75" x14ac:dyDescent="0.75">
      <c r="B444" t="s">
        <v>426</v>
      </c>
      <c r="C444" t="s">
        <v>300</v>
      </c>
      <c r="D444" t="s">
        <v>77</v>
      </c>
      <c r="E444" t="s">
        <v>77</v>
      </c>
      <c r="F444">
        <v>100</v>
      </c>
      <c r="G444">
        <v>1</v>
      </c>
      <c r="H444" t="s">
        <v>78</v>
      </c>
      <c r="J444">
        <f>1/11</f>
        <v>9.0909090909090912E-2</v>
      </c>
      <c r="L444">
        <v>-43</v>
      </c>
      <c r="R444" t="s">
        <v>84</v>
      </c>
      <c r="S444" s="5"/>
      <c r="T444" s="5"/>
      <c r="U444" s="5"/>
      <c r="V444" s="5"/>
      <c r="W444" s="5"/>
      <c r="X444" s="5"/>
      <c r="Y444" s="5"/>
      <c r="Z444" s="5"/>
      <c r="AA444" s="5"/>
      <c r="AB444" s="5"/>
      <c r="AC444" s="5">
        <v>2.9599999999999998E-4</v>
      </c>
      <c r="AD444">
        <v>3.9199999999999999E-4</v>
      </c>
      <c r="AE444" s="5">
        <v>5.2000000000000006E-4</v>
      </c>
      <c r="AF444">
        <v>6.7000000000000002E-4</v>
      </c>
      <c r="AG444" s="5">
        <v>8.4000000000000003E-4</v>
      </c>
      <c r="AH444">
        <v>1.0400000000000001E-3</v>
      </c>
      <c r="AI444" s="5">
        <v>1.2600000000000001E-3</v>
      </c>
      <c r="AJ444" s="5">
        <v>1.56E-3</v>
      </c>
      <c r="AK444" s="5">
        <v>1.8699999999999999E-3</v>
      </c>
      <c r="AL444" s="5">
        <v>2.5000000000000001E-3</v>
      </c>
      <c r="AM444" s="5">
        <v>3.3700000000000006E-3</v>
      </c>
      <c r="AN444" s="5"/>
      <c r="AV444">
        <v>10.5</v>
      </c>
      <c r="AW444">
        <v>918</v>
      </c>
      <c r="AX444">
        <v>-71</v>
      </c>
      <c r="AY444">
        <v>50</v>
      </c>
      <c r="AZ444">
        <v>27</v>
      </c>
      <c r="BA444">
        <v>1218</v>
      </c>
      <c r="BB444">
        <v>-93</v>
      </c>
      <c r="BG444">
        <v>0.43</v>
      </c>
      <c r="BH444">
        <v>1748</v>
      </c>
      <c r="BI444" t="s">
        <v>81</v>
      </c>
      <c r="BM444">
        <v>1.21</v>
      </c>
      <c r="BN444" s="17">
        <v>4</v>
      </c>
      <c r="BO444" s="17">
        <f t="shared" si="16"/>
        <v>4.84</v>
      </c>
      <c r="BP444" t="s">
        <v>82</v>
      </c>
      <c r="BQ444" t="s">
        <v>241</v>
      </c>
      <c r="BR444">
        <v>130</v>
      </c>
      <c r="BS444">
        <v>24</v>
      </c>
      <c r="BT444" t="s">
        <v>149</v>
      </c>
      <c r="BU444" t="s">
        <v>413</v>
      </c>
      <c r="BV444" t="s">
        <v>414</v>
      </c>
      <c r="BW444" t="s">
        <v>687</v>
      </c>
    </row>
    <row r="445" spans="1:75" x14ac:dyDescent="0.75">
      <c r="B445" t="s">
        <v>426</v>
      </c>
      <c r="C445" t="s">
        <v>300</v>
      </c>
      <c r="D445" t="s">
        <v>77</v>
      </c>
      <c r="E445" t="s">
        <v>77</v>
      </c>
      <c r="F445">
        <v>100</v>
      </c>
      <c r="G445">
        <v>1</v>
      </c>
      <c r="H445" t="s">
        <v>78</v>
      </c>
      <c r="J445">
        <f>1/8</f>
        <v>0.125</v>
      </c>
      <c r="L445">
        <v>-36</v>
      </c>
      <c r="R445" t="s">
        <v>84</v>
      </c>
      <c r="S445" s="5"/>
      <c r="T445" s="5"/>
      <c r="U445" s="5"/>
      <c r="V445" s="5"/>
      <c r="W445" s="5"/>
      <c r="X445" s="5"/>
      <c r="Y445" s="5"/>
      <c r="Z445" s="5"/>
      <c r="AA445" s="5"/>
      <c r="AB445" s="5"/>
      <c r="AC445" s="5">
        <v>2.23E-4</v>
      </c>
      <c r="AD445">
        <v>3.0400000000000002E-4</v>
      </c>
      <c r="AE445" s="5">
        <v>4.1100000000000007E-4</v>
      </c>
      <c r="AF445">
        <v>5.4000000000000012E-4</v>
      </c>
      <c r="AG445" s="5">
        <v>6.9999999999999999E-4</v>
      </c>
      <c r="AH445">
        <v>8.9000000000000006E-4</v>
      </c>
      <c r="AI445" s="5">
        <v>1.1000000000000001E-3</v>
      </c>
      <c r="AJ445" s="5">
        <v>1.3600000000000001E-3</v>
      </c>
      <c r="AK445" s="5">
        <v>1.65E-3</v>
      </c>
      <c r="AL445" s="5">
        <v>2.3500000000000001E-3</v>
      </c>
      <c r="AM445" s="5">
        <v>3.2100000000000002E-3</v>
      </c>
      <c r="AN445" s="5"/>
      <c r="AV445">
        <v>18.899999999999999</v>
      </c>
      <c r="AW445">
        <v>1052</v>
      </c>
      <c r="AX445">
        <v>-74</v>
      </c>
      <c r="AY445">
        <v>50</v>
      </c>
      <c r="AZ445">
        <v>33</v>
      </c>
      <c r="BA445">
        <v>1224</v>
      </c>
      <c r="BB445">
        <v>-86</v>
      </c>
      <c r="BG445">
        <v>0.47</v>
      </c>
      <c r="BH445">
        <v>6027</v>
      </c>
      <c r="BI445" t="s">
        <v>81</v>
      </c>
      <c r="BM445">
        <v>1.21</v>
      </c>
      <c r="BN445" s="17">
        <v>4</v>
      </c>
      <c r="BO445" s="17">
        <f t="shared" si="16"/>
        <v>4.84</v>
      </c>
      <c r="BP445" t="s">
        <v>82</v>
      </c>
      <c r="BQ445" t="s">
        <v>241</v>
      </c>
      <c r="BR445">
        <v>130</v>
      </c>
      <c r="BS445">
        <v>24</v>
      </c>
      <c r="BT445" t="s">
        <v>149</v>
      </c>
      <c r="BU445" t="s">
        <v>413</v>
      </c>
      <c r="BV445" t="s">
        <v>414</v>
      </c>
      <c r="BW445" t="s">
        <v>687</v>
      </c>
    </row>
    <row r="446" spans="1:75" x14ac:dyDescent="0.75">
      <c r="B446" t="s">
        <v>426</v>
      </c>
      <c r="C446" t="s">
        <v>300</v>
      </c>
      <c r="D446" t="s">
        <v>77</v>
      </c>
      <c r="E446" t="s">
        <v>77</v>
      </c>
      <c r="F446">
        <v>100</v>
      </c>
      <c r="G446">
        <v>1</v>
      </c>
      <c r="H446" t="s">
        <v>78</v>
      </c>
      <c r="J446">
        <f>1/6</f>
        <v>0.16666666666666666</v>
      </c>
      <c r="L446">
        <v>-29</v>
      </c>
      <c r="R446" t="s">
        <v>84</v>
      </c>
      <c r="S446" s="5"/>
      <c r="T446" s="5"/>
      <c r="U446" s="5"/>
      <c r="V446" s="5"/>
      <c r="W446" s="5"/>
      <c r="X446" s="5"/>
      <c r="Y446" s="5"/>
      <c r="Z446" s="5"/>
      <c r="AA446" s="5"/>
      <c r="AB446" s="5"/>
      <c r="AC446" s="5">
        <v>1.74E-4</v>
      </c>
      <c r="AD446">
        <v>2.3900000000000004E-4</v>
      </c>
      <c r="AE446" s="5">
        <v>3.2400000000000001E-4</v>
      </c>
      <c r="AF446">
        <v>4.2200000000000001E-4</v>
      </c>
      <c r="AG446" s="5">
        <v>5.4000000000000012E-4</v>
      </c>
      <c r="AH446">
        <v>6.8000000000000005E-4</v>
      </c>
      <c r="AI446" s="5">
        <v>8.4000000000000003E-4</v>
      </c>
      <c r="AJ446" s="5">
        <v>1.0300000000000001E-3</v>
      </c>
      <c r="AK446" s="5">
        <v>1.2700000000000001E-3</v>
      </c>
      <c r="AL446" s="5">
        <v>1.72E-3</v>
      </c>
      <c r="AM446" s="5"/>
      <c r="AN446" s="5"/>
      <c r="AV446">
        <v>6.2</v>
      </c>
      <c r="AW446">
        <v>837</v>
      </c>
      <c r="AX446">
        <v>-60</v>
      </c>
      <c r="AY446">
        <v>50</v>
      </c>
      <c r="AZ446">
        <v>15.5</v>
      </c>
      <c r="BA446">
        <v>1096</v>
      </c>
      <c r="BB446">
        <v>-79</v>
      </c>
      <c r="BG446">
        <v>0.48</v>
      </c>
      <c r="BH446">
        <v>5394</v>
      </c>
      <c r="BI446" t="s">
        <v>81</v>
      </c>
      <c r="BM446">
        <v>1.21</v>
      </c>
      <c r="BN446" s="17">
        <v>4</v>
      </c>
      <c r="BO446" s="17">
        <f t="shared" si="16"/>
        <v>4.84</v>
      </c>
      <c r="BP446" t="s">
        <v>82</v>
      </c>
      <c r="BQ446" t="s">
        <v>241</v>
      </c>
      <c r="BR446">
        <v>130</v>
      </c>
      <c r="BS446">
        <v>24</v>
      </c>
      <c r="BT446" t="s">
        <v>149</v>
      </c>
      <c r="BU446" t="s">
        <v>413</v>
      </c>
      <c r="BV446" t="s">
        <v>414</v>
      </c>
      <c r="BW446" t="s">
        <v>687</v>
      </c>
    </row>
    <row r="447" spans="1:75" x14ac:dyDescent="0.75">
      <c r="B447" t="s">
        <v>426</v>
      </c>
      <c r="C447" t="s">
        <v>300</v>
      </c>
      <c r="D447" t="s">
        <v>77</v>
      </c>
      <c r="E447" t="s">
        <v>77</v>
      </c>
      <c r="F447">
        <v>100</v>
      </c>
      <c r="G447">
        <v>1</v>
      </c>
      <c r="H447" t="s">
        <v>78</v>
      </c>
      <c r="J447">
        <f>1/5</f>
        <v>0.2</v>
      </c>
      <c r="L447">
        <v>-25</v>
      </c>
      <c r="R447" t="s">
        <v>84</v>
      </c>
      <c r="S447" s="5"/>
      <c r="T447" s="5"/>
      <c r="U447" s="5"/>
      <c r="V447" s="5"/>
      <c r="W447" s="5"/>
      <c r="X447" s="5"/>
      <c r="Y447" s="5"/>
      <c r="Z447" s="5"/>
      <c r="AA447" s="5"/>
      <c r="AB447" s="5"/>
      <c r="AC447" s="5">
        <v>4.21E-5</v>
      </c>
      <c r="AD447">
        <v>6.3E-5</v>
      </c>
      <c r="AE447" s="5">
        <v>9.2000000000000014E-5</v>
      </c>
      <c r="AF447">
        <v>1.2900000000000002E-4</v>
      </c>
      <c r="AG447" s="5">
        <v>1.75E-4</v>
      </c>
      <c r="AH447">
        <v>2.3500000000000002E-4</v>
      </c>
      <c r="AI447" s="5">
        <v>3.1200000000000005E-4</v>
      </c>
      <c r="AJ447" s="5">
        <v>4.0900000000000002E-4</v>
      </c>
      <c r="AK447" s="5">
        <v>5.2999999999999998E-4</v>
      </c>
      <c r="AL447" s="5">
        <v>8.1999999999999998E-4</v>
      </c>
      <c r="AM447" s="5">
        <v>1.15E-3</v>
      </c>
      <c r="AN447" s="5"/>
      <c r="AV447">
        <v>16</v>
      </c>
      <c r="AW447">
        <v>1150</v>
      </c>
      <c r="AX447">
        <v>-65</v>
      </c>
      <c r="AY447">
        <v>50</v>
      </c>
      <c r="AZ447">
        <v>29</v>
      </c>
      <c r="BA447">
        <v>1318</v>
      </c>
      <c r="BB447">
        <v>-75</v>
      </c>
      <c r="BG447">
        <v>0.59</v>
      </c>
      <c r="BH447" s="5">
        <v>81000</v>
      </c>
      <c r="BI447" t="s">
        <v>81</v>
      </c>
      <c r="BM447">
        <v>1.21</v>
      </c>
      <c r="BN447" s="17">
        <v>4</v>
      </c>
      <c r="BO447" s="17">
        <f t="shared" si="16"/>
        <v>4.84</v>
      </c>
      <c r="BP447" t="s">
        <v>82</v>
      </c>
      <c r="BQ447" t="s">
        <v>241</v>
      </c>
      <c r="BR447">
        <v>130</v>
      </c>
      <c r="BS447">
        <v>24</v>
      </c>
      <c r="BT447" t="s">
        <v>149</v>
      </c>
      <c r="BU447" t="s">
        <v>413</v>
      </c>
      <c r="BV447" t="s">
        <v>414</v>
      </c>
      <c r="BW447" t="s">
        <v>687</v>
      </c>
    </row>
    <row r="448" spans="1:75" x14ac:dyDescent="0.75">
      <c r="B448" t="s">
        <v>426</v>
      </c>
      <c r="C448" t="s">
        <v>300</v>
      </c>
      <c r="D448" t="s">
        <v>77</v>
      </c>
      <c r="E448" t="s">
        <v>77</v>
      </c>
      <c r="F448">
        <v>100</v>
      </c>
      <c r="G448">
        <v>1</v>
      </c>
      <c r="H448" t="s">
        <v>78</v>
      </c>
      <c r="J448">
        <f>1/4</f>
        <v>0.25</v>
      </c>
      <c r="L448">
        <v>-19</v>
      </c>
      <c r="R448" t="s">
        <v>84</v>
      </c>
      <c r="S448" s="5"/>
      <c r="T448" s="5"/>
      <c r="U448" s="5"/>
      <c r="V448" s="5"/>
      <c r="W448" s="5"/>
      <c r="X448" s="5"/>
      <c r="Y448" s="5"/>
      <c r="Z448" s="5"/>
      <c r="AA448" s="5"/>
      <c r="AB448" s="5"/>
      <c r="AC448" s="5">
        <v>2.2900000000000001E-5</v>
      </c>
      <c r="AD448">
        <v>3.4999999999999997E-5</v>
      </c>
      <c r="AE448" s="5">
        <v>5.2000000000000004E-5</v>
      </c>
      <c r="AF448">
        <v>7.5000000000000007E-5</v>
      </c>
      <c r="AG448" s="5">
        <v>1.0600000000000002E-4</v>
      </c>
      <c r="AH448">
        <v>1.4799999999999999E-4</v>
      </c>
      <c r="AI448" s="5">
        <v>1.9700000000000002E-4</v>
      </c>
      <c r="AJ448" s="5">
        <v>2.6000000000000003E-4</v>
      </c>
      <c r="AK448" s="5">
        <v>3.3500000000000001E-4</v>
      </c>
      <c r="AL448" s="5">
        <v>5.2999999999999998E-4</v>
      </c>
      <c r="AM448" s="5">
        <v>7.7999999999999999E-4</v>
      </c>
      <c r="AN448" s="5"/>
      <c r="AV448">
        <v>13</v>
      </c>
      <c r="AW448">
        <v>1156</v>
      </c>
      <c r="AX448">
        <v>-61</v>
      </c>
      <c r="AY448">
        <v>50</v>
      </c>
      <c r="AZ448">
        <v>21</v>
      </c>
      <c r="BA448">
        <v>1290</v>
      </c>
      <c r="BB448">
        <v>-69</v>
      </c>
      <c r="BG448">
        <v>0.63</v>
      </c>
      <c r="BH448" s="5">
        <v>170000</v>
      </c>
      <c r="BI448" t="s">
        <v>81</v>
      </c>
      <c r="BM448">
        <v>1.21</v>
      </c>
      <c r="BN448" s="17">
        <v>4</v>
      </c>
      <c r="BO448" s="17">
        <f t="shared" si="16"/>
        <v>4.84</v>
      </c>
      <c r="BP448" t="s">
        <v>82</v>
      </c>
      <c r="BQ448" t="s">
        <v>241</v>
      </c>
      <c r="BR448">
        <v>130</v>
      </c>
      <c r="BS448">
        <v>24</v>
      </c>
      <c r="BT448" t="s">
        <v>149</v>
      </c>
      <c r="BU448" t="s">
        <v>413</v>
      </c>
      <c r="BV448" t="s">
        <v>414</v>
      </c>
      <c r="BW448" t="s">
        <v>687</v>
      </c>
    </row>
    <row r="449" spans="1:75" x14ac:dyDescent="0.75">
      <c r="B449" t="s">
        <v>426</v>
      </c>
      <c r="C449" t="s">
        <v>300</v>
      </c>
      <c r="D449" t="s">
        <v>77</v>
      </c>
      <c r="E449" t="s">
        <v>77</v>
      </c>
      <c r="F449">
        <v>100</v>
      </c>
      <c r="G449">
        <v>1</v>
      </c>
      <c r="H449" t="s">
        <v>78</v>
      </c>
      <c r="J449">
        <f>1/2</f>
        <v>0.5</v>
      </c>
      <c r="L449">
        <v>5</v>
      </c>
      <c r="R449" t="s">
        <v>84</v>
      </c>
      <c r="S449" s="5"/>
      <c r="T449" s="5"/>
      <c r="U449" s="5"/>
      <c r="V449" s="5"/>
      <c r="W449" s="5"/>
      <c r="X449" s="5"/>
      <c r="Y449" s="5"/>
      <c r="Z449" s="5"/>
      <c r="AA449" s="5"/>
      <c r="AB449" s="5"/>
      <c r="AC449" s="5"/>
      <c r="AD449" s="5"/>
      <c r="AE449" s="5"/>
      <c r="AF449" s="5"/>
      <c r="AG449" s="5"/>
      <c r="AH449" s="5"/>
      <c r="AI449" s="5"/>
      <c r="AJ449" s="5"/>
      <c r="AK449" s="5">
        <v>4.5600000000000004E-5</v>
      </c>
      <c r="AL449" s="5">
        <v>7.5000000000000007E-5</v>
      </c>
      <c r="AM449" s="5">
        <v>1.26E-4</v>
      </c>
      <c r="AN449" s="5"/>
      <c r="AV449" s="5">
        <v>410000</v>
      </c>
      <c r="AW449">
        <v>7250</v>
      </c>
      <c r="AX449">
        <v>-273.14999999999998</v>
      </c>
      <c r="AY449">
        <v>90</v>
      </c>
      <c r="AZ449">
        <v>2.7</v>
      </c>
      <c r="BA449">
        <v>1089</v>
      </c>
      <c r="BB449">
        <v>-45</v>
      </c>
      <c r="BG449">
        <v>0.61</v>
      </c>
      <c r="BH449" s="5">
        <v>13000</v>
      </c>
      <c r="BI449" t="s">
        <v>81</v>
      </c>
      <c r="BM449">
        <v>1.21</v>
      </c>
      <c r="BN449" s="17">
        <v>4</v>
      </c>
      <c r="BO449" s="17">
        <f t="shared" si="16"/>
        <v>4.84</v>
      </c>
      <c r="BP449" t="s">
        <v>82</v>
      </c>
      <c r="BQ449" t="s">
        <v>241</v>
      </c>
      <c r="BR449">
        <v>130</v>
      </c>
      <c r="BS449">
        <v>24</v>
      </c>
      <c r="BT449" t="s">
        <v>149</v>
      </c>
      <c r="BU449" t="s">
        <v>413</v>
      </c>
      <c r="BV449" t="s">
        <v>414</v>
      </c>
      <c r="BW449" t="s">
        <v>687</v>
      </c>
    </row>
    <row r="450" spans="1:75" x14ac:dyDescent="0.75">
      <c r="B450" t="s">
        <v>426</v>
      </c>
      <c r="C450" t="s">
        <v>300</v>
      </c>
      <c r="D450" t="s">
        <v>77</v>
      </c>
      <c r="E450" t="s">
        <v>77</v>
      </c>
      <c r="F450">
        <v>100</v>
      </c>
      <c r="G450">
        <v>1</v>
      </c>
      <c r="H450" t="s">
        <v>415</v>
      </c>
      <c r="J450">
        <f>1/64</f>
        <v>1.5625E-2</v>
      </c>
      <c r="L450">
        <v>-62</v>
      </c>
      <c r="R450" t="s">
        <v>84</v>
      </c>
      <c r="S450" s="5"/>
      <c r="T450" s="5"/>
      <c r="U450" s="5"/>
      <c r="V450" s="5"/>
      <c r="W450" s="5"/>
      <c r="X450" s="5"/>
      <c r="Y450" s="5"/>
      <c r="Z450" s="5"/>
      <c r="AA450" s="5"/>
      <c r="AB450" s="5"/>
      <c r="AC450" s="5"/>
      <c r="AD450">
        <v>2.6500000000000004E-5</v>
      </c>
      <c r="AE450" s="5">
        <v>3.0899999999999999E-5</v>
      </c>
      <c r="AF450">
        <v>3.5299999999999997E-5</v>
      </c>
      <c r="AG450" s="5">
        <v>3.9900000000000001E-5</v>
      </c>
      <c r="AH450">
        <v>4.5100000000000005E-5</v>
      </c>
      <c r="AI450" s="5">
        <v>5.0000000000000002E-5</v>
      </c>
      <c r="AJ450" s="5">
        <v>5.6000000000000006E-5</v>
      </c>
      <c r="AK450" s="5">
        <v>6.0999999999999999E-5</v>
      </c>
      <c r="AL450" s="5">
        <v>7.2000000000000002E-5</v>
      </c>
      <c r="AM450" s="5">
        <v>8.2999999999999998E-5</v>
      </c>
      <c r="AN450" s="5"/>
      <c r="AV450">
        <v>0.02</v>
      </c>
      <c r="AW450">
        <v>420</v>
      </c>
      <c r="AX450">
        <v>-58</v>
      </c>
      <c r="AY450">
        <v>55</v>
      </c>
      <c r="AZ450">
        <v>7.0000000000000007E-2</v>
      </c>
      <c r="BA450">
        <v>817</v>
      </c>
      <c r="BB450">
        <v>-112</v>
      </c>
      <c r="BG450">
        <v>0.22</v>
      </c>
      <c r="BH450">
        <v>7.0000000000000007E-2</v>
      </c>
      <c r="BI450" t="s">
        <v>81</v>
      </c>
      <c r="BM450">
        <v>1.21</v>
      </c>
      <c r="BN450" s="17">
        <v>4</v>
      </c>
      <c r="BO450" s="17">
        <f t="shared" si="16"/>
        <v>4.84</v>
      </c>
      <c r="BP450" t="s">
        <v>82</v>
      </c>
      <c r="BQ450" t="s">
        <v>241</v>
      </c>
      <c r="BR450">
        <v>130</v>
      </c>
      <c r="BS450">
        <v>24</v>
      </c>
      <c r="BT450" t="s">
        <v>149</v>
      </c>
      <c r="BU450" t="s">
        <v>413</v>
      </c>
      <c r="BV450" t="s">
        <v>414</v>
      </c>
      <c r="BW450" t="s">
        <v>687</v>
      </c>
    </row>
    <row r="451" spans="1:75" x14ac:dyDescent="0.75">
      <c r="B451" t="s">
        <v>426</v>
      </c>
      <c r="C451" t="s">
        <v>300</v>
      </c>
      <c r="D451" t="s">
        <v>77</v>
      </c>
      <c r="E451" t="s">
        <v>77</v>
      </c>
      <c r="F451">
        <v>100</v>
      </c>
      <c r="G451">
        <v>1</v>
      </c>
      <c r="H451" t="s">
        <v>415</v>
      </c>
      <c r="J451">
        <f>1/30</f>
        <v>3.3333333333333333E-2</v>
      </c>
      <c r="L451">
        <v>-60</v>
      </c>
      <c r="R451" t="s">
        <v>84</v>
      </c>
      <c r="S451" s="5"/>
      <c r="T451" s="5"/>
      <c r="U451" s="5"/>
      <c r="V451" s="5"/>
      <c r="W451" s="5"/>
      <c r="X451" s="5"/>
      <c r="Y451" s="5"/>
      <c r="Z451" s="5"/>
      <c r="AA451" s="5"/>
      <c r="AB451" s="5"/>
      <c r="AC451" s="5"/>
      <c r="AD451">
        <v>5.2000000000000004E-5</v>
      </c>
      <c r="AE451" s="5">
        <v>6.0999999999999999E-5</v>
      </c>
      <c r="AF451">
        <v>7.2000000000000002E-5</v>
      </c>
      <c r="AG451" s="5">
        <v>8.2999999999999998E-5</v>
      </c>
      <c r="AH451">
        <v>9.6000000000000002E-5</v>
      </c>
      <c r="AI451" s="5">
        <v>1.1000000000000002E-4</v>
      </c>
      <c r="AJ451" s="5">
        <v>1.2300000000000001E-4</v>
      </c>
      <c r="AK451" s="5">
        <v>1.3799999999999999E-4</v>
      </c>
      <c r="AL451" s="5">
        <v>1.7000000000000001E-4</v>
      </c>
      <c r="AM451" s="5">
        <v>2.05E-4</v>
      </c>
      <c r="AN451" s="5"/>
      <c r="AV451">
        <v>0.13</v>
      </c>
      <c r="AW451">
        <v>645</v>
      </c>
      <c r="AX451">
        <v>-76</v>
      </c>
      <c r="AY451">
        <v>55</v>
      </c>
      <c r="AZ451">
        <v>0.3</v>
      </c>
      <c r="BA451">
        <v>950</v>
      </c>
      <c r="BB451">
        <v>-110</v>
      </c>
      <c r="BG451">
        <v>0.26</v>
      </c>
      <c r="BH451">
        <v>0.62</v>
      </c>
      <c r="BI451" t="s">
        <v>81</v>
      </c>
      <c r="BM451">
        <v>1.21</v>
      </c>
      <c r="BN451" s="17">
        <v>4</v>
      </c>
      <c r="BO451" s="17">
        <f t="shared" si="16"/>
        <v>4.84</v>
      </c>
      <c r="BP451" t="s">
        <v>82</v>
      </c>
      <c r="BQ451" t="s">
        <v>241</v>
      </c>
      <c r="BR451">
        <v>130</v>
      </c>
      <c r="BS451">
        <v>24</v>
      </c>
      <c r="BT451" t="s">
        <v>149</v>
      </c>
      <c r="BU451" t="s">
        <v>413</v>
      </c>
      <c r="BV451" t="s">
        <v>414</v>
      </c>
      <c r="BW451" t="s">
        <v>687</v>
      </c>
    </row>
    <row r="452" spans="1:75" x14ac:dyDescent="0.75">
      <c r="B452" t="s">
        <v>426</v>
      </c>
      <c r="C452" t="s">
        <v>300</v>
      </c>
      <c r="D452" t="s">
        <v>77</v>
      </c>
      <c r="E452" t="s">
        <v>77</v>
      </c>
      <c r="F452">
        <v>100</v>
      </c>
      <c r="G452">
        <v>1</v>
      </c>
      <c r="H452" t="s">
        <v>415</v>
      </c>
      <c r="J452">
        <f>1/21</f>
        <v>4.7619047619047616E-2</v>
      </c>
      <c r="L452">
        <v>-58</v>
      </c>
      <c r="R452" t="s">
        <v>84</v>
      </c>
      <c r="S452" s="5"/>
      <c r="T452" s="5"/>
      <c r="U452" s="5"/>
      <c r="V452" s="5"/>
      <c r="W452" s="5"/>
      <c r="X452" s="5"/>
      <c r="Y452" s="5"/>
      <c r="Z452" s="5"/>
      <c r="AA452" s="5"/>
      <c r="AB452" s="5"/>
      <c r="AC452" s="5"/>
      <c r="AD452">
        <v>6.2000000000000003E-5</v>
      </c>
      <c r="AE452" s="5">
        <v>7.5000000000000007E-5</v>
      </c>
      <c r="AF452">
        <v>8.8000000000000011E-5</v>
      </c>
      <c r="AG452" s="5">
        <v>1.0300000000000001E-4</v>
      </c>
      <c r="AH452">
        <v>1.22E-4</v>
      </c>
      <c r="AI452" s="5">
        <v>1.3999999999999999E-4</v>
      </c>
      <c r="AJ452" s="5">
        <v>1.5800000000000002E-4</v>
      </c>
      <c r="AK452" s="5">
        <v>1.7800000000000002E-4</v>
      </c>
      <c r="AL452" s="5">
        <v>2.2000000000000003E-4</v>
      </c>
      <c r="AM452" s="5">
        <v>2.7000000000000006E-4</v>
      </c>
      <c r="AN452" s="5"/>
      <c r="AV452">
        <v>0.17</v>
      </c>
      <c r="AW452">
        <v>617</v>
      </c>
      <c r="AX452">
        <v>-68</v>
      </c>
      <c r="AY452">
        <v>55</v>
      </c>
      <c r="AZ452">
        <v>0.5</v>
      </c>
      <c r="BA452">
        <v>989</v>
      </c>
      <c r="BB452">
        <v>-108</v>
      </c>
      <c r="BG452">
        <v>0.28000000000000003</v>
      </c>
      <c r="BH452">
        <v>1.4</v>
      </c>
      <c r="BI452" t="s">
        <v>81</v>
      </c>
      <c r="BM452">
        <v>1.21</v>
      </c>
      <c r="BN452" s="17">
        <v>4</v>
      </c>
      <c r="BO452" s="17">
        <f t="shared" si="16"/>
        <v>4.84</v>
      </c>
      <c r="BP452" t="s">
        <v>82</v>
      </c>
      <c r="BQ452" t="s">
        <v>241</v>
      </c>
      <c r="BR452">
        <v>130</v>
      </c>
      <c r="BS452">
        <v>24</v>
      </c>
      <c r="BT452" t="s">
        <v>149</v>
      </c>
      <c r="BU452" t="s">
        <v>413</v>
      </c>
      <c r="BV452" t="s">
        <v>414</v>
      </c>
      <c r="BW452" t="s">
        <v>687</v>
      </c>
    </row>
    <row r="453" spans="1:75" x14ac:dyDescent="0.75">
      <c r="B453" t="s">
        <v>426</v>
      </c>
      <c r="C453" t="s">
        <v>300</v>
      </c>
      <c r="D453" t="s">
        <v>77</v>
      </c>
      <c r="E453" t="s">
        <v>77</v>
      </c>
      <c r="F453">
        <v>100</v>
      </c>
      <c r="G453">
        <v>1</v>
      </c>
      <c r="H453" t="s">
        <v>415</v>
      </c>
      <c r="J453">
        <f>1/16</f>
        <v>6.25E-2</v>
      </c>
      <c r="L453">
        <v>-56.5</v>
      </c>
      <c r="R453" t="s">
        <v>84</v>
      </c>
      <c r="S453" s="5"/>
      <c r="T453" s="5"/>
      <c r="U453" s="5"/>
      <c r="V453" s="5"/>
      <c r="W453" s="5"/>
      <c r="X453" s="5"/>
      <c r="Y453" s="5"/>
      <c r="Z453" s="5"/>
      <c r="AA453" s="5"/>
      <c r="AB453" s="5"/>
      <c r="AC453" s="5"/>
      <c r="AD453">
        <v>6.8999999999999997E-5</v>
      </c>
      <c r="AE453" s="5">
        <v>8.6000000000000003E-5</v>
      </c>
      <c r="AF453">
        <v>1.0200000000000001E-4</v>
      </c>
      <c r="AG453" s="5">
        <v>1.22E-4</v>
      </c>
      <c r="AH453">
        <v>1.44E-4</v>
      </c>
      <c r="AI453" s="5">
        <v>1.6799999999999999E-4</v>
      </c>
      <c r="AJ453" s="5">
        <v>1.94E-4</v>
      </c>
      <c r="AK453" s="5">
        <v>2.23E-4</v>
      </c>
      <c r="AL453" s="5">
        <v>2.8200000000000002E-4</v>
      </c>
      <c r="AM453" s="5">
        <v>3.4500000000000004E-4</v>
      </c>
      <c r="AN453" s="5"/>
      <c r="AV453">
        <v>0.27</v>
      </c>
      <c r="AW453">
        <v>642</v>
      </c>
      <c r="AX453">
        <v>-65</v>
      </c>
      <c r="AY453">
        <v>55</v>
      </c>
      <c r="AZ453">
        <v>0.93</v>
      </c>
      <c r="BA453">
        <v>1064</v>
      </c>
      <c r="BB453">
        <v>-106.5</v>
      </c>
      <c r="BG453">
        <v>0.31</v>
      </c>
      <c r="BH453">
        <v>4.0999999999999996</v>
      </c>
      <c r="BI453" t="s">
        <v>81</v>
      </c>
      <c r="BM453">
        <v>1.21</v>
      </c>
      <c r="BN453" s="17">
        <v>4</v>
      </c>
      <c r="BO453" s="17">
        <f t="shared" si="16"/>
        <v>4.84</v>
      </c>
      <c r="BP453" t="s">
        <v>82</v>
      </c>
      <c r="BQ453" t="s">
        <v>241</v>
      </c>
      <c r="BR453">
        <v>130</v>
      </c>
      <c r="BS453">
        <v>24</v>
      </c>
      <c r="BT453" t="s">
        <v>149</v>
      </c>
      <c r="BU453" t="s">
        <v>413</v>
      </c>
      <c r="BV453" t="s">
        <v>414</v>
      </c>
      <c r="BW453" t="s">
        <v>687</v>
      </c>
    </row>
    <row r="454" spans="1:75" x14ac:dyDescent="0.75">
      <c r="B454" t="s">
        <v>426</v>
      </c>
      <c r="C454" t="s">
        <v>300</v>
      </c>
      <c r="D454" t="s">
        <v>77</v>
      </c>
      <c r="E454" t="s">
        <v>77</v>
      </c>
      <c r="F454">
        <v>100</v>
      </c>
      <c r="G454">
        <v>1</v>
      </c>
      <c r="H454" t="s">
        <v>415</v>
      </c>
      <c r="J454">
        <f>1/12</f>
        <v>8.3333333333333329E-2</v>
      </c>
      <c r="L454">
        <v>-53.5</v>
      </c>
      <c r="R454" t="s">
        <v>84</v>
      </c>
      <c r="S454" s="5"/>
      <c r="T454" s="5"/>
      <c r="U454" s="5"/>
      <c r="V454" s="5"/>
      <c r="W454" s="5"/>
      <c r="X454" s="5"/>
      <c r="Y454" s="5"/>
      <c r="Z454" s="5"/>
      <c r="AA454" s="5"/>
      <c r="AB454" s="5"/>
      <c r="AC454" s="5"/>
      <c r="AD454">
        <v>6.4000000000000011E-5</v>
      </c>
      <c r="AE454" s="5">
        <v>7.9000000000000009E-5</v>
      </c>
      <c r="AF454">
        <v>9.7E-5</v>
      </c>
      <c r="AG454" s="5">
        <v>1.1499999999999999E-4</v>
      </c>
      <c r="AH454">
        <v>1.3799999999999999E-4</v>
      </c>
      <c r="AI454" s="5">
        <v>1.6000000000000001E-4</v>
      </c>
      <c r="AJ454" s="5">
        <v>1.8600000000000002E-4</v>
      </c>
      <c r="AK454" s="5">
        <v>2.1400000000000002E-4</v>
      </c>
      <c r="AL454" s="5">
        <v>2.7900000000000001E-4</v>
      </c>
      <c r="AM454" s="5">
        <v>3.5300000000000002E-4</v>
      </c>
      <c r="AN454" s="5"/>
      <c r="AV454">
        <v>0.81</v>
      </c>
      <c r="AW454">
        <v>963</v>
      </c>
      <c r="AX454">
        <v>-92</v>
      </c>
      <c r="AY454">
        <v>55</v>
      </c>
      <c r="AZ454">
        <v>1.2</v>
      </c>
      <c r="BA454">
        <v>1093</v>
      </c>
      <c r="BB454">
        <v>-103.5</v>
      </c>
      <c r="BG454">
        <v>0.33</v>
      </c>
      <c r="BH454">
        <v>7.8</v>
      </c>
      <c r="BI454" t="s">
        <v>81</v>
      </c>
      <c r="BM454">
        <v>1.21</v>
      </c>
      <c r="BN454" s="17">
        <v>4</v>
      </c>
      <c r="BO454" s="17">
        <f t="shared" si="16"/>
        <v>4.84</v>
      </c>
      <c r="BP454" t="s">
        <v>82</v>
      </c>
      <c r="BQ454" t="s">
        <v>241</v>
      </c>
      <c r="BR454">
        <v>130</v>
      </c>
      <c r="BS454">
        <v>24</v>
      </c>
      <c r="BT454" t="s">
        <v>149</v>
      </c>
      <c r="BU454" t="s">
        <v>413</v>
      </c>
      <c r="BV454" t="s">
        <v>414</v>
      </c>
      <c r="BW454" t="s">
        <v>687</v>
      </c>
    </row>
    <row r="455" spans="1:75" x14ac:dyDescent="0.75">
      <c r="A455" s="1"/>
      <c r="B455" t="s">
        <v>426</v>
      </c>
      <c r="C455" s="1" t="s">
        <v>300</v>
      </c>
      <c r="D455" t="s">
        <v>77</v>
      </c>
      <c r="E455" t="s">
        <v>77</v>
      </c>
      <c r="F455">
        <v>100</v>
      </c>
      <c r="G455">
        <v>1</v>
      </c>
      <c r="H455" s="1" t="s">
        <v>415</v>
      </c>
      <c r="I455" s="1"/>
      <c r="J455" s="1">
        <f>1/10</f>
        <v>0.1</v>
      </c>
      <c r="K455" s="1"/>
      <c r="L455" s="1">
        <v>-53</v>
      </c>
      <c r="M455" s="1"/>
      <c r="N455" s="1"/>
      <c r="O455" s="1"/>
      <c r="P455" s="1"/>
      <c r="Q455" s="1"/>
      <c r="R455" t="s">
        <v>84</v>
      </c>
      <c r="S455" s="3"/>
      <c r="T455" s="3"/>
      <c r="U455" s="3"/>
      <c r="V455" s="3"/>
      <c r="W455" s="3"/>
      <c r="X455" s="3"/>
      <c r="Y455" s="3"/>
      <c r="Z455" s="3"/>
      <c r="AA455" s="3"/>
      <c r="AB455" s="3"/>
      <c r="AC455" s="3"/>
      <c r="AD455">
        <v>5.5000000000000009E-5</v>
      </c>
      <c r="AE455" s="3">
        <v>6.8000000000000013E-5</v>
      </c>
      <c r="AF455">
        <v>8.3999999999999995E-5</v>
      </c>
      <c r="AG455" s="3">
        <v>1.0200000000000001E-4</v>
      </c>
      <c r="AH455">
        <v>1.21E-4</v>
      </c>
      <c r="AI455" s="3">
        <v>1.4200000000000001E-4</v>
      </c>
      <c r="AJ455" s="3">
        <v>1.6799999999999999E-4</v>
      </c>
      <c r="AK455" s="3">
        <v>1.94E-4</v>
      </c>
      <c r="AL455" s="3">
        <v>2.5700000000000001E-4</v>
      </c>
      <c r="AM455" s="3">
        <v>3.28E-4</v>
      </c>
      <c r="AN455" s="3"/>
      <c r="AO455" s="1"/>
      <c r="AP455" s="1"/>
      <c r="AQ455" s="1"/>
      <c r="AR455" s="1"/>
      <c r="AS455" s="1"/>
      <c r="AT455" s="1"/>
      <c r="AU455" s="1"/>
      <c r="AV455" s="1">
        <v>0.95</v>
      </c>
      <c r="AW455" s="1">
        <v>1014</v>
      </c>
      <c r="AX455" s="1">
        <v>-93</v>
      </c>
      <c r="AY455">
        <v>55</v>
      </c>
      <c r="AZ455" s="1">
        <v>1.3</v>
      </c>
      <c r="BA455" s="1">
        <v>1137</v>
      </c>
      <c r="BB455" s="1">
        <v>-103</v>
      </c>
      <c r="BC455" s="1"/>
      <c r="BD455" s="1"/>
      <c r="BE455" s="1"/>
      <c r="BF455" s="1"/>
      <c r="BG455" s="1">
        <v>0.35</v>
      </c>
      <c r="BH455" s="1">
        <v>11.8</v>
      </c>
      <c r="BI455" t="s">
        <v>81</v>
      </c>
      <c r="BJ455" s="1"/>
      <c r="BK455" s="1"/>
      <c r="BL455" s="1"/>
      <c r="BM455" s="1">
        <v>1.21</v>
      </c>
      <c r="BN455" s="19">
        <v>4</v>
      </c>
      <c r="BO455" s="17">
        <f t="shared" si="16"/>
        <v>4.84</v>
      </c>
      <c r="BP455" s="1" t="s">
        <v>82</v>
      </c>
      <c r="BQ455" s="1" t="s">
        <v>241</v>
      </c>
      <c r="BR455" s="1">
        <v>130</v>
      </c>
      <c r="BS455" s="1">
        <v>24</v>
      </c>
      <c r="BT455" t="s">
        <v>149</v>
      </c>
      <c r="BU455" s="1" t="s">
        <v>413</v>
      </c>
      <c r="BV455" t="s">
        <v>414</v>
      </c>
      <c r="BW455" t="s">
        <v>687</v>
      </c>
    </row>
    <row r="456" spans="1:75" x14ac:dyDescent="0.75">
      <c r="A456" t="s">
        <v>416</v>
      </c>
      <c r="B456" t="s">
        <v>426</v>
      </c>
      <c r="C456" t="s">
        <v>300</v>
      </c>
      <c r="D456" t="s">
        <v>77</v>
      </c>
      <c r="E456" t="s">
        <v>77</v>
      </c>
      <c r="F456">
        <v>100</v>
      </c>
      <c r="G456">
        <v>1</v>
      </c>
      <c r="H456" t="s">
        <v>91</v>
      </c>
      <c r="J456">
        <f>1/12</f>
        <v>8.3333333333333329E-2</v>
      </c>
      <c r="L456">
        <v>-42</v>
      </c>
      <c r="R456" t="s">
        <v>84</v>
      </c>
      <c r="S456">
        <v>4.9693547378030652E-10</v>
      </c>
      <c r="T456">
        <v>6.8691025487188384E-9</v>
      </c>
      <c r="U456">
        <v>1.5286216280272632E-8</v>
      </c>
      <c r="V456" s="5"/>
      <c r="W456" s="5">
        <v>3.065490679425788E-8</v>
      </c>
      <c r="X456" s="5"/>
      <c r="Y456" s="5">
        <v>6.2546066174248717E-8</v>
      </c>
      <c r="Z456">
        <v>1.2325370982033415E-7</v>
      </c>
      <c r="AA456">
        <v>2.5147800129956075E-7</v>
      </c>
      <c r="AB456">
        <v>4.9556428556229637E-7</v>
      </c>
      <c r="AC456">
        <v>1.1822246217614629E-6</v>
      </c>
      <c r="AD456">
        <v>3.5974933515574209E-6</v>
      </c>
      <c r="AE456">
        <v>4.0299531750197634E-5</v>
      </c>
      <c r="AF456">
        <v>5.2323887111242728E-5</v>
      </c>
      <c r="AG456">
        <v>7.0339617121624627E-5</v>
      </c>
      <c r="AH456">
        <v>8.8206380213667315E-5</v>
      </c>
      <c r="AI456">
        <v>1.2067019095932746E-4</v>
      </c>
      <c r="AJ456">
        <v>1.4115621351879604E-4</v>
      </c>
      <c r="AK456">
        <v>1.6512012168506298E-4</v>
      </c>
      <c r="AL456">
        <v>2.464903945604655E-4</v>
      </c>
      <c r="AM456">
        <v>3.3728730865886851E-4</v>
      </c>
      <c r="AN456">
        <v>6.5358187511307432E-4</v>
      </c>
      <c r="AV456" s="5">
        <v>23000</v>
      </c>
      <c r="AW456">
        <v>5732</v>
      </c>
      <c r="AX456">
        <v>-273.14999999999998</v>
      </c>
      <c r="AY456">
        <v>57</v>
      </c>
      <c r="AZ456">
        <v>11.2</v>
      </c>
      <c r="BA456">
        <v>1474</v>
      </c>
      <c r="BB456">
        <v>-92</v>
      </c>
      <c r="BE456">
        <v>1.2</v>
      </c>
      <c r="BF456" s="5">
        <v>10000000000000</v>
      </c>
      <c r="BG456">
        <v>0.48</v>
      </c>
      <c r="BH456">
        <v>721</v>
      </c>
      <c r="BI456" t="s">
        <v>417</v>
      </c>
      <c r="BM456">
        <v>1.06</v>
      </c>
      <c r="BN456">
        <f>BO456/BM456</f>
        <v>13.20754716981132</v>
      </c>
      <c r="BO456" s="17">
        <v>14</v>
      </c>
      <c r="BP456" t="s">
        <v>82</v>
      </c>
      <c r="BQ456" t="s">
        <v>148</v>
      </c>
      <c r="BR456">
        <v>25</v>
      </c>
      <c r="BT456" t="s">
        <v>84</v>
      </c>
      <c r="BU456" t="s">
        <v>418</v>
      </c>
      <c r="BV456" t="s">
        <v>419</v>
      </c>
      <c r="BW456" t="s">
        <v>688</v>
      </c>
    </row>
    <row r="457" spans="1:75" x14ac:dyDescent="0.75">
      <c r="B457" t="s">
        <v>426</v>
      </c>
      <c r="C457" t="s">
        <v>300</v>
      </c>
      <c r="D457" t="s">
        <v>77</v>
      </c>
      <c r="E457" t="s">
        <v>77</v>
      </c>
      <c r="F457">
        <v>100</v>
      </c>
      <c r="G457">
        <v>1</v>
      </c>
      <c r="H457" t="s">
        <v>91</v>
      </c>
      <c r="J457">
        <f>1/8</f>
        <v>0.125</v>
      </c>
      <c r="L457">
        <v>-42</v>
      </c>
      <c r="R457" t="s">
        <v>84</v>
      </c>
      <c r="S457">
        <v>1.1246049739669235E-9</v>
      </c>
      <c r="T457">
        <v>1.400554457242231E-8</v>
      </c>
      <c r="U457">
        <v>3.0109254320529956E-8</v>
      </c>
      <c r="V457" s="5"/>
      <c r="W457">
        <v>5.5347753745716012E-8</v>
      </c>
      <c r="X457" s="5"/>
      <c r="Y457">
        <v>1.1292757442094149E-7</v>
      </c>
      <c r="Z457">
        <v>2.2646443075930583E-7</v>
      </c>
      <c r="AA457">
        <v>4.4627237076225237E-7</v>
      </c>
      <c r="AB457">
        <v>9.1054203559552612E-7</v>
      </c>
      <c r="AC457">
        <v>1.9570413414806743E-6</v>
      </c>
      <c r="AD457">
        <v>5.851941823780809E-6</v>
      </c>
      <c r="AE457">
        <v>3.5067111964647753E-5</v>
      </c>
      <c r="AF457">
        <v>4.5530246334599982E-5</v>
      </c>
      <c r="AG457">
        <v>5.9128927269374762E-5</v>
      </c>
      <c r="AH457">
        <v>7.6771495376902843E-5</v>
      </c>
      <c r="AI457">
        <v>1.0141448743412582E-4</v>
      </c>
      <c r="AJ457">
        <v>1.2502590302177196E-4</v>
      </c>
      <c r="AK457">
        <v>1.6807379257087352E-4</v>
      </c>
      <c r="AL457" s="5">
        <v>2.2599560844343723E-4</v>
      </c>
      <c r="AM457">
        <v>3.1462990561619859E-4</v>
      </c>
      <c r="AN457">
        <v>5.5898480174384926E-4</v>
      </c>
      <c r="AV457">
        <v>30</v>
      </c>
      <c r="AW457">
        <v>1878</v>
      </c>
      <c r="AX457">
        <v>-113</v>
      </c>
      <c r="AY457">
        <v>57</v>
      </c>
      <c r="AZ457">
        <v>15.1</v>
      </c>
      <c r="BA457">
        <v>1555</v>
      </c>
      <c r="BB457">
        <v>-92</v>
      </c>
      <c r="BE457">
        <v>1.2</v>
      </c>
      <c r="BF457" s="5">
        <v>3200000000000</v>
      </c>
      <c r="BG457">
        <v>0.44</v>
      </c>
      <c r="BH457">
        <v>166</v>
      </c>
      <c r="BI457" t="s">
        <v>417</v>
      </c>
      <c r="BM457">
        <v>1.06</v>
      </c>
      <c r="BN457">
        <f t="shared" ref="BN457:BN468" si="17">BO457/BM457</f>
        <v>13.20754716981132</v>
      </c>
      <c r="BO457" s="17">
        <v>14</v>
      </c>
      <c r="BP457" t="s">
        <v>82</v>
      </c>
      <c r="BQ457" t="s">
        <v>148</v>
      </c>
      <c r="BR457">
        <v>25</v>
      </c>
      <c r="BT457" t="s">
        <v>84</v>
      </c>
      <c r="BU457" t="s">
        <v>418</v>
      </c>
      <c r="BV457" t="s">
        <v>419</v>
      </c>
      <c r="BW457" t="s">
        <v>688</v>
      </c>
    </row>
    <row r="458" spans="1:75" x14ac:dyDescent="0.75">
      <c r="B458" t="s">
        <v>426</v>
      </c>
      <c r="C458" t="s">
        <v>300</v>
      </c>
      <c r="D458" t="s">
        <v>77</v>
      </c>
      <c r="E458" t="s">
        <v>77</v>
      </c>
      <c r="F458">
        <v>100</v>
      </c>
      <c r="G458">
        <v>1</v>
      </c>
      <c r="H458" t="s">
        <v>91</v>
      </c>
      <c r="J458">
        <f>1/6</f>
        <v>0.16666666666666666</v>
      </c>
      <c r="L458">
        <v>-42</v>
      </c>
      <c r="R458" t="s">
        <v>84</v>
      </c>
      <c r="S458" s="5"/>
      <c r="T458" s="5"/>
      <c r="U458" s="5"/>
      <c r="V458" s="5"/>
      <c r="W458" s="5"/>
      <c r="X458" s="5"/>
      <c r="Y458" s="5"/>
      <c r="Z458" s="5"/>
      <c r="AA458" s="5"/>
      <c r="AB458" s="5"/>
      <c r="AC458" s="5"/>
      <c r="AD458" s="5"/>
      <c r="AE458" s="5"/>
      <c r="AF458" s="5"/>
      <c r="AG458" s="5"/>
      <c r="AH458" s="5"/>
      <c r="AI458" s="5"/>
      <c r="AJ458" s="5"/>
      <c r="AK458" s="5"/>
      <c r="AL458" s="5"/>
      <c r="AM458" s="5"/>
      <c r="AN458" s="5"/>
      <c r="BM458">
        <v>1.06</v>
      </c>
      <c r="BN458">
        <f t="shared" si="17"/>
        <v>13.20754716981132</v>
      </c>
      <c r="BO458" s="17">
        <v>14</v>
      </c>
      <c r="BP458" t="s">
        <v>82</v>
      </c>
      <c r="BQ458" t="s">
        <v>148</v>
      </c>
      <c r="BR458">
        <v>25</v>
      </c>
      <c r="BT458" t="s">
        <v>84</v>
      </c>
      <c r="BU458" t="s">
        <v>418</v>
      </c>
      <c r="BV458" t="s">
        <v>419</v>
      </c>
      <c r="BW458" t="s">
        <v>688</v>
      </c>
    </row>
    <row r="459" spans="1:75" x14ac:dyDescent="0.75">
      <c r="B459" t="s">
        <v>426</v>
      </c>
      <c r="C459" t="s">
        <v>300</v>
      </c>
      <c r="D459" t="s">
        <v>77</v>
      </c>
      <c r="E459" t="s">
        <v>77</v>
      </c>
      <c r="F459">
        <v>100</v>
      </c>
      <c r="G459">
        <v>1</v>
      </c>
      <c r="H459" t="s">
        <v>91</v>
      </c>
      <c r="J459">
        <f>1/4</f>
        <v>0.25</v>
      </c>
      <c r="R459" t="s">
        <v>84</v>
      </c>
      <c r="S459">
        <v>3.9994474976109654E-11</v>
      </c>
      <c r="T459">
        <v>6.5765783735541887E-10</v>
      </c>
      <c r="U459">
        <v>1.3893126817367525E-9</v>
      </c>
      <c r="V459" s="5"/>
      <c r="W459">
        <v>2.5989624211086552E-9</v>
      </c>
      <c r="X459" s="5"/>
      <c r="Y459">
        <v>5.9882510595095704E-9</v>
      </c>
      <c r="Z459">
        <v>1.3329074642313339E-8</v>
      </c>
      <c r="AA459">
        <v>2.6266366513928962E-8</v>
      </c>
      <c r="AB459">
        <v>5.1760683195056651E-8</v>
      </c>
      <c r="AC459">
        <v>1.0560877376240319E-7</v>
      </c>
      <c r="AD459">
        <v>2.0450314909898618E-7</v>
      </c>
      <c r="AE459">
        <v>3.6940264435828257E-7</v>
      </c>
      <c r="AF459">
        <v>5.23238871112427E-7</v>
      </c>
      <c r="AG459">
        <v>7.4113956796007568E-7</v>
      </c>
      <c r="AH459">
        <v>1.0136779508886468E-6</v>
      </c>
      <c r="AI459">
        <v>1.4608310795054199E-6</v>
      </c>
      <c r="AJ459">
        <v>2.0332931614677072E-6</v>
      </c>
      <c r="AK459">
        <v>2.879386737807975E-6</v>
      </c>
      <c r="AL459">
        <v>5.2954149841666735E-6</v>
      </c>
      <c r="AM459">
        <v>8.0426653801567615E-6</v>
      </c>
      <c r="AN459">
        <v>1.531440048190028E-5</v>
      </c>
      <c r="AV459">
        <v>58</v>
      </c>
      <c r="AW459">
        <v>2868</v>
      </c>
      <c r="AX459">
        <v>-114</v>
      </c>
      <c r="AY459">
        <v>-15</v>
      </c>
      <c r="BE459">
        <v>1.2</v>
      </c>
      <c r="BF459" s="5">
        <v>880000000000</v>
      </c>
      <c r="BG459">
        <v>0.64</v>
      </c>
      <c r="BH459">
        <v>1911</v>
      </c>
      <c r="BI459" t="s">
        <v>420</v>
      </c>
      <c r="BM459">
        <v>1.06</v>
      </c>
      <c r="BN459">
        <f t="shared" si="17"/>
        <v>13.20754716981132</v>
      </c>
      <c r="BO459" s="17">
        <v>14</v>
      </c>
      <c r="BP459" t="s">
        <v>82</v>
      </c>
      <c r="BQ459" t="s">
        <v>148</v>
      </c>
      <c r="BR459">
        <v>25</v>
      </c>
      <c r="BT459" t="s">
        <v>84</v>
      </c>
      <c r="BU459" t="s">
        <v>418</v>
      </c>
      <c r="BV459" t="s">
        <v>419</v>
      </c>
      <c r="BW459" t="s">
        <v>688</v>
      </c>
    </row>
    <row r="460" spans="1:75" x14ac:dyDescent="0.75">
      <c r="B460" t="s">
        <v>426</v>
      </c>
      <c r="C460" t="s">
        <v>300</v>
      </c>
      <c r="D460" t="s">
        <v>77</v>
      </c>
      <c r="E460" t="s">
        <v>77</v>
      </c>
      <c r="F460">
        <v>100</v>
      </c>
      <c r="G460">
        <v>1</v>
      </c>
      <c r="H460" t="s">
        <v>91</v>
      </c>
      <c r="J460">
        <f>1/3</f>
        <v>0.33333333333333331</v>
      </c>
      <c r="R460" t="s">
        <v>84</v>
      </c>
      <c r="S460" s="5"/>
      <c r="T460" s="5"/>
      <c r="U460" s="5"/>
      <c r="V460" s="5"/>
      <c r="W460" s="5"/>
      <c r="X460" s="5"/>
      <c r="Y460" s="5"/>
      <c r="Z460" s="5"/>
      <c r="AA460" s="5"/>
      <c r="AB460" s="5"/>
      <c r="AC460" s="5"/>
      <c r="AD460" s="5"/>
      <c r="AE460" s="5"/>
      <c r="AF460" s="5"/>
      <c r="AG460" s="5"/>
      <c r="AH460" s="5"/>
      <c r="AI460" s="5"/>
      <c r="AJ460" s="5"/>
      <c r="AK460" s="5"/>
      <c r="AL460" s="5"/>
      <c r="AM460" s="5"/>
      <c r="AN460" s="5"/>
      <c r="BM460">
        <v>1.06</v>
      </c>
      <c r="BN460">
        <f t="shared" si="17"/>
        <v>13.20754716981132</v>
      </c>
      <c r="BO460" s="17">
        <v>14</v>
      </c>
      <c r="BP460" t="s">
        <v>82</v>
      </c>
      <c r="BQ460" t="s">
        <v>148</v>
      </c>
      <c r="BR460">
        <v>25</v>
      </c>
      <c r="BT460" t="s">
        <v>84</v>
      </c>
      <c r="BU460" t="s">
        <v>418</v>
      </c>
      <c r="BV460" t="s">
        <v>419</v>
      </c>
      <c r="BW460" t="s">
        <v>688</v>
      </c>
    </row>
    <row r="461" spans="1:75" x14ac:dyDescent="0.75">
      <c r="B461" t="s">
        <v>426</v>
      </c>
      <c r="C461" t="s">
        <v>300</v>
      </c>
      <c r="D461" t="s">
        <v>77</v>
      </c>
      <c r="E461" t="s">
        <v>77</v>
      </c>
      <c r="F461">
        <v>100</v>
      </c>
      <c r="G461">
        <v>1</v>
      </c>
      <c r="H461" t="s">
        <v>91</v>
      </c>
      <c r="J461">
        <f>1/2</f>
        <v>0.5</v>
      </c>
      <c r="R461" t="s">
        <v>84</v>
      </c>
      <c r="S461" s="5"/>
      <c r="T461" s="5"/>
      <c r="U461" s="5"/>
      <c r="V461" s="5"/>
      <c r="W461" s="5"/>
      <c r="X461" s="5"/>
      <c r="Y461" s="5"/>
      <c r="Z461" s="5"/>
      <c r="AA461" s="5"/>
      <c r="AB461" s="5"/>
      <c r="AC461" s="5"/>
      <c r="AD461">
        <v>1.7179083871575819E-11</v>
      </c>
      <c r="AE461">
        <v>6.7920363261718388E-11</v>
      </c>
      <c r="AF461">
        <v>1.9943436742573368E-10</v>
      </c>
      <c r="AG461">
        <v>4.2130828540400714E-10</v>
      </c>
      <c r="AH461">
        <v>7.7428349191245603E-10</v>
      </c>
      <c r="AI461">
        <v>1.5523870099580818E-9</v>
      </c>
      <c r="AJ461">
        <v>3.2794423443213463E-9</v>
      </c>
      <c r="AK461">
        <v>6.9262792943736225E-9</v>
      </c>
      <c r="AL461">
        <v>2.8820399726719978E-8</v>
      </c>
      <c r="AM461">
        <v>9.4037267268648145E-8</v>
      </c>
      <c r="AN461">
        <v>4.3441018601283861E-7</v>
      </c>
      <c r="AV461" s="5">
        <v>4300000000000000</v>
      </c>
      <c r="AW461">
        <v>18854</v>
      </c>
      <c r="AX461">
        <v>-273.14999999999998</v>
      </c>
      <c r="AY461">
        <v>55</v>
      </c>
      <c r="BG461">
        <v>1.6</v>
      </c>
      <c r="BH461" s="5">
        <v>130000000000000</v>
      </c>
      <c r="BI461" t="s">
        <v>81</v>
      </c>
      <c r="BM461">
        <v>1.06</v>
      </c>
      <c r="BN461">
        <f t="shared" si="17"/>
        <v>13.20754716981132</v>
      </c>
      <c r="BO461" s="17">
        <v>14</v>
      </c>
      <c r="BP461" t="s">
        <v>82</v>
      </c>
      <c r="BQ461" t="s">
        <v>148</v>
      </c>
      <c r="BR461">
        <v>25</v>
      </c>
      <c r="BT461" t="s">
        <v>84</v>
      </c>
      <c r="BU461" t="s">
        <v>418</v>
      </c>
      <c r="BV461" t="s">
        <v>419</v>
      </c>
      <c r="BW461" t="s">
        <v>688</v>
      </c>
    </row>
    <row r="462" spans="1:75" x14ac:dyDescent="0.75">
      <c r="B462" t="s">
        <v>426</v>
      </c>
      <c r="C462" t="s">
        <v>300</v>
      </c>
      <c r="D462" t="s">
        <v>77</v>
      </c>
      <c r="E462" t="s">
        <v>77</v>
      </c>
      <c r="F462">
        <v>100</v>
      </c>
      <c r="G462">
        <v>1</v>
      </c>
      <c r="H462" t="s">
        <v>91</v>
      </c>
      <c r="J462">
        <f>1/12</f>
        <v>8.3333333333333329E-2</v>
      </c>
      <c r="L462">
        <v>-49</v>
      </c>
      <c r="R462" t="s">
        <v>84</v>
      </c>
      <c r="S462">
        <v>9.6360711933842522E-10</v>
      </c>
      <c r="T462">
        <v>1.0078595144150273E-8</v>
      </c>
      <c r="U462">
        <v>2.0445606592958595E-8</v>
      </c>
      <c r="V462" s="5"/>
      <c r="W462">
        <v>3.5686174928348119E-8</v>
      </c>
      <c r="X462" s="5"/>
      <c r="Y462">
        <v>6.322662499296877E-8</v>
      </c>
      <c r="Z462">
        <v>1.1542503103646674E-7</v>
      </c>
      <c r="AA462">
        <v>2.17170084334799E-7</v>
      </c>
      <c r="AB462">
        <v>4.3391034059292445E-7</v>
      </c>
      <c r="AC462">
        <v>1.0076274729014487E-6</v>
      </c>
      <c r="AD462">
        <v>3.960043896115245E-6</v>
      </c>
      <c r="AE462">
        <v>4.5248063785554818E-5</v>
      </c>
      <c r="AF462">
        <v>5.7583757448683887E-5</v>
      </c>
      <c r="AG462">
        <v>7.1104976954234134E-5</v>
      </c>
      <c r="AH462">
        <v>8.6496791877569275E-5</v>
      </c>
      <c r="AI462">
        <v>1.0680706965936851E-4</v>
      </c>
      <c r="AJ462">
        <v>1.3191676726401501E-4</v>
      </c>
      <c r="AK462">
        <v>1.5805200152842544E-4</v>
      </c>
      <c r="AL462">
        <v>2.303562500117533E-4</v>
      </c>
      <c r="AM462">
        <v>3.5123679046568032E-4</v>
      </c>
      <c r="AN462">
        <v>6.4165266148740482E-4</v>
      </c>
      <c r="AV462" s="5">
        <v>14000</v>
      </c>
      <c r="AW462">
        <v>5558</v>
      </c>
      <c r="AX462">
        <v>-272.7</v>
      </c>
      <c r="AY462">
        <v>57</v>
      </c>
      <c r="AZ462">
        <v>16</v>
      </c>
      <c r="BA462">
        <v>1600</v>
      </c>
      <c r="BB462">
        <v>-99</v>
      </c>
      <c r="BE462">
        <v>1.1000000000000001</v>
      </c>
      <c r="BF462" s="5">
        <v>130000000000</v>
      </c>
      <c r="BG462">
        <v>0.46</v>
      </c>
      <c r="BH462">
        <v>458</v>
      </c>
      <c r="BI462" t="s">
        <v>417</v>
      </c>
      <c r="BM462">
        <v>1.05</v>
      </c>
      <c r="BN462">
        <f t="shared" si="17"/>
        <v>20.952380952380953</v>
      </c>
      <c r="BO462" s="17">
        <v>22</v>
      </c>
      <c r="BP462" t="s">
        <v>82</v>
      </c>
      <c r="BQ462" t="s">
        <v>148</v>
      </c>
      <c r="BR462">
        <v>25</v>
      </c>
      <c r="BT462" t="s">
        <v>84</v>
      </c>
      <c r="BU462" t="s">
        <v>418</v>
      </c>
      <c r="BV462" t="s">
        <v>419</v>
      </c>
      <c r="BW462" t="s">
        <v>688</v>
      </c>
    </row>
    <row r="463" spans="1:75" x14ac:dyDescent="0.75">
      <c r="B463" t="s">
        <v>426</v>
      </c>
      <c r="C463" t="s">
        <v>300</v>
      </c>
      <c r="D463" t="s">
        <v>77</v>
      </c>
      <c r="E463" t="s">
        <v>77</v>
      </c>
      <c r="F463">
        <v>100</v>
      </c>
      <c r="G463">
        <v>1</v>
      </c>
      <c r="H463" t="s">
        <v>91</v>
      </c>
      <c r="J463">
        <f>1/8</f>
        <v>0.125</v>
      </c>
      <c r="R463" t="s">
        <v>84</v>
      </c>
      <c r="S463" s="5"/>
      <c r="T463" s="5"/>
      <c r="U463">
        <v>7.8108806167105369E-9</v>
      </c>
      <c r="V463" s="5"/>
      <c r="W463">
        <v>1.5378005078810469E-8</v>
      </c>
      <c r="X463" s="5"/>
      <c r="Y463">
        <v>3.0262165357633463E-8</v>
      </c>
      <c r="Z463">
        <v>6.4224391767042976E-8</v>
      </c>
      <c r="AA463">
        <v>1.2641540489485785E-7</v>
      </c>
      <c r="AB463">
        <v>2.6025555018262452E-7</v>
      </c>
      <c r="AC463">
        <v>6.6145453748405961E-7</v>
      </c>
      <c r="AD463">
        <v>2.447372073067253E-6</v>
      </c>
      <c r="AE463">
        <v>2.4428679967864594E-5</v>
      </c>
      <c r="AF463">
        <v>3.2040552769132304E-5</v>
      </c>
      <c r="AG463">
        <v>3.9563982400425136E-5</v>
      </c>
      <c r="AH463">
        <v>5.188000389289602E-5</v>
      </c>
      <c r="AI463">
        <v>6.4076679764943622E-5</v>
      </c>
      <c r="AJ463">
        <v>7.7947106816465033E-5</v>
      </c>
      <c r="AK463">
        <v>9.9174495523141328E-5</v>
      </c>
      <c r="AL463">
        <v>1.3409111436547301E-4</v>
      </c>
      <c r="AM463">
        <v>2.0141879803932015E-4</v>
      </c>
      <c r="AN463">
        <v>3.5702612803901508E-4</v>
      </c>
      <c r="AV463" s="5">
        <v>23000</v>
      </c>
      <c r="AW463">
        <v>5930</v>
      </c>
      <c r="AX463">
        <v>-273.14999999999998</v>
      </c>
      <c r="AY463">
        <v>57</v>
      </c>
      <c r="BE463">
        <v>1.3</v>
      </c>
      <c r="BF463" s="5">
        <v>150000000000000</v>
      </c>
      <c r="BG463">
        <v>0.49</v>
      </c>
      <c r="BH463">
        <v>712</v>
      </c>
      <c r="BI463" t="s">
        <v>417</v>
      </c>
      <c r="BM463">
        <v>1.05</v>
      </c>
      <c r="BN463">
        <f t="shared" si="17"/>
        <v>20.952380952380953</v>
      </c>
      <c r="BO463" s="17">
        <v>22</v>
      </c>
      <c r="BP463" t="s">
        <v>82</v>
      </c>
      <c r="BQ463" t="s">
        <v>148</v>
      </c>
      <c r="BR463">
        <v>25</v>
      </c>
      <c r="BT463" t="s">
        <v>84</v>
      </c>
      <c r="BU463" t="s">
        <v>418</v>
      </c>
      <c r="BV463" t="s">
        <v>419</v>
      </c>
      <c r="BW463" t="s">
        <v>688</v>
      </c>
    </row>
    <row r="464" spans="1:75" x14ac:dyDescent="0.75">
      <c r="B464" t="s">
        <v>426</v>
      </c>
      <c r="C464" t="s">
        <v>300</v>
      </c>
      <c r="D464" t="s">
        <v>77</v>
      </c>
      <c r="E464" t="s">
        <v>77</v>
      </c>
      <c r="F464">
        <v>100</v>
      </c>
      <c r="G464">
        <v>1</v>
      </c>
      <c r="H464" t="s">
        <v>91</v>
      </c>
      <c r="J464">
        <f>1/6</f>
        <v>0.16666666666666666</v>
      </c>
      <c r="R464" t="s">
        <v>84</v>
      </c>
      <c r="S464">
        <v>9.6360711933842522E-10</v>
      </c>
      <c r="T464">
        <v>7.241024217924125E-9</v>
      </c>
      <c r="U464">
        <v>1.3219042534417221E-8</v>
      </c>
      <c r="V464" s="5"/>
      <c r="W464">
        <v>1.6576773368488767E-8</v>
      </c>
      <c r="X464" s="5"/>
      <c r="Y464">
        <v>2.7239554471208592E-8</v>
      </c>
      <c r="Z464">
        <v>4.3441018601283891E-8</v>
      </c>
      <c r="AA464">
        <v>7.3569871925615752E-8</v>
      </c>
      <c r="AB464">
        <v>1.4265927086477438E-7</v>
      </c>
      <c r="AC464">
        <v>3.0725573652674412E-7</v>
      </c>
      <c r="AD464">
        <v>8.0463700173979875E-7</v>
      </c>
      <c r="AE464">
        <v>1.3626991969948677E-6</v>
      </c>
      <c r="AF464">
        <v>1.7342032668438628E-6</v>
      </c>
      <c r="AG464">
        <v>2.1737019751571141E-6</v>
      </c>
      <c r="AH464">
        <v>2.7663046068975026E-6</v>
      </c>
      <c r="AI464">
        <v>3.3651156937549027E-6</v>
      </c>
      <c r="AJ464">
        <v>4.0327379297611262E-6</v>
      </c>
      <c r="AK464">
        <v>5.0547537135979845E-6</v>
      </c>
      <c r="AL464">
        <v>7.1499005315999978E-6</v>
      </c>
      <c r="AM464">
        <v>1.0265970217515527E-5</v>
      </c>
      <c r="AN464">
        <v>2.0830514650217413E-5</v>
      </c>
      <c r="AV464">
        <v>337</v>
      </c>
      <c r="AW464">
        <v>5472</v>
      </c>
      <c r="AX464">
        <v>-273.14999999999998</v>
      </c>
      <c r="AY464">
        <v>56</v>
      </c>
      <c r="BE464">
        <v>0.9</v>
      </c>
      <c r="BF464" s="5">
        <v>42000000</v>
      </c>
      <c r="BG464">
        <v>0.46</v>
      </c>
      <c r="BH464">
        <v>10.7</v>
      </c>
      <c r="BI464" t="s">
        <v>421</v>
      </c>
      <c r="BM464">
        <v>1.05</v>
      </c>
      <c r="BN464">
        <f t="shared" si="17"/>
        <v>20.952380952380953</v>
      </c>
      <c r="BO464" s="17">
        <v>22</v>
      </c>
      <c r="BP464" t="s">
        <v>82</v>
      </c>
      <c r="BQ464" t="s">
        <v>148</v>
      </c>
      <c r="BR464">
        <v>25</v>
      </c>
      <c r="BT464" t="s">
        <v>84</v>
      </c>
      <c r="BU464" t="s">
        <v>418</v>
      </c>
      <c r="BV464" t="s">
        <v>419</v>
      </c>
      <c r="BW464" t="s">
        <v>688</v>
      </c>
    </row>
    <row r="465" spans="1:75" x14ac:dyDescent="0.75">
      <c r="B465" t="s">
        <v>426</v>
      </c>
      <c r="C465" t="s">
        <v>300</v>
      </c>
      <c r="D465" t="s">
        <v>77</v>
      </c>
      <c r="E465" t="s">
        <v>77</v>
      </c>
      <c r="F465">
        <v>100</v>
      </c>
      <c r="G465">
        <v>1</v>
      </c>
      <c r="H465" t="s">
        <v>91</v>
      </c>
      <c r="J465">
        <f>1/4</f>
        <v>0.25</v>
      </c>
      <c r="R465" t="s">
        <v>84</v>
      </c>
      <c r="S465" s="5"/>
      <c r="T465" s="5"/>
      <c r="U465">
        <v>1.4076672283622641E-9</v>
      </c>
      <c r="V465" s="5"/>
      <c r="W465">
        <v>2.2787674114329451E-9</v>
      </c>
      <c r="X465" s="5"/>
      <c r="Y465">
        <v>3.859224115947284E-9</v>
      </c>
      <c r="Z465">
        <v>6.6343747579317005E-9</v>
      </c>
      <c r="AA465">
        <v>1.1068786228588036E-8</v>
      </c>
      <c r="AB465">
        <v>2.051162178825566E-8</v>
      </c>
      <c r="AC465">
        <v>4.223767459498077E-8</v>
      </c>
      <c r="AD465">
        <v>1.9002030025772312E-7</v>
      </c>
      <c r="AE465">
        <v>2.9853826189179548E-7</v>
      </c>
      <c r="AF465">
        <v>3.6863791409739688E-7</v>
      </c>
      <c r="AG465">
        <v>4.5519763814842009E-7</v>
      </c>
      <c r="AH465">
        <v>6.0603820052706464E-7</v>
      </c>
      <c r="AI465">
        <v>7.0469306896714609E-7</v>
      </c>
      <c r="AJ465">
        <v>9.1033239967990836E-7</v>
      </c>
      <c r="AK465">
        <v>1.2119926887749212E-6</v>
      </c>
      <c r="AL465">
        <v>2.1802183971859407E-6</v>
      </c>
      <c r="AM465">
        <v>4.0420343507950047E-6</v>
      </c>
      <c r="AN465">
        <v>9.6783205048815876E-6</v>
      </c>
      <c r="AV465" s="5">
        <v>130000</v>
      </c>
      <c r="AW465">
        <v>8071</v>
      </c>
      <c r="AX465">
        <v>-273.14999999999998</v>
      </c>
      <c r="AY465">
        <v>55</v>
      </c>
      <c r="BE465">
        <v>0.91</v>
      </c>
      <c r="BF465" s="5">
        <v>5500000</v>
      </c>
      <c r="BG465">
        <v>0.68</v>
      </c>
      <c r="BH465">
        <v>4024</v>
      </c>
      <c r="BI465" t="s">
        <v>422</v>
      </c>
      <c r="BM465">
        <v>1.05</v>
      </c>
      <c r="BN465">
        <f t="shared" si="17"/>
        <v>20.952380952380953</v>
      </c>
      <c r="BO465" s="17">
        <v>22</v>
      </c>
      <c r="BP465" t="s">
        <v>82</v>
      </c>
      <c r="BQ465" t="s">
        <v>148</v>
      </c>
      <c r="BR465">
        <v>25</v>
      </c>
      <c r="BT465" t="s">
        <v>84</v>
      </c>
      <c r="BU465" t="s">
        <v>418</v>
      </c>
      <c r="BV465" t="s">
        <v>419</v>
      </c>
      <c r="BW465" t="s">
        <v>688</v>
      </c>
    </row>
    <row r="466" spans="1:75" x14ac:dyDescent="0.75">
      <c r="B466" t="s">
        <v>426</v>
      </c>
      <c r="C466" t="s">
        <v>300</v>
      </c>
      <c r="D466" t="s">
        <v>77</v>
      </c>
      <c r="E466" t="s">
        <v>77</v>
      </c>
      <c r="F466">
        <v>100</v>
      </c>
      <c r="G466">
        <v>1</v>
      </c>
      <c r="H466" t="s">
        <v>91</v>
      </c>
      <c r="J466">
        <f>1/3</f>
        <v>0.33333333333333331</v>
      </c>
      <c r="R466" t="s">
        <v>84</v>
      </c>
      <c r="S466" s="5"/>
      <c r="T466" s="5"/>
      <c r="U466" s="5"/>
      <c r="V466" s="5"/>
      <c r="W466" s="5"/>
      <c r="X466" s="5"/>
      <c r="Y466">
        <v>1.3851601859244566E-8</v>
      </c>
      <c r="Z466">
        <v>1.7893693744453031E-8</v>
      </c>
      <c r="AA466">
        <v>2.3469292626864574E-8</v>
      </c>
      <c r="AB466">
        <v>3.220327198167533E-8</v>
      </c>
      <c r="AC466">
        <v>4.223767459498077E-8</v>
      </c>
      <c r="AD466">
        <v>5.7082107617186579E-8</v>
      </c>
      <c r="AE466">
        <v>7.9506017508442028E-8</v>
      </c>
      <c r="AF466">
        <v>1.0273064148386752E-7</v>
      </c>
      <c r="AG466">
        <v>1.3070734707217046E-7</v>
      </c>
      <c r="AH466">
        <v>1.6143585568264854E-7</v>
      </c>
      <c r="AI466">
        <v>1.9638124092982821E-7</v>
      </c>
      <c r="AJ466">
        <v>2.2156440963128602E-7</v>
      </c>
      <c r="AK466">
        <v>2.538048985963772E-7</v>
      </c>
      <c r="AL466">
        <v>2.8648375471900214E-7</v>
      </c>
      <c r="AM466">
        <v>3.539158395669493E-7</v>
      </c>
      <c r="AN466">
        <v>5.3174081882714215E-7</v>
      </c>
      <c r="AV466">
        <v>0.05</v>
      </c>
      <c r="AW466">
        <v>3383</v>
      </c>
      <c r="AX466">
        <v>-273.14999999999998</v>
      </c>
      <c r="AY466">
        <v>80</v>
      </c>
      <c r="BE466">
        <v>0.51</v>
      </c>
      <c r="BF466">
        <v>3.3</v>
      </c>
      <c r="BG466">
        <v>0.28000000000000003</v>
      </c>
      <c r="BH466">
        <v>2E-3</v>
      </c>
      <c r="BI466" t="s">
        <v>423</v>
      </c>
      <c r="BM466">
        <v>1.05</v>
      </c>
      <c r="BN466">
        <f t="shared" si="17"/>
        <v>20.952380952380953</v>
      </c>
      <c r="BO466" s="17">
        <v>22</v>
      </c>
      <c r="BP466" t="s">
        <v>82</v>
      </c>
      <c r="BQ466" t="s">
        <v>148</v>
      </c>
      <c r="BR466">
        <v>25</v>
      </c>
      <c r="BT466" t="s">
        <v>84</v>
      </c>
      <c r="BU466" t="s">
        <v>418</v>
      </c>
      <c r="BV466" t="s">
        <v>419</v>
      </c>
      <c r="BW466" t="s">
        <v>688</v>
      </c>
    </row>
    <row r="467" spans="1:75" x14ac:dyDescent="0.75">
      <c r="B467" t="s">
        <v>426</v>
      </c>
      <c r="C467" t="s">
        <v>300</v>
      </c>
      <c r="D467" t="s">
        <v>77</v>
      </c>
      <c r="E467" t="s">
        <v>77</v>
      </c>
      <c r="F467">
        <v>100</v>
      </c>
      <c r="G467">
        <v>1</v>
      </c>
      <c r="H467" t="s">
        <v>91</v>
      </c>
      <c r="J467">
        <f>1/2</f>
        <v>0.5</v>
      </c>
      <c r="R467" t="s">
        <v>84</v>
      </c>
      <c r="S467" s="5"/>
      <c r="T467" s="5"/>
      <c r="U467">
        <v>3.6982817978026447E-11</v>
      </c>
      <c r="V467" s="5"/>
      <c r="W467" s="5"/>
      <c r="X467" s="5"/>
      <c r="Y467">
        <v>1.667247212551055E-10</v>
      </c>
      <c r="AA467">
        <v>4.3691806338528693E-10</v>
      </c>
      <c r="AC467">
        <v>1.0461645510220082E-9</v>
      </c>
      <c r="AE467">
        <v>2.3232716878486176E-9</v>
      </c>
      <c r="AG467">
        <v>4.4401741080689306E-9</v>
      </c>
      <c r="AI467">
        <v>7.8686458656739324E-9</v>
      </c>
      <c r="AK467">
        <v>1.4588142602753427E-8</v>
      </c>
      <c r="AL467">
        <v>3.544867444737999E-8</v>
      </c>
      <c r="AM467">
        <v>8.6139034577242834E-8</v>
      </c>
      <c r="AN467" s="5"/>
      <c r="AV467" s="5">
        <v>120000</v>
      </c>
      <c r="AW467">
        <v>9593</v>
      </c>
      <c r="AX467">
        <v>-273.14999999999998</v>
      </c>
      <c r="AY467">
        <v>20</v>
      </c>
      <c r="BG467">
        <v>0.81</v>
      </c>
      <c r="BH467">
        <v>4051</v>
      </c>
      <c r="BI467" t="s">
        <v>424</v>
      </c>
      <c r="BM467">
        <v>1.05</v>
      </c>
      <c r="BN467">
        <f t="shared" si="17"/>
        <v>20.952380952380953</v>
      </c>
      <c r="BO467" s="17">
        <v>22</v>
      </c>
      <c r="BP467" t="s">
        <v>82</v>
      </c>
      <c r="BQ467" t="s">
        <v>148</v>
      </c>
      <c r="BR467">
        <v>25</v>
      </c>
      <c r="BT467" t="s">
        <v>84</v>
      </c>
      <c r="BU467" t="s">
        <v>418</v>
      </c>
      <c r="BV467" t="s">
        <v>419</v>
      </c>
      <c r="BW467" t="s">
        <v>688</v>
      </c>
    </row>
    <row r="468" spans="1:75" x14ac:dyDescent="0.75">
      <c r="A468" s="1"/>
      <c r="B468" t="s">
        <v>426</v>
      </c>
      <c r="C468" s="1" t="s">
        <v>300</v>
      </c>
      <c r="D468" t="s">
        <v>77</v>
      </c>
      <c r="E468" t="s">
        <v>77</v>
      </c>
      <c r="F468">
        <v>100</v>
      </c>
      <c r="G468">
        <v>1</v>
      </c>
      <c r="H468" s="1" t="s">
        <v>91</v>
      </c>
      <c r="I468" s="1"/>
      <c r="J468" s="1">
        <f>1/8</f>
        <v>0.125</v>
      </c>
      <c r="K468" s="1"/>
      <c r="L468" s="1"/>
      <c r="M468" s="1"/>
      <c r="N468" s="1"/>
      <c r="O468" s="1"/>
      <c r="P468" s="1"/>
      <c r="Q468" s="1"/>
      <c r="R468" t="s">
        <v>84</v>
      </c>
      <c r="S468" s="3"/>
      <c r="T468" s="3"/>
      <c r="U468">
        <v>3.1084029570248754E-8</v>
      </c>
      <c r="V468" s="3"/>
      <c r="W468">
        <v>5.5753053342619173E-8</v>
      </c>
      <c r="X468" s="3"/>
      <c r="Y468">
        <v>9.6621689432411762E-8</v>
      </c>
      <c r="Z468">
        <v>1.8563365529925592E-7</v>
      </c>
      <c r="AA468">
        <v>3.6911711188679396E-7</v>
      </c>
      <c r="AB468">
        <v>7.5962109176585125E-7</v>
      </c>
      <c r="AC468">
        <v>1.7330295587336324E-6</v>
      </c>
      <c r="AD468">
        <v>5.3869542049792613E-6</v>
      </c>
      <c r="AE468">
        <v>3.8202303649947584E-5</v>
      </c>
      <c r="AF468">
        <v>4.8592267366974567E-5</v>
      </c>
      <c r="AG468">
        <v>6.3969086553420325E-5</v>
      </c>
      <c r="AH468">
        <v>7.8618071804386396E-5</v>
      </c>
      <c r="AI468">
        <v>1E-4</v>
      </c>
      <c r="AJ468">
        <v>1.1874815363065924E-4</v>
      </c>
      <c r="AK468">
        <v>1.5104434757204707E-4</v>
      </c>
      <c r="AL468">
        <v>2.2043653818496934E-4</v>
      </c>
      <c r="AM468">
        <v>3.3295693091190136E-4</v>
      </c>
      <c r="AN468">
        <v>5.770242030555577E-4</v>
      </c>
      <c r="AO468" s="1"/>
      <c r="AP468" s="1"/>
      <c r="AQ468" s="1"/>
      <c r="AR468" s="1"/>
      <c r="AS468" s="1"/>
      <c r="AT468" s="1"/>
      <c r="AU468" s="1"/>
      <c r="AV468" s="3">
        <v>35000</v>
      </c>
      <c r="AW468" s="1">
        <v>5919</v>
      </c>
      <c r="AX468" s="1">
        <v>-273.14999999999998</v>
      </c>
      <c r="AY468" s="1">
        <v>57</v>
      </c>
      <c r="AZ468" s="1"/>
      <c r="BA468" s="1"/>
      <c r="BB468" s="1"/>
      <c r="BC468" s="1"/>
      <c r="BD468" s="1"/>
      <c r="BE468" s="1">
        <v>1.2</v>
      </c>
      <c r="BF468" s="3">
        <v>580000000000000</v>
      </c>
      <c r="BG468" s="1">
        <v>0.49</v>
      </c>
      <c r="BH468" s="1">
        <v>1090</v>
      </c>
      <c r="BI468" s="1" t="s">
        <v>417</v>
      </c>
      <c r="BJ468" s="1"/>
      <c r="BK468" s="1"/>
      <c r="BL468" s="1"/>
      <c r="BM468" s="1">
        <v>1.1000000000000001</v>
      </c>
      <c r="BN468">
        <f t="shared" si="17"/>
        <v>45.454545454545453</v>
      </c>
      <c r="BO468" s="19">
        <v>50</v>
      </c>
      <c r="BP468" t="s">
        <v>82</v>
      </c>
      <c r="BQ468" t="s">
        <v>148</v>
      </c>
      <c r="BR468">
        <v>25</v>
      </c>
      <c r="BT468" t="s">
        <v>84</v>
      </c>
      <c r="BU468" t="s">
        <v>418</v>
      </c>
      <c r="BV468" t="s">
        <v>419</v>
      </c>
      <c r="BW468" t="s">
        <v>688</v>
      </c>
    </row>
    <row r="469" spans="1:75" x14ac:dyDescent="0.75">
      <c r="B469" t="s">
        <v>426</v>
      </c>
      <c r="C469" t="s">
        <v>427</v>
      </c>
      <c r="D469" t="s">
        <v>77</v>
      </c>
      <c r="E469" t="s">
        <v>77</v>
      </c>
      <c r="F469">
        <v>100</v>
      </c>
      <c r="G469">
        <v>1</v>
      </c>
      <c r="H469" t="s">
        <v>90</v>
      </c>
      <c r="J469">
        <v>0.11</v>
      </c>
      <c r="L469">
        <v>-24</v>
      </c>
      <c r="N469">
        <v>96</v>
      </c>
      <c r="R469" t="s">
        <v>84</v>
      </c>
      <c r="W469">
        <v>7.9432823472428114E-7</v>
      </c>
      <c r="Y469" s="5">
        <v>1.6577647098987501E-6</v>
      </c>
      <c r="Z469" s="5">
        <v>2.73366868688032E-6</v>
      </c>
      <c r="AA469" s="5">
        <v>4.2691893658549197E-6</v>
      </c>
      <c r="AB469" s="5">
        <v>6.3670137405239403E-6</v>
      </c>
      <c r="AC469" s="5">
        <v>9.1291586778660197E-6</v>
      </c>
      <c r="AD469" s="5">
        <v>1.2653347041720599E-5</v>
      </c>
      <c r="AE469" s="5">
        <v>1.7030019335303701E-5</v>
      </c>
      <c r="AF469" s="5">
        <v>2.2340058992269101E-5</v>
      </c>
      <c r="AG469" s="5">
        <v>2.86532259987362E-5</v>
      </c>
      <c r="AH469" s="5">
        <v>3.6027239056750401E-5</v>
      </c>
      <c r="AI469" s="5">
        <v>4.4507416197658598E-5</v>
      </c>
      <c r="AJ469" s="5">
        <v>5.4126771556854603E-5</v>
      </c>
      <c r="AO469">
        <v>0.3</v>
      </c>
      <c r="AP469">
        <v>50</v>
      </c>
      <c r="AQ469" t="s">
        <v>428</v>
      </c>
      <c r="AV469">
        <v>0.2271</v>
      </c>
      <c r="AW469">
        <v>746.61350000000004</v>
      </c>
      <c r="AX469">
        <v>-53.230299999999971</v>
      </c>
      <c r="AZ469">
        <v>0.98150000000000004</v>
      </c>
      <c r="BA469">
        <v>1083.7170000000001</v>
      </c>
      <c r="BB469">
        <v>-74</v>
      </c>
      <c r="BG469">
        <v>0.61199999999999999</v>
      </c>
      <c r="BH469">
        <v>27000.634600000001</v>
      </c>
      <c r="BO469">
        <v>22</v>
      </c>
      <c r="BP469" t="s">
        <v>82</v>
      </c>
      <c r="BQ469" t="s">
        <v>148</v>
      </c>
      <c r="BR469">
        <v>40</v>
      </c>
      <c r="BS469">
        <v>16</v>
      </c>
      <c r="BT469" t="s">
        <v>84</v>
      </c>
      <c r="BV469" t="s">
        <v>429</v>
      </c>
      <c r="BW469" t="s">
        <v>689</v>
      </c>
    </row>
    <row r="470" spans="1:75" x14ac:dyDescent="0.75">
      <c r="B470" t="s">
        <v>426</v>
      </c>
      <c r="C470" t="s">
        <v>430</v>
      </c>
      <c r="D470" t="s">
        <v>77</v>
      </c>
      <c r="E470" s="1" t="s">
        <v>431</v>
      </c>
      <c r="F470">
        <v>97.4</v>
      </c>
      <c r="G470">
        <v>1</v>
      </c>
      <c r="H470" t="s">
        <v>90</v>
      </c>
      <c r="J470">
        <v>0.11</v>
      </c>
      <c r="L470">
        <v>-23</v>
      </c>
      <c r="M470">
        <v>-54</v>
      </c>
      <c r="N470">
        <v>92</v>
      </c>
      <c r="R470" t="s">
        <v>84</v>
      </c>
      <c r="W470">
        <v>1.2589254117941651E-7</v>
      </c>
      <c r="AO470">
        <v>0.3</v>
      </c>
      <c r="AP470">
        <v>50</v>
      </c>
      <c r="AQ470" t="s">
        <v>428</v>
      </c>
      <c r="BO470">
        <v>32</v>
      </c>
      <c r="BP470" t="s">
        <v>82</v>
      </c>
      <c r="BQ470" t="s">
        <v>148</v>
      </c>
      <c r="BR470">
        <v>40</v>
      </c>
      <c r="BS470">
        <v>16</v>
      </c>
      <c r="BT470" t="s">
        <v>84</v>
      </c>
      <c r="BV470" t="s">
        <v>429</v>
      </c>
      <c r="BW470" t="s">
        <v>689</v>
      </c>
    </row>
    <row r="471" spans="1:75" x14ac:dyDescent="0.75">
      <c r="B471" t="s">
        <v>426</v>
      </c>
      <c r="C471" t="s">
        <v>430</v>
      </c>
      <c r="D471" t="s">
        <v>77</v>
      </c>
      <c r="E471" s="1" t="s">
        <v>431</v>
      </c>
      <c r="F471">
        <v>86</v>
      </c>
      <c r="G471">
        <v>1</v>
      </c>
      <c r="H471" t="s">
        <v>90</v>
      </c>
      <c r="J471">
        <v>0.11</v>
      </c>
      <c r="L471">
        <v>-15</v>
      </c>
      <c r="M471">
        <v>-59</v>
      </c>
      <c r="N471">
        <v>98</v>
      </c>
      <c r="R471" t="s">
        <v>84</v>
      </c>
      <c r="W471">
        <v>1.9952623149688761E-7</v>
      </c>
      <c r="BO471">
        <v>28</v>
      </c>
      <c r="BP471" t="s">
        <v>82</v>
      </c>
      <c r="BQ471" t="s">
        <v>148</v>
      </c>
      <c r="BR471">
        <v>40</v>
      </c>
      <c r="BS471">
        <v>16</v>
      </c>
      <c r="BT471" t="s">
        <v>84</v>
      </c>
      <c r="BV471" t="s">
        <v>429</v>
      </c>
      <c r="BW471" t="s">
        <v>689</v>
      </c>
    </row>
    <row r="472" spans="1:75" x14ac:dyDescent="0.75">
      <c r="B472" t="s">
        <v>426</v>
      </c>
      <c r="C472" t="s">
        <v>430</v>
      </c>
      <c r="D472" t="s">
        <v>77</v>
      </c>
      <c r="E472" s="1" t="s">
        <v>431</v>
      </c>
      <c r="F472">
        <v>76.5</v>
      </c>
      <c r="G472">
        <v>1</v>
      </c>
      <c r="H472" t="s">
        <v>90</v>
      </c>
      <c r="J472">
        <v>0.11</v>
      </c>
      <c r="L472">
        <v>-23</v>
      </c>
      <c r="M472">
        <v>-64</v>
      </c>
      <c r="N472">
        <v>101</v>
      </c>
      <c r="R472" t="s">
        <v>84</v>
      </c>
      <c r="W472">
        <v>3.1622776601683734E-7</v>
      </c>
      <c r="Y472" s="5">
        <v>5.8302396588647999E-7</v>
      </c>
      <c r="Z472" s="5">
        <v>1.0088721476427501E-6</v>
      </c>
      <c r="AA472" s="5">
        <v>1.64211925314781E-6</v>
      </c>
      <c r="AB472" s="5">
        <v>2.53842336034979E-6</v>
      </c>
      <c r="AC472" s="5">
        <v>3.7554121254827901E-6</v>
      </c>
      <c r="AD472" s="5">
        <v>5.3505208942758596E-6</v>
      </c>
      <c r="AE472" s="5">
        <v>7.37904824919131E-6</v>
      </c>
      <c r="AF472" s="5">
        <v>9.8925300795207805E-6</v>
      </c>
      <c r="AG472" s="5">
        <v>1.2937477212553301E-5</v>
      </c>
      <c r="AH472" s="5">
        <v>1.6554479323826399E-5</v>
      </c>
      <c r="AI472" s="5">
        <v>2.0777649329905201E-5</v>
      </c>
      <c r="AJ472" s="5">
        <v>2.5634365764327299E-5</v>
      </c>
      <c r="AK472" s="5">
        <v>3.1145263022632599E-5</v>
      </c>
      <c r="AL472" s="5">
        <v>3.7324418149762297E-5</v>
      </c>
      <c r="AO472">
        <v>0.2</v>
      </c>
      <c r="AP472">
        <v>50</v>
      </c>
      <c r="AQ472" t="s">
        <v>428</v>
      </c>
      <c r="AV472">
        <v>0.1416</v>
      </c>
      <c r="AW472">
        <v>770.44590000000005</v>
      </c>
      <c r="AX472">
        <v>-50.734599999999972</v>
      </c>
      <c r="AZ472">
        <v>0.68220000000000003</v>
      </c>
      <c r="BA472">
        <v>1141.8626999999999</v>
      </c>
      <c r="BB472">
        <v>-73</v>
      </c>
      <c r="BG472">
        <v>0.63100000000000001</v>
      </c>
      <c r="BH472">
        <v>20692.4575</v>
      </c>
      <c r="BO472">
        <v>10</v>
      </c>
      <c r="BP472" t="s">
        <v>82</v>
      </c>
      <c r="BQ472" t="s">
        <v>148</v>
      </c>
      <c r="BR472">
        <v>40</v>
      </c>
      <c r="BS472">
        <v>16</v>
      </c>
      <c r="BT472" t="s">
        <v>84</v>
      </c>
      <c r="BV472" t="s">
        <v>429</v>
      </c>
      <c r="BW472" t="s">
        <v>689</v>
      </c>
    </row>
    <row r="473" spans="1:75" x14ac:dyDescent="0.75">
      <c r="B473" t="s">
        <v>426</v>
      </c>
      <c r="C473" t="s">
        <v>430</v>
      </c>
      <c r="D473" t="s">
        <v>77</v>
      </c>
      <c r="E473" s="1" t="s">
        <v>431</v>
      </c>
      <c r="F473">
        <v>69.599999999999994</v>
      </c>
      <c r="G473">
        <v>1</v>
      </c>
      <c r="H473" t="s">
        <v>90</v>
      </c>
      <c r="J473">
        <v>0.11</v>
      </c>
      <c r="L473">
        <v>-18</v>
      </c>
      <c r="M473">
        <v>-67</v>
      </c>
      <c r="N473">
        <v>101</v>
      </c>
      <c r="R473" t="s">
        <v>84</v>
      </c>
      <c r="W473">
        <v>1.5848931924611122E-7</v>
      </c>
      <c r="BO473">
        <v>20</v>
      </c>
      <c r="BP473" t="s">
        <v>82</v>
      </c>
      <c r="BQ473" t="s">
        <v>148</v>
      </c>
      <c r="BR473">
        <v>40</v>
      </c>
      <c r="BS473">
        <v>16</v>
      </c>
      <c r="BT473" t="s">
        <v>84</v>
      </c>
      <c r="BV473" t="s">
        <v>429</v>
      </c>
      <c r="BW473" t="s">
        <v>689</v>
      </c>
    </row>
    <row r="474" spans="1:75" x14ac:dyDescent="0.75">
      <c r="B474" t="s">
        <v>426</v>
      </c>
      <c r="C474" t="s">
        <v>430</v>
      </c>
      <c r="D474" t="s">
        <v>77</v>
      </c>
      <c r="E474" s="1" t="s">
        <v>431</v>
      </c>
      <c r="F474">
        <v>47</v>
      </c>
      <c r="G474">
        <v>1</v>
      </c>
      <c r="H474" t="s">
        <v>90</v>
      </c>
      <c r="J474">
        <v>0.11</v>
      </c>
      <c r="L474">
        <v>-7</v>
      </c>
      <c r="M474">
        <v>-67</v>
      </c>
      <c r="N474">
        <v>102</v>
      </c>
      <c r="R474" t="s">
        <v>84</v>
      </c>
      <c r="W474">
        <v>3.1622776601683699E-8</v>
      </c>
      <c r="Z474" s="5">
        <v>1.83780816579674E-7</v>
      </c>
      <c r="AA474" s="5">
        <v>3.38338088016041E-7</v>
      </c>
      <c r="AB474" s="5">
        <v>5.7121441364079695E-7</v>
      </c>
      <c r="AC474" s="5">
        <v>8.99591441584288E-7</v>
      </c>
      <c r="AD474" s="5">
        <v>1.33865642108566E-6</v>
      </c>
      <c r="AE474" s="5">
        <v>1.9008905760821101E-6</v>
      </c>
      <c r="AF474" s="5">
        <v>2.5957129983241802E-6</v>
      </c>
      <c r="AG474" s="5">
        <v>3.4294131756597402E-6</v>
      </c>
      <c r="AH474" s="5">
        <v>4.4052930636882599E-6</v>
      </c>
      <c r="AI474" s="5">
        <v>5.52394490353721E-6</v>
      </c>
      <c r="AJ474" s="5">
        <v>6.7836041094332998E-6</v>
      </c>
      <c r="AK474" s="5">
        <v>8.1805315673702903E-6</v>
      </c>
      <c r="AL474" s="5">
        <v>9.7093935167959005E-6</v>
      </c>
      <c r="AV474">
        <v>1.18E-2</v>
      </c>
      <c r="AW474">
        <v>502.80930000000001</v>
      </c>
      <c r="AX474">
        <v>-26.312099999999987</v>
      </c>
      <c r="AZ474">
        <v>0.1056</v>
      </c>
      <c r="BA474">
        <v>949.68389999999999</v>
      </c>
      <c r="BB474">
        <v>-57</v>
      </c>
      <c r="BG474">
        <v>0.65049999999999997</v>
      </c>
      <c r="BH474">
        <v>10113.526599999999</v>
      </c>
      <c r="BO474">
        <v>5</v>
      </c>
      <c r="BP474" t="s">
        <v>82</v>
      </c>
      <c r="BQ474" t="s">
        <v>148</v>
      </c>
      <c r="BR474">
        <v>40</v>
      </c>
      <c r="BS474">
        <v>16</v>
      </c>
      <c r="BT474" t="s">
        <v>84</v>
      </c>
      <c r="BV474" t="s">
        <v>429</v>
      </c>
      <c r="BW474" t="s">
        <v>689</v>
      </c>
    </row>
    <row r="475" spans="1:75" x14ac:dyDescent="0.75">
      <c r="A475" s="1"/>
      <c r="B475" s="1" t="s">
        <v>426</v>
      </c>
      <c r="C475" s="1" t="s">
        <v>432</v>
      </c>
      <c r="D475" s="1" t="s">
        <v>431</v>
      </c>
      <c r="E475" s="1" t="s">
        <v>431</v>
      </c>
      <c r="F475" s="1">
        <v>100</v>
      </c>
      <c r="G475" s="1">
        <v>1</v>
      </c>
      <c r="H475" s="1" t="s">
        <v>90</v>
      </c>
      <c r="I475" s="1"/>
      <c r="J475" s="1">
        <v>0.11</v>
      </c>
      <c r="K475" s="1"/>
      <c r="L475" s="1">
        <v>-6</v>
      </c>
      <c r="M475" s="1">
        <v>-67</v>
      </c>
      <c r="N475" s="1">
        <v>89</v>
      </c>
      <c r="O475" s="1"/>
      <c r="P475" s="1"/>
      <c r="Q475" s="1"/>
      <c r="R475" s="1" t="s">
        <v>84</v>
      </c>
      <c r="S475" s="1"/>
      <c r="T475" s="1"/>
      <c r="U475" s="1"/>
      <c r="V475" s="1"/>
      <c r="W475" s="1">
        <v>7.943282347242818E-8</v>
      </c>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v>53</v>
      </c>
      <c r="BP475" s="1" t="s">
        <v>82</v>
      </c>
      <c r="BQ475" s="1" t="s">
        <v>148</v>
      </c>
      <c r="BR475" s="1">
        <v>40</v>
      </c>
      <c r="BS475" s="1">
        <v>16</v>
      </c>
      <c r="BT475" s="1" t="s">
        <v>84</v>
      </c>
      <c r="BU475" s="1"/>
      <c r="BV475" s="1" t="s">
        <v>429</v>
      </c>
      <c r="BW475" t="s">
        <v>689</v>
      </c>
    </row>
    <row r="476" spans="1:75" x14ac:dyDescent="0.75">
      <c r="A476" t="s">
        <v>433</v>
      </c>
      <c r="B476" t="s">
        <v>426</v>
      </c>
      <c r="C476" t="s">
        <v>434</v>
      </c>
      <c r="D476" s="30" t="s">
        <v>435</v>
      </c>
      <c r="E476" t="s">
        <v>77</v>
      </c>
      <c r="F476">
        <v>50</v>
      </c>
      <c r="G476">
        <v>1</v>
      </c>
      <c r="H476" t="s">
        <v>90</v>
      </c>
      <c r="J476">
        <v>1.027E-2</v>
      </c>
      <c r="M476" s="31">
        <v>-102.9349</v>
      </c>
      <c r="R476" t="s">
        <v>79</v>
      </c>
      <c r="W476">
        <v>1.5310874616820282E-6</v>
      </c>
      <c r="BN476">
        <v>3</v>
      </c>
      <c r="BP476" t="s">
        <v>82</v>
      </c>
      <c r="BQ476" t="s">
        <v>436</v>
      </c>
      <c r="BR476">
        <v>60</v>
      </c>
      <c r="BS476">
        <v>144</v>
      </c>
      <c r="BT476" t="s">
        <v>84</v>
      </c>
      <c r="BV476" t="s">
        <v>437</v>
      </c>
      <c r="BW476" t="s">
        <v>690</v>
      </c>
    </row>
    <row r="477" spans="1:75" x14ac:dyDescent="0.75">
      <c r="A477" t="s">
        <v>433</v>
      </c>
      <c r="B477" t="s">
        <v>426</v>
      </c>
      <c r="C477" t="s">
        <v>434</v>
      </c>
      <c r="D477" s="30" t="s">
        <v>435</v>
      </c>
      <c r="E477" t="s">
        <v>77</v>
      </c>
      <c r="F477">
        <v>50</v>
      </c>
      <c r="G477">
        <v>1</v>
      </c>
      <c r="H477" t="s">
        <v>90</v>
      </c>
      <c r="J477">
        <v>2.085E-2</v>
      </c>
      <c r="M477" s="31">
        <v>-102.9349</v>
      </c>
      <c r="R477" t="s">
        <v>79</v>
      </c>
      <c r="W477">
        <v>9.3756200692587994E-6</v>
      </c>
      <c r="BN477">
        <v>3</v>
      </c>
      <c r="BP477" t="s">
        <v>82</v>
      </c>
      <c r="BQ477" t="s">
        <v>436</v>
      </c>
      <c r="BR477">
        <v>60</v>
      </c>
      <c r="BS477">
        <v>144</v>
      </c>
      <c r="BT477" t="s">
        <v>84</v>
      </c>
      <c r="BV477" t="s">
        <v>437</v>
      </c>
      <c r="BW477" t="s">
        <v>690</v>
      </c>
    </row>
    <row r="478" spans="1:75" x14ac:dyDescent="0.75">
      <c r="A478" t="s">
        <v>433</v>
      </c>
      <c r="B478" t="s">
        <v>426</v>
      </c>
      <c r="C478" t="s">
        <v>434</v>
      </c>
      <c r="D478" s="30" t="s">
        <v>435</v>
      </c>
      <c r="E478" t="s">
        <v>77</v>
      </c>
      <c r="F478">
        <v>50</v>
      </c>
      <c r="G478">
        <v>1</v>
      </c>
      <c r="H478" t="s">
        <v>90</v>
      </c>
      <c r="J478">
        <v>3.3759999999999998E-2</v>
      </c>
      <c r="M478" s="31">
        <v>-102.9349</v>
      </c>
      <c r="R478" t="s">
        <v>79</v>
      </c>
      <c r="W478">
        <v>3.9264493539960001E-5</v>
      </c>
      <c r="BN478">
        <v>3</v>
      </c>
      <c r="BP478" t="s">
        <v>82</v>
      </c>
      <c r="BQ478" t="s">
        <v>436</v>
      </c>
      <c r="BR478">
        <v>60</v>
      </c>
      <c r="BS478">
        <v>144</v>
      </c>
      <c r="BT478" t="s">
        <v>84</v>
      </c>
      <c r="BV478" t="s">
        <v>437</v>
      </c>
      <c r="BW478" t="s">
        <v>690</v>
      </c>
    </row>
    <row r="479" spans="1:75" x14ac:dyDescent="0.75">
      <c r="A479" t="s">
        <v>433</v>
      </c>
      <c r="B479" t="s">
        <v>426</v>
      </c>
      <c r="C479" t="s">
        <v>434</v>
      </c>
      <c r="D479" s="30" t="s">
        <v>435</v>
      </c>
      <c r="E479" t="s">
        <v>77</v>
      </c>
      <c r="F479">
        <v>50</v>
      </c>
      <c r="G479">
        <v>1</v>
      </c>
      <c r="H479" t="s">
        <v>90</v>
      </c>
      <c r="J479">
        <v>9.9769999999999998E-2</v>
      </c>
      <c r="M479" s="31">
        <v>-102.9349</v>
      </c>
      <c r="R479" t="s">
        <v>79</v>
      </c>
      <c r="W479">
        <v>4.9090787615260269E-5</v>
      </c>
      <c r="BN479">
        <v>3</v>
      </c>
      <c r="BP479" t="s">
        <v>82</v>
      </c>
      <c r="BQ479" t="s">
        <v>436</v>
      </c>
      <c r="BR479">
        <v>60</v>
      </c>
      <c r="BS479">
        <v>144</v>
      </c>
      <c r="BT479" t="s">
        <v>84</v>
      </c>
      <c r="BV479" t="s">
        <v>437</v>
      </c>
      <c r="BW479" t="s">
        <v>690</v>
      </c>
    </row>
    <row r="480" spans="1:75" x14ac:dyDescent="0.75">
      <c r="A480" t="s">
        <v>438</v>
      </c>
      <c r="B480" t="s">
        <v>426</v>
      </c>
      <c r="C480" t="s">
        <v>434</v>
      </c>
      <c r="D480" s="30" t="s">
        <v>435</v>
      </c>
      <c r="E480" t="s">
        <v>77</v>
      </c>
      <c r="F480">
        <v>33</v>
      </c>
      <c r="G480">
        <v>1</v>
      </c>
      <c r="H480" t="s">
        <v>90</v>
      </c>
      <c r="J480">
        <v>1.618E-2</v>
      </c>
      <c r="M480" s="31">
        <v>-95.200900000000004</v>
      </c>
      <c r="R480" t="s">
        <v>79</v>
      </c>
      <c r="W480">
        <v>3.5481338923357479E-5</v>
      </c>
      <c r="BN480">
        <v>3</v>
      </c>
      <c r="BP480" t="s">
        <v>82</v>
      </c>
      <c r="BQ480" t="s">
        <v>436</v>
      </c>
      <c r="BR480">
        <v>60</v>
      </c>
      <c r="BS480">
        <v>144</v>
      </c>
      <c r="BT480" t="s">
        <v>84</v>
      </c>
      <c r="BV480" t="s">
        <v>437</v>
      </c>
      <c r="BW480" t="s">
        <v>690</v>
      </c>
    </row>
    <row r="481" spans="1:75" x14ac:dyDescent="0.75">
      <c r="A481" t="s">
        <v>438</v>
      </c>
      <c r="B481" t="s">
        <v>426</v>
      </c>
      <c r="C481" t="s">
        <v>434</v>
      </c>
      <c r="D481" s="30" t="s">
        <v>435</v>
      </c>
      <c r="E481" t="s">
        <v>77</v>
      </c>
      <c r="F481">
        <v>33</v>
      </c>
      <c r="G481">
        <v>1</v>
      </c>
      <c r="H481" t="s">
        <v>90</v>
      </c>
      <c r="J481">
        <v>2.018E-2</v>
      </c>
      <c r="M481" s="31">
        <v>-95.200900000000004</v>
      </c>
      <c r="R481" t="s">
        <v>79</v>
      </c>
      <c r="W481">
        <v>5.5080769640540265E-5</v>
      </c>
      <c r="BN481">
        <v>3</v>
      </c>
      <c r="BP481" t="s">
        <v>82</v>
      </c>
      <c r="BQ481" t="s">
        <v>436</v>
      </c>
      <c r="BR481">
        <v>60</v>
      </c>
      <c r="BS481">
        <v>144</v>
      </c>
      <c r="BT481" t="s">
        <v>84</v>
      </c>
      <c r="BV481" t="s">
        <v>437</v>
      </c>
      <c r="BW481" t="s">
        <v>690</v>
      </c>
    </row>
    <row r="482" spans="1:75" x14ac:dyDescent="0.75">
      <c r="A482" t="s">
        <v>438</v>
      </c>
      <c r="B482" t="s">
        <v>426</v>
      </c>
      <c r="C482" t="s">
        <v>434</v>
      </c>
      <c r="D482" s="30" t="s">
        <v>435</v>
      </c>
      <c r="E482" t="s">
        <v>77</v>
      </c>
      <c r="F482">
        <v>33</v>
      </c>
      <c r="G482">
        <v>1</v>
      </c>
      <c r="H482" t="s">
        <v>90</v>
      </c>
      <c r="J482">
        <v>2.7099999999999999E-2</v>
      </c>
      <c r="M482" s="31">
        <v>-95.200900000000004</v>
      </c>
      <c r="R482" t="s">
        <v>79</v>
      </c>
      <c r="W482">
        <v>7.9432823472428153E-5</v>
      </c>
      <c r="BN482">
        <v>3</v>
      </c>
      <c r="BP482" t="s">
        <v>82</v>
      </c>
      <c r="BQ482" t="s">
        <v>436</v>
      </c>
      <c r="BR482">
        <v>60</v>
      </c>
      <c r="BS482">
        <v>144</v>
      </c>
      <c r="BT482" t="s">
        <v>84</v>
      </c>
      <c r="BV482" t="s">
        <v>437</v>
      </c>
      <c r="BW482" t="s">
        <v>690</v>
      </c>
    </row>
    <row r="483" spans="1:75" x14ac:dyDescent="0.75">
      <c r="A483" t="s">
        <v>438</v>
      </c>
      <c r="B483" t="s">
        <v>426</v>
      </c>
      <c r="C483" t="s">
        <v>434</v>
      </c>
      <c r="D483" s="30" t="s">
        <v>435</v>
      </c>
      <c r="E483" t="s">
        <v>77</v>
      </c>
      <c r="F483">
        <v>33</v>
      </c>
      <c r="G483">
        <v>1</v>
      </c>
      <c r="H483" t="s">
        <v>90</v>
      </c>
      <c r="J483">
        <v>6.0100000000000001E-2</v>
      </c>
      <c r="M483" s="31">
        <v>-95.200900000000004</v>
      </c>
      <c r="R483" t="s">
        <v>79</v>
      </c>
      <c r="W483">
        <v>1.1561122421920974E-4</v>
      </c>
      <c r="BN483">
        <v>3</v>
      </c>
      <c r="BP483" t="s">
        <v>82</v>
      </c>
      <c r="BQ483" t="s">
        <v>436</v>
      </c>
      <c r="BR483">
        <v>60</v>
      </c>
      <c r="BS483">
        <v>144</v>
      </c>
      <c r="BT483" t="s">
        <v>84</v>
      </c>
      <c r="BV483" t="s">
        <v>437</v>
      </c>
      <c r="BW483" t="s">
        <v>690</v>
      </c>
    </row>
    <row r="484" spans="1:75" x14ac:dyDescent="0.75">
      <c r="A484" t="s">
        <v>439</v>
      </c>
      <c r="B484" t="s">
        <v>426</v>
      </c>
      <c r="C484" t="s">
        <v>434</v>
      </c>
      <c r="D484" s="30" t="s">
        <v>435</v>
      </c>
      <c r="E484" t="s">
        <v>77</v>
      </c>
      <c r="F484">
        <v>20</v>
      </c>
      <c r="G484">
        <v>1</v>
      </c>
      <c r="H484" t="s">
        <v>90</v>
      </c>
      <c r="J484">
        <v>1.0330000000000001E-2</v>
      </c>
      <c r="L484" s="31">
        <v>-82.66</v>
      </c>
      <c r="M484" s="31">
        <v>-88.094700000000003</v>
      </c>
      <c r="R484" t="s">
        <v>79</v>
      </c>
      <c r="W484">
        <v>2.1827299118429999E-5</v>
      </c>
      <c r="BN484">
        <v>3</v>
      </c>
      <c r="BP484" t="s">
        <v>82</v>
      </c>
      <c r="BQ484" t="s">
        <v>436</v>
      </c>
      <c r="BR484">
        <v>60</v>
      </c>
      <c r="BS484">
        <v>144</v>
      </c>
      <c r="BT484" t="s">
        <v>84</v>
      </c>
      <c r="BV484" t="s">
        <v>437</v>
      </c>
      <c r="BW484" t="s">
        <v>690</v>
      </c>
    </row>
    <row r="485" spans="1:75" x14ac:dyDescent="0.75">
      <c r="A485" t="s">
        <v>439</v>
      </c>
      <c r="B485" t="s">
        <v>426</v>
      </c>
      <c r="C485" t="s">
        <v>434</v>
      </c>
      <c r="D485" s="30" t="s">
        <v>435</v>
      </c>
      <c r="E485" t="s">
        <v>77</v>
      </c>
      <c r="F485">
        <v>20</v>
      </c>
      <c r="G485">
        <v>1</v>
      </c>
      <c r="H485" t="s">
        <v>90</v>
      </c>
      <c r="J485">
        <v>1.4630000000000001E-2</v>
      </c>
      <c r="L485" s="31"/>
      <c r="M485" s="31">
        <v>-88.094700000000003</v>
      </c>
      <c r="R485" t="s">
        <v>79</v>
      </c>
      <c r="W485">
        <v>4.7097732639695249E-5</v>
      </c>
      <c r="BN485">
        <v>3</v>
      </c>
      <c r="BP485" t="s">
        <v>82</v>
      </c>
      <c r="BQ485" t="s">
        <v>436</v>
      </c>
      <c r="BR485">
        <v>60</v>
      </c>
      <c r="BS485">
        <v>144</v>
      </c>
      <c r="BT485" t="s">
        <v>84</v>
      </c>
      <c r="BV485" t="s">
        <v>437</v>
      </c>
      <c r="BW485" t="s">
        <v>690</v>
      </c>
    </row>
    <row r="486" spans="1:75" x14ac:dyDescent="0.75">
      <c r="A486" t="s">
        <v>439</v>
      </c>
      <c r="B486" t="s">
        <v>426</v>
      </c>
      <c r="C486" t="s">
        <v>434</v>
      </c>
      <c r="D486" s="30" t="s">
        <v>435</v>
      </c>
      <c r="E486" t="s">
        <v>77</v>
      </c>
      <c r="F486">
        <v>20</v>
      </c>
      <c r="G486">
        <v>1</v>
      </c>
      <c r="H486" t="s">
        <v>90</v>
      </c>
      <c r="J486">
        <v>2.0320000000000001E-2</v>
      </c>
      <c r="L486" s="31">
        <v>-79.849999999999994</v>
      </c>
      <c r="M486" s="31">
        <v>-88.094700000000003</v>
      </c>
      <c r="R486" t="s">
        <v>79</v>
      </c>
      <c r="W486">
        <v>8.0909589917838259E-5</v>
      </c>
      <c r="BN486">
        <v>3</v>
      </c>
      <c r="BP486" t="s">
        <v>82</v>
      </c>
      <c r="BQ486" t="s">
        <v>436</v>
      </c>
      <c r="BR486">
        <v>60</v>
      </c>
      <c r="BS486">
        <v>144</v>
      </c>
      <c r="BT486" t="s">
        <v>84</v>
      </c>
      <c r="BV486" t="s">
        <v>437</v>
      </c>
      <c r="BW486" t="s">
        <v>690</v>
      </c>
    </row>
    <row r="487" spans="1:75" x14ac:dyDescent="0.75">
      <c r="A487" t="s">
        <v>439</v>
      </c>
      <c r="B487" t="s">
        <v>426</v>
      </c>
      <c r="C487" t="s">
        <v>434</v>
      </c>
      <c r="D487" s="30" t="s">
        <v>435</v>
      </c>
      <c r="E487" t="s">
        <v>77</v>
      </c>
      <c r="F487">
        <v>20</v>
      </c>
      <c r="G487">
        <v>1</v>
      </c>
      <c r="H487" t="s">
        <v>90</v>
      </c>
      <c r="J487">
        <v>2.878E-2</v>
      </c>
      <c r="L487" s="31">
        <v>-79.02</v>
      </c>
      <c r="M487" s="31">
        <v>-88.094700000000003</v>
      </c>
      <c r="R487" t="s">
        <v>79</v>
      </c>
      <c r="W487">
        <v>1.5667510701081476E-4</v>
      </c>
      <c r="BN487">
        <v>3</v>
      </c>
      <c r="BP487" t="s">
        <v>82</v>
      </c>
      <c r="BQ487" t="s">
        <v>436</v>
      </c>
      <c r="BR487">
        <v>60</v>
      </c>
      <c r="BS487">
        <v>144</v>
      </c>
      <c r="BT487" t="s">
        <v>84</v>
      </c>
      <c r="BV487" t="s">
        <v>437</v>
      </c>
      <c r="BW487" t="s">
        <v>690</v>
      </c>
    </row>
    <row r="488" spans="1:75" x14ac:dyDescent="0.75">
      <c r="A488" t="s">
        <v>439</v>
      </c>
      <c r="B488" t="s">
        <v>426</v>
      </c>
      <c r="C488" t="s">
        <v>434</v>
      </c>
      <c r="D488" s="30" t="s">
        <v>435</v>
      </c>
      <c r="E488" t="s">
        <v>77</v>
      </c>
      <c r="F488">
        <v>20</v>
      </c>
      <c r="G488">
        <v>1</v>
      </c>
      <c r="H488" t="s">
        <v>90</v>
      </c>
      <c r="J488">
        <v>9.9570000000000006E-2</v>
      </c>
      <c r="L488" s="31">
        <v>-76.14</v>
      </c>
      <c r="M488" s="31">
        <v>-88.094700000000003</v>
      </c>
      <c r="R488" t="s">
        <v>79</v>
      </c>
      <c r="W488">
        <v>1.5812480392703805E-4</v>
      </c>
      <c r="BN488">
        <v>3</v>
      </c>
      <c r="BP488" t="s">
        <v>82</v>
      </c>
      <c r="BQ488" t="s">
        <v>436</v>
      </c>
      <c r="BR488">
        <v>60</v>
      </c>
      <c r="BS488">
        <v>144</v>
      </c>
      <c r="BT488" t="s">
        <v>84</v>
      </c>
      <c r="BV488" t="s">
        <v>437</v>
      </c>
      <c r="BW488" t="s">
        <v>690</v>
      </c>
    </row>
    <row r="489" spans="1:75" x14ac:dyDescent="0.75">
      <c r="A489" t="s">
        <v>440</v>
      </c>
      <c r="B489" t="s">
        <v>426</v>
      </c>
      <c r="C489" t="s">
        <v>434</v>
      </c>
      <c r="D489" s="30" t="s">
        <v>435</v>
      </c>
      <c r="E489" t="s">
        <v>77</v>
      </c>
      <c r="F489">
        <v>10</v>
      </c>
      <c r="G489">
        <v>1</v>
      </c>
      <c r="H489" t="s">
        <v>90</v>
      </c>
      <c r="J489">
        <v>1.047E-2</v>
      </c>
      <c r="L489" s="31">
        <v>-74.63</v>
      </c>
      <c r="M489" s="31">
        <v>-75.567400000000006</v>
      </c>
      <c r="R489" t="s">
        <v>79</v>
      </c>
      <c r="W489">
        <v>3.5318316979195641E-5</v>
      </c>
      <c r="BN489">
        <v>3</v>
      </c>
      <c r="BP489" t="s">
        <v>82</v>
      </c>
      <c r="BQ489" t="s">
        <v>436</v>
      </c>
      <c r="BR489">
        <v>60</v>
      </c>
      <c r="BS489">
        <v>144</v>
      </c>
      <c r="BT489" t="s">
        <v>84</v>
      </c>
      <c r="BV489" t="s">
        <v>437</v>
      </c>
      <c r="BW489" t="s">
        <v>690</v>
      </c>
    </row>
    <row r="490" spans="1:75" x14ac:dyDescent="0.75">
      <c r="A490" t="s">
        <v>440</v>
      </c>
      <c r="B490" t="s">
        <v>426</v>
      </c>
      <c r="C490" t="s">
        <v>434</v>
      </c>
      <c r="D490" s="30" t="s">
        <v>435</v>
      </c>
      <c r="E490" t="s">
        <v>77</v>
      </c>
      <c r="F490">
        <v>10</v>
      </c>
      <c r="G490">
        <v>1</v>
      </c>
      <c r="H490" t="s">
        <v>90</v>
      </c>
      <c r="J490">
        <v>2.017E-2</v>
      </c>
      <c r="L490" s="31">
        <v>-74.900000000000006</v>
      </c>
      <c r="M490" s="31">
        <v>-75.567400000000006</v>
      </c>
      <c r="R490" t="s">
        <v>79</v>
      </c>
      <c r="W490">
        <v>6.9342580601656882E-5</v>
      </c>
      <c r="BN490">
        <v>3</v>
      </c>
      <c r="BP490" t="s">
        <v>82</v>
      </c>
      <c r="BQ490" t="s">
        <v>436</v>
      </c>
      <c r="BR490">
        <v>60</v>
      </c>
      <c r="BS490">
        <v>144</v>
      </c>
      <c r="BT490" t="s">
        <v>84</v>
      </c>
      <c r="BV490" t="s">
        <v>437</v>
      </c>
      <c r="BW490" t="s">
        <v>690</v>
      </c>
    </row>
    <row r="491" spans="1:75" x14ac:dyDescent="0.75">
      <c r="A491" t="s">
        <v>440</v>
      </c>
      <c r="B491" t="s">
        <v>426</v>
      </c>
      <c r="C491" t="s">
        <v>434</v>
      </c>
      <c r="D491" s="30" t="s">
        <v>435</v>
      </c>
      <c r="E491" t="s">
        <v>77</v>
      </c>
      <c r="F491">
        <v>10</v>
      </c>
      <c r="G491">
        <v>1</v>
      </c>
      <c r="H491" t="s">
        <v>90</v>
      </c>
      <c r="J491">
        <v>3.3419999999999998E-2</v>
      </c>
      <c r="L491" s="31">
        <v>-70.84</v>
      </c>
      <c r="M491" s="31">
        <v>-75.567400000000006</v>
      </c>
      <c r="R491" t="s">
        <v>79</v>
      </c>
      <c r="W491">
        <v>1.0046157902783939E-4</v>
      </c>
      <c r="BN491">
        <v>3</v>
      </c>
      <c r="BP491" t="s">
        <v>82</v>
      </c>
      <c r="BQ491" t="s">
        <v>436</v>
      </c>
      <c r="BR491">
        <v>60</v>
      </c>
      <c r="BS491">
        <v>144</v>
      </c>
      <c r="BT491" t="s">
        <v>84</v>
      </c>
      <c r="BV491" t="s">
        <v>437</v>
      </c>
      <c r="BW491" t="s">
        <v>690</v>
      </c>
    </row>
    <row r="492" spans="1:75" x14ac:dyDescent="0.75">
      <c r="A492" s="1" t="s">
        <v>440</v>
      </c>
      <c r="B492" s="1" t="s">
        <v>426</v>
      </c>
      <c r="C492" s="1" t="s">
        <v>434</v>
      </c>
      <c r="D492" s="30" t="s">
        <v>435</v>
      </c>
      <c r="E492" t="s">
        <v>77</v>
      </c>
      <c r="F492" s="1">
        <v>10</v>
      </c>
      <c r="G492" s="1">
        <v>1</v>
      </c>
      <c r="H492" s="1" t="s">
        <v>90</v>
      </c>
      <c r="I492" s="1"/>
      <c r="J492" s="1">
        <v>9.9629999999999996E-2</v>
      </c>
      <c r="K492" s="1"/>
      <c r="L492" s="32">
        <v>-56.68</v>
      </c>
      <c r="M492" s="32">
        <v>-75.567400000000006</v>
      </c>
      <c r="N492" s="1"/>
      <c r="O492" s="1"/>
      <c r="P492" s="1"/>
      <c r="Q492" s="1"/>
      <c r="R492" s="1" t="s">
        <v>79</v>
      </c>
      <c r="S492" s="1"/>
      <c r="T492" s="1"/>
      <c r="U492" s="1"/>
      <c r="V492" s="1"/>
      <c r="W492" s="1">
        <v>3.4197944251370865E-5</v>
      </c>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v>3</v>
      </c>
      <c r="BO492" s="1"/>
      <c r="BP492" s="1" t="s">
        <v>82</v>
      </c>
      <c r="BQ492" s="1" t="s">
        <v>436</v>
      </c>
      <c r="BR492" s="1">
        <v>60</v>
      </c>
      <c r="BS492" s="1">
        <v>144</v>
      </c>
      <c r="BT492" s="1" t="s">
        <v>84</v>
      </c>
      <c r="BU492" s="1"/>
      <c r="BV492" s="1" t="s">
        <v>437</v>
      </c>
      <c r="BW492" t="s">
        <v>690</v>
      </c>
    </row>
    <row r="493" spans="1:75" x14ac:dyDescent="0.75">
      <c r="B493" t="s">
        <v>426</v>
      </c>
      <c r="C493" t="s">
        <v>441</v>
      </c>
      <c r="D493" t="s">
        <v>77</v>
      </c>
      <c r="E493" s="30" t="s">
        <v>442</v>
      </c>
      <c r="F493">
        <v>90</v>
      </c>
      <c r="G493">
        <v>1</v>
      </c>
      <c r="H493" t="s">
        <v>90</v>
      </c>
      <c r="J493">
        <v>1.5818571428571428E-2</v>
      </c>
      <c r="R493" t="s">
        <v>79</v>
      </c>
      <c r="U493">
        <v>1.753880501841758E-7</v>
      </c>
      <c r="W493">
        <v>5.8613816451402739E-7</v>
      </c>
      <c r="Y493">
        <v>1.4190575216890904E-6</v>
      </c>
      <c r="Z493">
        <v>3.9084089579240121E-6</v>
      </c>
      <c r="AA493">
        <v>1.2589254117941658E-5</v>
      </c>
      <c r="AB493">
        <v>2.1478304741305297E-5</v>
      </c>
      <c r="AC493">
        <v>3.8370724549227832E-5</v>
      </c>
      <c r="AV493">
        <v>1069.6795999999999</v>
      </c>
      <c r="AW493">
        <v>1506.8563999999999</v>
      </c>
      <c r="AX493">
        <v>-56.42</v>
      </c>
      <c r="BG493">
        <v>1.4936</v>
      </c>
      <c r="BH493" s="5">
        <v>9.8525164707722404E+18</v>
      </c>
      <c r="BN493">
        <v>255.94200000000001</v>
      </c>
      <c r="BP493" t="s">
        <v>82</v>
      </c>
      <c r="BQ493" t="s">
        <v>83</v>
      </c>
      <c r="BR493">
        <v>80</v>
      </c>
      <c r="BS493">
        <v>24</v>
      </c>
      <c r="BT493" t="s">
        <v>84</v>
      </c>
      <c r="BV493" t="s">
        <v>443</v>
      </c>
      <c r="BW493" t="s">
        <v>691</v>
      </c>
    </row>
    <row r="494" spans="1:75" x14ac:dyDescent="0.75">
      <c r="B494" t="s">
        <v>426</v>
      </c>
      <c r="C494" t="s">
        <v>441</v>
      </c>
      <c r="D494" t="s">
        <v>77</v>
      </c>
      <c r="E494" s="30" t="s">
        <v>442</v>
      </c>
      <c r="F494">
        <v>90</v>
      </c>
      <c r="G494">
        <v>1</v>
      </c>
      <c r="H494" t="s">
        <v>90</v>
      </c>
      <c r="J494">
        <v>4.1708571428571428E-2</v>
      </c>
      <c r="R494" t="s">
        <v>79</v>
      </c>
      <c r="U494">
        <v>1.4689262776438636E-5</v>
      </c>
      <c r="W494">
        <v>3.0690219883911574E-5</v>
      </c>
      <c r="Y494">
        <v>6.2373483548241887E-5</v>
      </c>
      <c r="Z494">
        <v>9.8855309465693808E-5</v>
      </c>
      <c r="AA494">
        <v>1.5667510701081476E-4</v>
      </c>
      <c r="AB494">
        <v>2.1428906011200554E-4</v>
      </c>
      <c r="AC494">
        <v>2.9580124665515425E-4</v>
      </c>
      <c r="AV494">
        <v>0.27910000000000001</v>
      </c>
      <c r="AW494">
        <v>272.51850000000002</v>
      </c>
      <c r="AX494">
        <v>-18.8</v>
      </c>
      <c r="BG494">
        <v>0.80920000000000003</v>
      </c>
      <c r="BH494">
        <v>1474667378.4868</v>
      </c>
      <c r="BN494">
        <v>255.94200000000001</v>
      </c>
      <c r="BP494" t="s">
        <v>82</v>
      </c>
      <c r="BQ494" t="s">
        <v>83</v>
      </c>
      <c r="BR494">
        <v>80</v>
      </c>
      <c r="BS494">
        <v>24</v>
      </c>
      <c r="BT494" t="s">
        <v>84</v>
      </c>
      <c r="BV494" t="s">
        <v>443</v>
      </c>
      <c r="BW494" t="s">
        <v>691</v>
      </c>
    </row>
    <row r="495" spans="1:75" x14ac:dyDescent="0.75">
      <c r="B495" t="s">
        <v>426</v>
      </c>
      <c r="C495" t="s">
        <v>441</v>
      </c>
      <c r="D495" t="s">
        <v>77</v>
      </c>
      <c r="E495" s="30" t="s">
        <v>442</v>
      </c>
      <c r="F495">
        <v>90</v>
      </c>
      <c r="G495">
        <v>1</v>
      </c>
      <c r="H495" t="s">
        <v>90</v>
      </c>
      <c r="J495">
        <v>6.2875714285714285E-2</v>
      </c>
      <c r="R495" t="s">
        <v>79</v>
      </c>
      <c r="U495">
        <v>5.1286138399136439E-6</v>
      </c>
      <c r="W495">
        <v>1.1857687481671582E-5</v>
      </c>
      <c r="Y495">
        <v>3.0619634336906705E-5</v>
      </c>
      <c r="Z495">
        <v>5.5718574893193012E-5</v>
      </c>
      <c r="AA495">
        <v>1.0139113857366774E-4</v>
      </c>
      <c r="AB495">
        <v>1.5066070661867413E-4</v>
      </c>
      <c r="AC495">
        <v>2.0796966871036956E-4</v>
      </c>
      <c r="AV495">
        <v>0.56579999999999997</v>
      </c>
      <c r="AW495">
        <v>341.86410000000001</v>
      </c>
      <c r="AX495">
        <v>-18.8</v>
      </c>
      <c r="BG495">
        <v>1.0186999999999999</v>
      </c>
      <c r="BH495">
        <v>2110459716292.6499</v>
      </c>
      <c r="BN495">
        <v>255.94200000000001</v>
      </c>
      <c r="BP495" t="s">
        <v>82</v>
      </c>
      <c r="BQ495" t="s">
        <v>83</v>
      </c>
      <c r="BR495">
        <v>80</v>
      </c>
      <c r="BS495">
        <v>24</v>
      </c>
      <c r="BT495" t="s">
        <v>84</v>
      </c>
      <c r="BV495" t="s">
        <v>443</v>
      </c>
      <c r="BW495" t="s">
        <v>691</v>
      </c>
    </row>
    <row r="496" spans="1:75" x14ac:dyDescent="0.75">
      <c r="B496" t="s">
        <v>426</v>
      </c>
      <c r="C496" t="s">
        <v>441</v>
      </c>
      <c r="D496" t="s">
        <v>77</v>
      </c>
      <c r="E496" s="30" t="s">
        <v>442</v>
      </c>
      <c r="F496">
        <v>90</v>
      </c>
      <c r="G496">
        <v>1</v>
      </c>
      <c r="H496" t="s">
        <v>90</v>
      </c>
      <c r="J496">
        <v>8.3492857142857146E-2</v>
      </c>
      <c r="R496" t="s">
        <v>79</v>
      </c>
      <c r="U496">
        <v>1.3708817661648496E-6</v>
      </c>
      <c r="W496">
        <v>3.2284941217126362E-6</v>
      </c>
      <c r="Y496">
        <v>8.892011178579464E-6</v>
      </c>
      <c r="Z496">
        <v>1.9453600816226592E-5</v>
      </c>
      <c r="AA496">
        <v>4.4565624839750251E-5</v>
      </c>
      <c r="AB496">
        <v>7.9615935041731789E-5</v>
      </c>
      <c r="AC496">
        <v>1.1091748152623997E-4</v>
      </c>
      <c r="AV496">
        <v>28.806000000000001</v>
      </c>
      <c r="AW496">
        <v>862.8664</v>
      </c>
      <c r="AX496">
        <v>-41.2</v>
      </c>
      <c r="BG496">
        <v>1.2403</v>
      </c>
      <c r="BH496">
        <v>3302639722463890</v>
      </c>
      <c r="BN496">
        <v>255.94200000000001</v>
      </c>
      <c r="BP496" t="s">
        <v>82</v>
      </c>
      <c r="BQ496" t="s">
        <v>83</v>
      </c>
      <c r="BR496">
        <v>80</v>
      </c>
      <c r="BS496">
        <v>24</v>
      </c>
      <c r="BT496" t="s">
        <v>84</v>
      </c>
      <c r="BV496" t="s">
        <v>443</v>
      </c>
      <c r="BW496" t="s">
        <v>691</v>
      </c>
    </row>
    <row r="497" spans="1:75" x14ac:dyDescent="0.75">
      <c r="A497" s="1"/>
      <c r="B497" s="1" t="s">
        <v>426</v>
      </c>
      <c r="C497" s="1" t="s">
        <v>441</v>
      </c>
      <c r="D497" t="s">
        <v>77</v>
      </c>
      <c r="E497" s="30" t="s">
        <v>442</v>
      </c>
      <c r="F497" s="1">
        <v>90</v>
      </c>
      <c r="G497" s="1">
        <v>1</v>
      </c>
      <c r="H497" s="1" t="s">
        <v>90</v>
      </c>
      <c r="I497" s="1"/>
      <c r="J497" s="1">
        <v>0.125</v>
      </c>
      <c r="K497" s="1"/>
      <c r="L497" s="1"/>
      <c r="M497" s="1"/>
      <c r="N497" s="1"/>
      <c r="O497" s="1"/>
      <c r="P497" s="1"/>
      <c r="Q497" s="1"/>
      <c r="R497" s="1" t="s">
        <v>79</v>
      </c>
      <c r="S497" s="1"/>
      <c r="T497" s="1"/>
      <c r="U497" s="1">
        <v>4.4463126746910741E-7</v>
      </c>
      <c r="V497" s="1"/>
      <c r="W497" s="1">
        <v>9.5499258602143498E-7</v>
      </c>
      <c r="X497" s="1"/>
      <c r="Y497" s="1">
        <v>4.0550853544838324E-6</v>
      </c>
      <c r="Z497" s="1">
        <v>9.5499258602143587E-6</v>
      </c>
      <c r="AA497" s="1">
        <v>2.1086281499332847E-5</v>
      </c>
      <c r="AB497" s="1">
        <v>3.9445730207527778E-5</v>
      </c>
      <c r="AC497" s="1">
        <v>7.7268058509570147E-5</v>
      </c>
      <c r="AD497" s="1"/>
      <c r="AE497" s="1"/>
      <c r="AF497" s="1"/>
      <c r="AG497" s="1"/>
      <c r="AH497" s="1"/>
      <c r="AI497" s="1"/>
      <c r="AJ497" s="1"/>
      <c r="AK497" s="1"/>
      <c r="AL497" s="1"/>
      <c r="AM497" s="1"/>
      <c r="AN497" s="1"/>
      <c r="AO497" s="1"/>
      <c r="AP497" s="1"/>
      <c r="AQ497" s="1"/>
      <c r="AR497" s="1"/>
      <c r="AS497" s="1"/>
      <c r="AT497" s="1"/>
      <c r="AU497" s="1"/>
      <c r="AV497" s="1">
        <v>393.2869</v>
      </c>
      <c r="AW497" s="1">
        <v>1256.1342</v>
      </c>
      <c r="AX497" s="1">
        <v>-50.2</v>
      </c>
      <c r="AY497" s="1"/>
      <c r="AZ497" s="1"/>
      <c r="BA497" s="1"/>
      <c r="BB497" s="1"/>
      <c r="BC497" s="1"/>
      <c r="BD497" s="1"/>
      <c r="BE497" s="1"/>
      <c r="BF497" s="1"/>
      <c r="BG497" s="1">
        <v>1.4362999999999999</v>
      </c>
      <c r="BH497" s="3">
        <v>2.3811971136616402E+18</v>
      </c>
      <c r="BI497" s="1"/>
      <c r="BJ497" s="1"/>
      <c r="BK497" s="1"/>
      <c r="BL497" s="1"/>
      <c r="BM497" s="1"/>
      <c r="BN497" s="1">
        <v>255.94200000000001</v>
      </c>
      <c r="BO497" s="1"/>
      <c r="BP497" s="1" t="s">
        <v>82</v>
      </c>
      <c r="BQ497" s="1" t="s">
        <v>83</v>
      </c>
      <c r="BR497" s="1">
        <v>80</v>
      </c>
      <c r="BS497" s="1">
        <v>24</v>
      </c>
      <c r="BT497" s="1" t="s">
        <v>84</v>
      </c>
      <c r="BU497" s="1"/>
      <c r="BV497" s="1" t="s">
        <v>443</v>
      </c>
      <c r="BW497" t="s">
        <v>691</v>
      </c>
    </row>
    <row r="498" spans="1:75" x14ac:dyDescent="0.75">
      <c r="B498" t="s">
        <v>426</v>
      </c>
      <c r="C498" t="s">
        <v>430</v>
      </c>
      <c r="D498" t="s">
        <v>77</v>
      </c>
      <c r="E498" s="1" t="s">
        <v>431</v>
      </c>
      <c r="F498">
        <v>84</v>
      </c>
      <c r="G498">
        <v>1</v>
      </c>
      <c r="H498" t="s">
        <v>89</v>
      </c>
      <c r="I498">
        <v>1.9119999999999998E-2</v>
      </c>
      <c r="J498">
        <v>1.9119999999999998E-2</v>
      </c>
      <c r="L498" s="31">
        <f>216-273.15</f>
        <v>-57.149999999999977</v>
      </c>
      <c r="M498" s="31">
        <f>200-273.15</f>
        <v>-73.149999999999977</v>
      </c>
      <c r="N498">
        <f>313-273.15</f>
        <v>39.850000000000023</v>
      </c>
      <c r="R498" t="s">
        <v>84</v>
      </c>
      <c r="T498">
        <v>1.9098532585662338E-5</v>
      </c>
      <c r="Y498">
        <v>3.2433961734934901E-5</v>
      </c>
      <c r="BP498" t="s">
        <v>82</v>
      </c>
      <c r="BQ498" t="s">
        <v>83</v>
      </c>
      <c r="BR498">
        <v>100</v>
      </c>
      <c r="BS498">
        <v>8</v>
      </c>
      <c r="BT498" t="s">
        <v>84</v>
      </c>
      <c r="BU498" t="s">
        <v>444</v>
      </c>
      <c r="BV498" t="s">
        <v>445</v>
      </c>
      <c r="BW498" t="s">
        <v>692</v>
      </c>
    </row>
    <row r="499" spans="1:75" x14ac:dyDescent="0.75">
      <c r="B499" t="s">
        <v>426</v>
      </c>
      <c r="C499" t="s">
        <v>430</v>
      </c>
      <c r="D499" t="s">
        <v>77</v>
      </c>
      <c r="E499" s="1" t="s">
        <v>431</v>
      </c>
      <c r="F499">
        <v>84</v>
      </c>
      <c r="G499">
        <v>1</v>
      </c>
      <c r="H499" t="s">
        <v>89</v>
      </c>
      <c r="I499">
        <v>3.5615000000000008E-2</v>
      </c>
      <c r="J499">
        <v>3.5615000000000008E-2</v>
      </c>
      <c r="L499" s="31">
        <f>L498</f>
        <v>-57.149999999999977</v>
      </c>
      <c r="M499" s="31">
        <f t="shared" ref="M499:M505" si="18">200-273.15</f>
        <v>-73.149999999999977</v>
      </c>
      <c r="N499">
        <f>311-273.15</f>
        <v>37.850000000000023</v>
      </c>
      <c r="R499" t="s">
        <v>84</v>
      </c>
      <c r="T499">
        <v>3.639150361272067E-5</v>
      </c>
      <c r="Y499">
        <v>8.609937521845989E-5</v>
      </c>
      <c r="BP499" t="s">
        <v>82</v>
      </c>
      <c r="BQ499" t="s">
        <v>83</v>
      </c>
      <c r="BR499">
        <v>100</v>
      </c>
      <c r="BS499">
        <v>8</v>
      </c>
      <c r="BT499" t="s">
        <v>84</v>
      </c>
      <c r="BU499" t="s">
        <v>444</v>
      </c>
      <c r="BV499" t="s">
        <v>445</v>
      </c>
      <c r="BW499" t="s">
        <v>692</v>
      </c>
    </row>
    <row r="500" spans="1:75" x14ac:dyDescent="0.75">
      <c r="B500" t="s">
        <v>426</v>
      </c>
      <c r="C500" t="s">
        <v>430</v>
      </c>
      <c r="D500" t="s">
        <v>77</v>
      </c>
      <c r="E500" s="1" t="s">
        <v>431</v>
      </c>
      <c r="F500">
        <v>84</v>
      </c>
      <c r="G500">
        <v>1</v>
      </c>
      <c r="H500" t="s">
        <v>89</v>
      </c>
      <c r="I500">
        <v>5.2180000000000004E-2</v>
      </c>
      <c r="J500">
        <v>5.2180000000000004E-2</v>
      </c>
      <c r="L500" s="31">
        <f>208-273.15</f>
        <v>-65.149999999999977</v>
      </c>
      <c r="M500" s="31">
        <f t="shared" si="18"/>
        <v>-73.149999999999977</v>
      </c>
      <c r="N500">
        <f>306-273.15</f>
        <v>32.850000000000023</v>
      </c>
      <c r="R500" t="s">
        <v>84</v>
      </c>
      <c r="T500">
        <v>5.5080769640540265E-5</v>
      </c>
      <c r="Y500">
        <v>1.202264434617413E-4</v>
      </c>
      <c r="BP500" t="s">
        <v>82</v>
      </c>
      <c r="BQ500" t="s">
        <v>83</v>
      </c>
      <c r="BR500">
        <v>100</v>
      </c>
      <c r="BS500">
        <v>8</v>
      </c>
      <c r="BT500" t="s">
        <v>84</v>
      </c>
      <c r="BU500" t="s">
        <v>444</v>
      </c>
      <c r="BV500" t="s">
        <v>445</v>
      </c>
      <c r="BW500" t="s">
        <v>692</v>
      </c>
    </row>
    <row r="501" spans="1:75" x14ac:dyDescent="0.75">
      <c r="B501" t="s">
        <v>426</v>
      </c>
      <c r="C501" t="s">
        <v>430</v>
      </c>
      <c r="D501" t="s">
        <v>77</v>
      </c>
      <c r="E501" s="1" t="s">
        <v>431</v>
      </c>
      <c r="F501">
        <v>84</v>
      </c>
      <c r="G501">
        <v>1</v>
      </c>
      <c r="H501" t="s">
        <v>89</v>
      </c>
      <c r="I501">
        <v>0.10464999999999999</v>
      </c>
      <c r="J501">
        <v>0.10464999999999999</v>
      </c>
      <c r="L501" s="31">
        <f>208-273.15</f>
        <v>-65.149999999999977</v>
      </c>
      <c r="M501" s="31">
        <f t="shared" si="18"/>
        <v>-73.149999999999977</v>
      </c>
      <c r="N501">
        <f>309-273.15</f>
        <v>35.850000000000023</v>
      </c>
      <c r="R501" t="s">
        <v>84</v>
      </c>
      <c r="T501">
        <v>2.3713737056616547E-5</v>
      </c>
      <c r="Y501">
        <v>5.3333489548762069E-5</v>
      </c>
      <c r="BP501" t="s">
        <v>82</v>
      </c>
      <c r="BQ501" t="s">
        <v>83</v>
      </c>
      <c r="BR501">
        <v>100</v>
      </c>
      <c r="BS501">
        <v>8</v>
      </c>
      <c r="BT501" t="s">
        <v>84</v>
      </c>
      <c r="BU501" t="s">
        <v>444</v>
      </c>
      <c r="BV501" t="s">
        <v>445</v>
      </c>
      <c r="BW501" t="s">
        <v>692</v>
      </c>
    </row>
    <row r="502" spans="1:75" x14ac:dyDescent="0.75">
      <c r="B502" t="s">
        <v>426</v>
      </c>
      <c r="C502" t="s">
        <v>430</v>
      </c>
      <c r="D502" t="s">
        <v>77</v>
      </c>
      <c r="E502" s="1" t="s">
        <v>431</v>
      </c>
      <c r="F502">
        <v>84</v>
      </c>
      <c r="G502">
        <v>1</v>
      </c>
      <c r="H502" t="s">
        <v>89</v>
      </c>
      <c r="I502">
        <v>0.15584999999999999</v>
      </c>
      <c r="J502">
        <v>0.15584999999999999</v>
      </c>
      <c r="L502" s="31">
        <f>217-273.15</f>
        <v>-56.149999999999977</v>
      </c>
      <c r="M502" s="31">
        <f t="shared" si="18"/>
        <v>-73.149999999999977</v>
      </c>
      <c r="R502" t="s">
        <v>79</v>
      </c>
      <c r="T502">
        <v>3.6812897364253116E-6</v>
      </c>
      <c r="Y502">
        <v>9.2257142715476164E-6</v>
      </c>
      <c r="BP502" t="s">
        <v>82</v>
      </c>
      <c r="BQ502" t="s">
        <v>83</v>
      </c>
      <c r="BR502">
        <v>100</v>
      </c>
      <c r="BS502">
        <v>8</v>
      </c>
      <c r="BT502" t="s">
        <v>84</v>
      </c>
      <c r="BU502" t="s">
        <v>444</v>
      </c>
      <c r="BV502" t="s">
        <v>445</v>
      </c>
      <c r="BW502" t="s">
        <v>692</v>
      </c>
    </row>
    <row r="503" spans="1:75" x14ac:dyDescent="0.75">
      <c r="B503" t="s">
        <v>426</v>
      </c>
      <c r="C503" t="s">
        <v>430</v>
      </c>
      <c r="D503" t="s">
        <v>77</v>
      </c>
      <c r="E503" s="1" t="s">
        <v>431</v>
      </c>
      <c r="F503">
        <v>84</v>
      </c>
      <c r="G503">
        <v>1</v>
      </c>
      <c r="H503" t="s">
        <v>89</v>
      </c>
      <c r="I503">
        <v>0.2021</v>
      </c>
      <c r="J503">
        <v>0.2021</v>
      </c>
      <c r="L503" s="31">
        <f>214-273.15</f>
        <v>-59.149999999999977</v>
      </c>
      <c r="M503" s="31">
        <f t="shared" si="18"/>
        <v>-73.149999999999977</v>
      </c>
      <c r="R503" t="s">
        <v>79</v>
      </c>
      <c r="T503">
        <v>5.5207743928075646E-6</v>
      </c>
      <c r="Y503">
        <v>8.8511560983083385E-6</v>
      </c>
      <c r="BP503" t="s">
        <v>82</v>
      </c>
      <c r="BQ503" t="s">
        <v>83</v>
      </c>
      <c r="BR503">
        <v>100</v>
      </c>
      <c r="BS503">
        <v>8</v>
      </c>
      <c r="BT503" t="s">
        <v>84</v>
      </c>
      <c r="BU503" t="s">
        <v>444</v>
      </c>
      <c r="BV503" t="s">
        <v>445</v>
      </c>
      <c r="BW503" t="s">
        <v>692</v>
      </c>
    </row>
    <row r="504" spans="1:75" x14ac:dyDescent="0.75">
      <c r="B504" t="s">
        <v>426</v>
      </c>
      <c r="C504" t="s">
        <v>430</v>
      </c>
      <c r="D504" t="s">
        <v>77</v>
      </c>
      <c r="E504" s="1" t="s">
        <v>431</v>
      </c>
      <c r="F504">
        <v>84</v>
      </c>
      <c r="G504">
        <v>1</v>
      </c>
      <c r="H504" t="s">
        <v>89</v>
      </c>
      <c r="I504">
        <v>0.25764999999999999</v>
      </c>
      <c r="J504">
        <v>0.25764999999999999</v>
      </c>
      <c r="L504" s="31">
        <f>215-273.15</f>
        <v>-58.149999999999977</v>
      </c>
      <c r="M504" s="31">
        <f t="shared" si="18"/>
        <v>-73.149999999999977</v>
      </c>
      <c r="R504" t="s">
        <v>79</v>
      </c>
      <c r="T504">
        <v>3.3651156937549027E-6</v>
      </c>
      <c r="Y504">
        <v>1.2882495516931347E-5</v>
      </c>
      <c r="BP504" t="s">
        <v>82</v>
      </c>
      <c r="BQ504" t="s">
        <v>83</v>
      </c>
      <c r="BR504">
        <v>100</v>
      </c>
      <c r="BS504">
        <v>8</v>
      </c>
      <c r="BT504" t="s">
        <v>84</v>
      </c>
      <c r="BU504" t="s">
        <v>444</v>
      </c>
      <c r="BV504" t="s">
        <v>445</v>
      </c>
      <c r="BW504" t="s">
        <v>692</v>
      </c>
    </row>
    <row r="505" spans="1:75" x14ac:dyDescent="0.75">
      <c r="B505" t="s">
        <v>426</v>
      </c>
      <c r="C505" t="s">
        <v>430</v>
      </c>
      <c r="D505" t="s">
        <v>77</v>
      </c>
      <c r="E505" s="1" t="s">
        <v>431</v>
      </c>
      <c r="F505">
        <v>84</v>
      </c>
      <c r="G505">
        <v>1</v>
      </c>
      <c r="H505" t="s">
        <v>89</v>
      </c>
      <c r="I505">
        <v>0.502</v>
      </c>
      <c r="J505">
        <v>0.502</v>
      </c>
      <c r="M505" s="31">
        <f t="shared" si="18"/>
        <v>-73.149999999999977</v>
      </c>
      <c r="R505" t="s">
        <v>79</v>
      </c>
      <c r="T505">
        <v>4.4360864393143252E-7</v>
      </c>
      <c r="Y505">
        <v>1.2105981335504804E-6</v>
      </c>
      <c r="BP505" t="s">
        <v>82</v>
      </c>
      <c r="BQ505" t="s">
        <v>83</v>
      </c>
      <c r="BR505">
        <v>100</v>
      </c>
      <c r="BS505">
        <v>8</v>
      </c>
      <c r="BT505" t="s">
        <v>84</v>
      </c>
      <c r="BU505" t="s">
        <v>444</v>
      </c>
      <c r="BV505" t="s">
        <v>445</v>
      </c>
      <c r="BW505" t="s">
        <v>692</v>
      </c>
    </row>
    <row r="506" spans="1:75" x14ac:dyDescent="0.75">
      <c r="A506" t="s">
        <v>446</v>
      </c>
      <c r="B506" t="s">
        <v>447</v>
      </c>
      <c r="C506" t="s">
        <v>448</v>
      </c>
      <c r="D506" t="s">
        <v>449</v>
      </c>
      <c r="E506" s="30" t="s">
        <v>450</v>
      </c>
      <c r="F506">
        <v>50</v>
      </c>
      <c r="G506">
        <v>1.5</v>
      </c>
      <c r="H506" t="s">
        <v>90</v>
      </c>
      <c r="I506">
        <v>0.1</v>
      </c>
      <c r="R506" t="s">
        <v>79</v>
      </c>
      <c r="T506" s="5">
        <v>1.4986389437953699E-9</v>
      </c>
      <c r="U506" s="5">
        <v>2.1645415046763702E-9</v>
      </c>
      <c r="W506" s="5">
        <v>3.08757407729088E-9</v>
      </c>
      <c r="Y506" s="5">
        <v>4.3523168097499497E-9</v>
      </c>
      <c r="Z506" s="5">
        <v>6.0663413702070901E-9</v>
      </c>
      <c r="AA506" s="5">
        <v>8.3651148148312402E-9</v>
      </c>
      <c r="AB506" s="5">
        <v>1.14176397188793E-8</v>
      </c>
      <c r="AC506" s="5">
        <v>1.5432884296981599E-8</v>
      </c>
      <c r="AD506" s="5">
        <v>2.0667051953223299E-8</v>
      </c>
      <c r="AE506" s="5">
        <v>2.7431734343355901E-8</v>
      </c>
      <c r="AF506" s="5">
        <v>3.6102985674097699E-8</v>
      </c>
      <c r="AG506" s="5">
        <v>4.7131348704862502E-8</v>
      </c>
      <c r="AH506" s="5">
        <v>6.1052854871929294E-8</v>
      </c>
      <c r="AI506" s="5">
        <v>7.8501012256336906E-8</v>
      </c>
      <c r="AJ506" s="5">
        <v>1.00219785908493E-7</v>
      </c>
      <c r="AK506" s="5">
        <v>1.2707756547586499E-7</v>
      </c>
      <c r="AL506" s="5">
        <v>2.0039641240601299E-7</v>
      </c>
      <c r="AV506">
        <v>96.808700000000002</v>
      </c>
      <c r="AW506">
        <v>6356.5041000000001</v>
      </c>
      <c r="AX506">
        <v>-273.14999999999998</v>
      </c>
      <c r="BG506">
        <v>0.53359999999999996</v>
      </c>
      <c r="BH506">
        <v>3.2336</v>
      </c>
      <c r="BP506" t="s">
        <v>82</v>
      </c>
      <c r="BQ506" t="s">
        <v>83</v>
      </c>
      <c r="BR506" s="15"/>
      <c r="BT506" t="s">
        <v>84</v>
      </c>
      <c r="BU506" t="s">
        <v>451</v>
      </c>
      <c r="BV506" t="s">
        <v>445</v>
      </c>
      <c r="BW506" t="s">
        <v>692</v>
      </c>
    </row>
    <row r="507" spans="1:75" x14ac:dyDescent="0.75">
      <c r="A507" t="s">
        <v>452</v>
      </c>
      <c r="B507" t="s">
        <v>447</v>
      </c>
      <c r="C507" t="s">
        <v>453</v>
      </c>
      <c r="D507" t="s">
        <v>222</v>
      </c>
      <c r="E507" s="30" t="s">
        <v>450</v>
      </c>
      <c r="F507">
        <v>50</v>
      </c>
      <c r="G507">
        <v>2</v>
      </c>
      <c r="H507" t="s">
        <v>90</v>
      </c>
      <c r="I507">
        <v>0.1</v>
      </c>
      <c r="R507" t="s">
        <v>79</v>
      </c>
      <c r="T507" s="5">
        <v>2.45263669095241E-7</v>
      </c>
      <c r="U507" s="5">
        <v>3.2662513709746299E-7</v>
      </c>
      <c r="W507" s="5">
        <v>4.3075559683297499E-7</v>
      </c>
      <c r="Y507" s="5">
        <v>5.6284364909818296E-7</v>
      </c>
      <c r="Z507" s="5">
        <v>7.2898233608892799E-7</v>
      </c>
      <c r="AA507" s="5">
        <v>9.3627387602531499E-7</v>
      </c>
      <c r="AB507" s="5">
        <v>1.1929387087803601E-6</v>
      </c>
      <c r="AC507" s="5">
        <v>1.50842813973157E-6</v>
      </c>
      <c r="AD507" s="5">
        <v>1.8935398056313299E-6</v>
      </c>
      <c r="AE507" s="5">
        <v>2.3605351352770498E-6</v>
      </c>
      <c r="AF507" s="5">
        <v>2.9232579396335201E-6</v>
      </c>
      <c r="AG507" s="5">
        <v>3.5972532409694102E-6</v>
      </c>
      <c r="AH507" s="5">
        <v>4.3998854383654099E-6</v>
      </c>
      <c r="AI507" s="5">
        <v>5.3504549072201302E-6</v>
      </c>
      <c r="AJ507" s="5">
        <v>6.4703121424783296E-6</v>
      </c>
      <c r="AK507" s="5">
        <v>7.7829685784053595E-6</v>
      </c>
      <c r="AL507" s="5">
        <v>1.10921645100497E-5</v>
      </c>
      <c r="AV507">
        <v>135.82990000000001</v>
      </c>
      <c r="AW507">
        <v>4985.1665000000003</v>
      </c>
      <c r="AX507">
        <v>-273.14999999999998</v>
      </c>
      <c r="BG507">
        <v>0.41539999999999999</v>
      </c>
      <c r="BH507">
        <v>4.5350000000000001</v>
      </c>
      <c r="BP507" t="s">
        <v>82</v>
      </c>
      <c r="BQ507" t="s">
        <v>83</v>
      </c>
      <c r="BR507" s="15"/>
      <c r="BT507" t="s">
        <v>84</v>
      </c>
      <c r="BU507" t="s">
        <v>451</v>
      </c>
      <c r="BV507" t="s">
        <v>445</v>
      </c>
      <c r="BW507" t="s">
        <v>692</v>
      </c>
    </row>
    <row r="508" spans="1:75" x14ac:dyDescent="0.75">
      <c r="A508" t="s">
        <v>454</v>
      </c>
      <c r="B508" t="s">
        <v>447</v>
      </c>
      <c r="C508" t="s">
        <v>455</v>
      </c>
      <c r="D508" t="s">
        <v>617</v>
      </c>
      <c r="E508" s="30" t="s">
        <v>450</v>
      </c>
      <c r="F508">
        <v>71</v>
      </c>
      <c r="G508">
        <v>2</v>
      </c>
      <c r="H508" t="s">
        <v>90</v>
      </c>
      <c r="I508">
        <v>0.1</v>
      </c>
      <c r="R508" t="s">
        <v>79</v>
      </c>
      <c r="T508" s="5">
        <v>9.8922355907992506E-6</v>
      </c>
      <c r="U508" s="5">
        <v>1.5534918703886699E-5</v>
      </c>
      <c r="W508" s="5">
        <v>2.2951312474671302E-5</v>
      </c>
      <c r="Y508" s="5">
        <v>3.2267257929762998E-5</v>
      </c>
      <c r="Z508" s="5">
        <v>4.3548821548082199E-5</v>
      </c>
      <c r="AA508" s="5">
        <v>5.6808088654707797E-5</v>
      </c>
      <c r="AB508" s="5">
        <v>7.2011291233986294E-5</v>
      </c>
      <c r="AC508" s="5">
        <v>8.9087729071325199E-5</v>
      </c>
      <c r="AD508">
        <v>1.0793848134366401E-4</v>
      </c>
      <c r="AE508">
        <v>1.2844432981711599E-4</v>
      </c>
      <c r="AF508">
        <v>1.50472616308482E-4</v>
      </c>
      <c r="AG508">
        <v>1.7388295458961299E-4</v>
      </c>
      <c r="AH508">
        <v>1.9853183597974601E-4</v>
      </c>
      <c r="AI508">
        <v>2.2427623213480401E-4</v>
      </c>
      <c r="AJ508">
        <v>2.5097632683804798E-4</v>
      </c>
      <c r="AK508">
        <v>2.7849751469049801E-4</v>
      </c>
      <c r="AV508">
        <v>0.1066</v>
      </c>
      <c r="AW508">
        <v>420.44779999999997</v>
      </c>
      <c r="AX508">
        <v>-50.152899999999988</v>
      </c>
      <c r="BG508">
        <v>0.3795</v>
      </c>
      <c r="BH508">
        <v>60.881</v>
      </c>
      <c r="BP508" t="s">
        <v>82</v>
      </c>
      <c r="BQ508" t="s">
        <v>83</v>
      </c>
      <c r="BR508" s="15"/>
      <c r="BT508" t="s">
        <v>84</v>
      </c>
      <c r="BU508" t="s">
        <v>451</v>
      </c>
      <c r="BV508" t="s">
        <v>445</v>
      </c>
      <c r="BW508" t="s">
        <v>692</v>
      </c>
    </row>
    <row r="509" spans="1:75" x14ac:dyDescent="0.75">
      <c r="A509" t="s">
        <v>456</v>
      </c>
      <c r="B509" t="s">
        <v>447</v>
      </c>
      <c r="C509" t="s">
        <v>457</v>
      </c>
      <c r="D509" t="s">
        <v>77</v>
      </c>
      <c r="E509" s="30" t="s">
        <v>450</v>
      </c>
      <c r="F509">
        <v>64</v>
      </c>
      <c r="G509">
        <v>1</v>
      </c>
      <c r="H509" t="s">
        <v>90</v>
      </c>
      <c r="I509">
        <v>0.1</v>
      </c>
      <c r="L509" s="31">
        <v>-44.15</v>
      </c>
      <c r="M509">
        <f>213-273.15</f>
        <v>-60.149999999999977</v>
      </c>
      <c r="N509">
        <f>382-273.15</f>
        <v>108.85000000000002</v>
      </c>
      <c r="R509" t="s">
        <v>84</v>
      </c>
      <c r="U509" s="5">
        <v>5.3902778046193499E-6</v>
      </c>
      <c r="W509" s="5">
        <v>8.8621962783146692E-6</v>
      </c>
      <c r="Y509" s="5">
        <v>1.3829025992437201E-5</v>
      </c>
      <c r="Z509" s="5">
        <v>2.0640412914826601E-5</v>
      </c>
      <c r="AA509" s="5">
        <v>2.9651594640518901E-5</v>
      </c>
      <c r="AB509" s="5">
        <v>4.1211455378610202E-5</v>
      </c>
      <c r="AC509" s="5">
        <v>5.5652068853333701E-5</v>
      </c>
      <c r="AD509" s="5">
        <v>7.3280138686283706E-5</v>
      </c>
      <c r="AE509" s="5">
        <v>9.4370483116487197E-5</v>
      </c>
      <c r="AF509">
        <v>1.19161518566317E-4</v>
      </c>
      <c r="AG509">
        <v>1.47852570401235E-4</v>
      </c>
      <c r="AV509">
        <v>0.97009999999999996</v>
      </c>
      <c r="AW509">
        <v>801.62360000000001</v>
      </c>
      <c r="AX509">
        <v>-66.566599999999966</v>
      </c>
      <c r="AZ509">
        <v>7.0309999999999997</v>
      </c>
      <c r="BA509">
        <v>1279.7943</v>
      </c>
      <c r="BB509">
        <v>-94.15</v>
      </c>
      <c r="BG509">
        <v>0.58530000000000004</v>
      </c>
      <c r="BH509">
        <v>69226.354800000001</v>
      </c>
      <c r="BP509" t="s">
        <v>82</v>
      </c>
      <c r="BQ509" t="s">
        <v>83</v>
      </c>
      <c r="BR509" s="15"/>
      <c r="BT509" t="s">
        <v>84</v>
      </c>
      <c r="BU509" t="s">
        <v>451</v>
      </c>
      <c r="BV509" t="s">
        <v>445</v>
      </c>
      <c r="BW509" t="s">
        <v>692</v>
      </c>
    </row>
    <row r="510" spans="1:75" x14ac:dyDescent="0.75">
      <c r="A510" s="1" t="s">
        <v>456</v>
      </c>
      <c r="B510" s="1" t="s">
        <v>447</v>
      </c>
      <c r="C510" s="1" t="s">
        <v>457</v>
      </c>
      <c r="D510" s="1" t="s">
        <v>77</v>
      </c>
      <c r="E510" s="30" t="s">
        <v>450</v>
      </c>
      <c r="F510" s="1">
        <v>64</v>
      </c>
      <c r="G510" s="1">
        <v>1</v>
      </c>
      <c r="H510" s="1" t="s">
        <v>89</v>
      </c>
      <c r="I510" s="1">
        <v>0.1</v>
      </c>
      <c r="J510" s="1"/>
      <c r="K510" s="1"/>
      <c r="L510" s="32"/>
      <c r="M510" s="1">
        <f>213-273.15</f>
        <v>-60.149999999999977</v>
      </c>
      <c r="N510" s="1">
        <f>382-273.15</f>
        <v>108.85000000000002</v>
      </c>
      <c r="O510" s="1"/>
      <c r="P510" s="1"/>
      <c r="Q510" s="1"/>
      <c r="R510" s="1" t="s">
        <v>84</v>
      </c>
      <c r="S510" s="1"/>
      <c r="T510" s="1"/>
      <c r="U510" s="3">
        <v>2.0995376502083798E-6</v>
      </c>
      <c r="V510" s="1"/>
      <c r="W510" s="3">
        <v>2.9304948231819E-6</v>
      </c>
      <c r="X510" s="1"/>
      <c r="Y510" s="3">
        <v>4.0450239856814298E-6</v>
      </c>
      <c r="Z510" s="3">
        <v>5.5245960746810496E-6</v>
      </c>
      <c r="AA510" s="3">
        <v>7.4696551169417601E-6</v>
      </c>
      <c r="AB510" s="3">
        <v>1.00029598018376E-5</v>
      </c>
      <c r="AC510" s="3">
        <v>1.32733012607279E-5</v>
      </c>
      <c r="AD510" s="3">
        <v>1.7459606678865799E-5</v>
      </c>
      <c r="AE510" s="3">
        <v>2.2775434474331198E-5</v>
      </c>
      <c r="AF510" s="3">
        <v>2.9473862644955699E-5</v>
      </c>
      <c r="AG510" s="3">
        <v>3.7852767585359297E-5</v>
      </c>
      <c r="AH510" s="3">
        <v>4.8260486290342903E-5</v>
      </c>
      <c r="AI510" s="3">
        <v>6.1101850465710805E-5</v>
      </c>
      <c r="AJ510" s="3">
        <v>7.6844576738342195E-5</v>
      </c>
      <c r="AK510" s="3">
        <v>9.6025992964912595E-5</v>
      </c>
      <c r="AL510" s="1">
        <v>1.4724477774143399E-4</v>
      </c>
      <c r="AM510" s="1"/>
      <c r="AN510" s="1"/>
      <c r="AO510" s="1"/>
      <c r="AP510" s="1"/>
      <c r="AQ510" s="1"/>
      <c r="AR510" s="1"/>
      <c r="AS510" s="1"/>
      <c r="AT510" s="1"/>
      <c r="AU510" s="1"/>
      <c r="AV510" s="1">
        <v>25710.608199999999</v>
      </c>
      <c r="AW510" s="1">
        <v>5976.7745000000004</v>
      </c>
      <c r="AX510" s="1">
        <v>-273.14999999999998</v>
      </c>
      <c r="AY510" s="1"/>
      <c r="AZ510" s="1">
        <v>1.077</v>
      </c>
      <c r="BA510" s="1">
        <v>1189.172</v>
      </c>
      <c r="BB510" s="1">
        <v>-94.15</v>
      </c>
      <c r="BC510" s="1"/>
      <c r="BD510" s="1"/>
      <c r="BE510" s="1"/>
      <c r="BF510" s="1"/>
      <c r="BG510" s="1">
        <v>0.50080000000000002</v>
      </c>
      <c r="BH510" s="1">
        <v>858.1019</v>
      </c>
      <c r="BI510" s="1"/>
      <c r="BJ510" s="1"/>
      <c r="BK510" s="1"/>
      <c r="BL510" s="1"/>
      <c r="BM510" s="1"/>
      <c r="BN510" s="1"/>
      <c r="BO510" s="1"/>
      <c r="BP510" s="1" t="s">
        <v>82</v>
      </c>
      <c r="BQ510" s="1" t="s">
        <v>83</v>
      </c>
      <c r="BR510" s="15"/>
      <c r="BS510" s="1"/>
      <c r="BT510" s="1" t="s">
        <v>84</v>
      </c>
      <c r="BU510" t="s">
        <v>451</v>
      </c>
      <c r="BV510" s="1" t="s">
        <v>445</v>
      </c>
      <c r="BW510" t="s">
        <v>692</v>
      </c>
    </row>
    <row r="511" spans="1:75" x14ac:dyDescent="0.75">
      <c r="A511" t="s">
        <v>458</v>
      </c>
      <c r="B511" t="s">
        <v>426</v>
      </c>
      <c r="C511" t="s">
        <v>459</v>
      </c>
      <c r="D511" t="s">
        <v>77</v>
      </c>
      <c r="E511" s="11" t="s">
        <v>460</v>
      </c>
      <c r="F511">
        <v>95</v>
      </c>
      <c r="H511" t="s">
        <v>78</v>
      </c>
      <c r="J511">
        <v>0.02</v>
      </c>
      <c r="L511" s="31">
        <f>221.3-273.15</f>
        <v>-51.849999999999966</v>
      </c>
      <c r="M511" s="31">
        <f>212.2-273.15</f>
        <v>-60.949999999999989</v>
      </c>
      <c r="R511" t="s">
        <v>84</v>
      </c>
      <c r="S511" s="5">
        <v>1.18526941949909E-7</v>
      </c>
      <c r="T511" s="5">
        <v>2.06040772350785E-6</v>
      </c>
      <c r="U511" s="5">
        <v>4.0512564885697696E-6</v>
      </c>
      <c r="W511" s="5">
        <v>7.2683253122077101E-6</v>
      </c>
      <c r="Y511" s="5">
        <v>1.21058156638476E-5</v>
      </c>
      <c r="Z511" s="5">
        <v>1.89671048782346E-5</v>
      </c>
      <c r="AA511" s="5">
        <v>2.82428071739882E-5</v>
      </c>
      <c r="AB511" s="5">
        <v>4.0292621112897598E-5</v>
      </c>
      <c r="AC511" s="5">
        <v>5.5431908547883599E-5</v>
      </c>
      <c r="AD511" s="5">
        <v>7.39230605693676E-5</v>
      </c>
      <c r="AE511" s="5">
        <v>9.5971157418561103E-5</v>
      </c>
      <c r="AF511">
        <v>1.2172316024713501E-4</v>
      </c>
      <c r="AG511">
        <v>1.5126979889675901E-4</v>
      </c>
      <c r="AH511">
        <v>1.8464936534875299E-4</v>
      </c>
      <c r="AI511">
        <v>2.2185272939207501E-4</v>
      </c>
      <c r="AJ511">
        <v>2.6282902252761499E-4</v>
      </c>
      <c r="AK511">
        <v>3.0749156470469399E-4</v>
      </c>
      <c r="AL511">
        <v>4.0738449400758397E-4</v>
      </c>
      <c r="AV511">
        <v>0.48299999999999998</v>
      </c>
      <c r="AW511">
        <v>615.97050000000002</v>
      </c>
      <c r="AX511">
        <v>-49.613299999999981</v>
      </c>
      <c r="AZ511">
        <v>50.715299999999999</v>
      </c>
      <c r="BA511">
        <v>1688.4864</v>
      </c>
      <c r="BB511">
        <v>-101.85</v>
      </c>
      <c r="BE511">
        <v>1.1000000000000001</v>
      </c>
      <c r="BF511" s="5">
        <v>27000000000000</v>
      </c>
      <c r="BG511">
        <v>0.25</v>
      </c>
      <c r="BH511">
        <v>0.68</v>
      </c>
      <c r="BI511" t="s">
        <v>461</v>
      </c>
      <c r="BO511" s="5">
        <v>4000</v>
      </c>
      <c r="BP511" t="s">
        <v>173</v>
      </c>
      <c r="BQ511" t="s">
        <v>83</v>
      </c>
      <c r="BR511">
        <v>25</v>
      </c>
      <c r="BS511">
        <v>12</v>
      </c>
      <c r="BT511" t="s">
        <v>149</v>
      </c>
      <c r="BU511" t="s">
        <v>462</v>
      </c>
      <c r="BV511" t="s">
        <v>463</v>
      </c>
      <c r="BW511" t="s">
        <v>693</v>
      </c>
    </row>
    <row r="512" spans="1:75" x14ac:dyDescent="0.75">
      <c r="A512" t="s">
        <v>458</v>
      </c>
      <c r="B512" t="s">
        <v>426</v>
      </c>
      <c r="C512" t="s">
        <v>459</v>
      </c>
      <c r="D512" t="s">
        <v>77</v>
      </c>
      <c r="E512" t="s">
        <v>460</v>
      </c>
      <c r="F512">
        <v>95</v>
      </c>
      <c r="H512" t="s">
        <v>78</v>
      </c>
      <c r="J512">
        <v>0.04</v>
      </c>
      <c r="L512" s="31">
        <f>226-273.15</f>
        <v>-47.149999999999977</v>
      </c>
      <c r="M512" s="31">
        <f t="shared" ref="M512:M518" si="19">212.2-273.15</f>
        <v>-60.949999999999989</v>
      </c>
      <c r="R512" t="s">
        <v>84</v>
      </c>
      <c r="S512" s="5">
        <v>1.8126737578384801E-7</v>
      </c>
      <c r="T512" s="5">
        <v>3.8174811551724998E-6</v>
      </c>
      <c r="U512" s="5">
        <v>7.5155992743789102E-6</v>
      </c>
      <c r="W512" s="5">
        <v>1.3327033356483401E-5</v>
      </c>
      <c r="Y512" s="5">
        <v>2.1765074465093599E-5</v>
      </c>
      <c r="Z512" s="5">
        <v>3.3277790501768597E-5</v>
      </c>
      <c r="AA512" s="5">
        <v>4.8223683207803898E-5</v>
      </c>
      <c r="AB512" s="5">
        <v>6.6860782165617804E-5</v>
      </c>
      <c r="AC512" s="5">
        <v>8.9346264982804506E-5</v>
      </c>
      <c r="AD512">
        <v>1.1574330799888E-4</v>
      </c>
      <c r="AE512">
        <v>1.46032236523053E-4</v>
      </c>
      <c r="AF512">
        <v>1.8012369142587001E-4</v>
      </c>
      <c r="AG512">
        <v>2.1787219869168301E-4</v>
      </c>
      <c r="AH512">
        <v>2.5908910186531702E-4</v>
      </c>
      <c r="AI512">
        <v>3.0355425863628599E-4</v>
      </c>
      <c r="AJ512">
        <v>3.5102621761392698E-4</v>
      </c>
      <c r="AK512">
        <v>4.01250801457641E-4</v>
      </c>
      <c r="AL512">
        <v>5.0891837535803797E-4</v>
      </c>
      <c r="AV512">
        <v>0.2611</v>
      </c>
      <c r="AW512">
        <v>460.77629999999999</v>
      </c>
      <c r="AX512">
        <v>-40.506199999999978</v>
      </c>
      <c r="AZ512">
        <v>35.868400000000001</v>
      </c>
      <c r="BA512">
        <v>1521.9728</v>
      </c>
      <c r="BB512">
        <v>-97.15</v>
      </c>
      <c r="BE512">
        <v>1.21</v>
      </c>
      <c r="BF512" s="5">
        <v>3900000000000000</v>
      </c>
      <c r="BG512">
        <v>0.35</v>
      </c>
      <c r="BH512">
        <v>27</v>
      </c>
      <c r="BI512" t="s">
        <v>464</v>
      </c>
      <c r="BO512" s="5">
        <v>4000</v>
      </c>
      <c r="BP512" t="s">
        <v>173</v>
      </c>
      <c r="BQ512" t="s">
        <v>83</v>
      </c>
      <c r="BR512">
        <v>25</v>
      </c>
      <c r="BS512">
        <v>12</v>
      </c>
      <c r="BT512" t="s">
        <v>149</v>
      </c>
      <c r="BU512" t="s">
        <v>462</v>
      </c>
      <c r="BV512" t="s">
        <v>463</v>
      </c>
      <c r="BW512" t="s">
        <v>693</v>
      </c>
    </row>
    <row r="513" spans="1:75" x14ac:dyDescent="0.75">
      <c r="A513" t="s">
        <v>458</v>
      </c>
      <c r="B513" t="s">
        <v>426</v>
      </c>
      <c r="C513" t="s">
        <v>459</v>
      </c>
      <c r="D513" t="s">
        <v>77</v>
      </c>
      <c r="E513" t="s">
        <v>460</v>
      </c>
      <c r="F513">
        <v>95</v>
      </c>
      <c r="H513" t="s">
        <v>78</v>
      </c>
      <c r="J513">
        <v>0.06</v>
      </c>
      <c r="L513" s="31">
        <f>229-273.15</f>
        <v>-44.149999999999977</v>
      </c>
      <c r="M513" s="31">
        <f t="shared" si="19"/>
        <v>-60.949999999999989</v>
      </c>
      <c r="R513" t="s">
        <v>84</v>
      </c>
      <c r="S513" s="5">
        <v>4.9774433534275496E-7</v>
      </c>
      <c r="T513" s="5">
        <v>8.3265517983501506E-6</v>
      </c>
      <c r="U513" s="5">
        <v>1.5594690378472401E-5</v>
      </c>
      <c r="W513" s="5">
        <v>2.6519389179307001E-5</v>
      </c>
      <c r="Y513" s="5">
        <v>4.1794596565882597E-5</v>
      </c>
      <c r="Z513" s="5">
        <v>6.1971742658854397E-5</v>
      </c>
      <c r="AA513" s="5">
        <v>8.7440009188508898E-5</v>
      </c>
      <c r="AB513">
        <v>1.18425943857879E-4</v>
      </c>
      <c r="AC513">
        <v>1.5500602013437199E-4</v>
      </c>
      <c r="AD513">
        <v>1.97126528730837E-4</v>
      </c>
      <c r="AE513">
        <v>2.4462654830619001E-4</v>
      </c>
      <c r="AF513">
        <v>2.9726110556063201E-4</v>
      </c>
      <c r="AG513">
        <v>3.5472275975616702E-4</v>
      </c>
      <c r="AH513">
        <v>4.16660678365758E-4</v>
      </c>
      <c r="AI513">
        <v>4.8269683725708101E-4</v>
      </c>
      <c r="AJ513">
        <v>5.5243933673145202E-4</v>
      </c>
      <c r="AK513">
        <v>6.2549303135399695E-4</v>
      </c>
      <c r="AL513">
        <v>7.7998462139311302E-4</v>
      </c>
      <c r="AO513">
        <v>0.08</v>
      </c>
      <c r="AP513">
        <v>60</v>
      </c>
      <c r="AQ513" t="s">
        <v>465</v>
      </c>
      <c r="AV513">
        <v>0.32279999999999998</v>
      </c>
      <c r="AW513">
        <v>431.48070000000001</v>
      </c>
      <c r="AX513">
        <v>-40.791999999999973</v>
      </c>
      <c r="AZ513">
        <v>23.527899999999999</v>
      </c>
      <c r="BA513">
        <v>1345.2331999999999</v>
      </c>
      <c r="BB513">
        <v>-94.15</v>
      </c>
      <c r="BE513">
        <v>1.17</v>
      </c>
      <c r="BF513" s="5">
        <v>1900000000000000</v>
      </c>
      <c r="BG513">
        <v>0.4</v>
      </c>
      <c r="BH513">
        <v>234</v>
      </c>
      <c r="BI513" t="s">
        <v>466</v>
      </c>
      <c r="BO513" s="5">
        <v>4000</v>
      </c>
      <c r="BP513" t="s">
        <v>173</v>
      </c>
      <c r="BQ513" t="s">
        <v>83</v>
      </c>
      <c r="BR513">
        <v>25</v>
      </c>
      <c r="BS513">
        <v>12</v>
      </c>
      <c r="BT513" t="s">
        <v>149</v>
      </c>
      <c r="BU513" t="s">
        <v>462</v>
      </c>
      <c r="BV513" t="s">
        <v>463</v>
      </c>
      <c r="BW513" t="s">
        <v>693</v>
      </c>
    </row>
    <row r="514" spans="1:75" x14ac:dyDescent="0.75">
      <c r="A514" t="s">
        <v>458</v>
      </c>
      <c r="B514" t="s">
        <v>426</v>
      </c>
      <c r="C514" t="s">
        <v>459</v>
      </c>
      <c r="D514" t="s">
        <v>77</v>
      </c>
      <c r="E514" t="s">
        <v>460</v>
      </c>
      <c r="F514">
        <v>95</v>
      </c>
      <c r="H514" t="s">
        <v>78</v>
      </c>
      <c r="J514">
        <v>0.08</v>
      </c>
      <c r="L514" s="31">
        <f>230-273.15</f>
        <v>-43.149999999999977</v>
      </c>
      <c r="M514" s="31">
        <f t="shared" si="19"/>
        <v>-60.949999999999989</v>
      </c>
      <c r="R514" t="s">
        <v>79</v>
      </c>
      <c r="S514" s="5">
        <v>1.69929571088273E-6</v>
      </c>
      <c r="T514" s="5">
        <v>1.07150776201518E-5</v>
      </c>
      <c r="U514" s="5">
        <v>1.74615667905759E-5</v>
      </c>
      <c r="W514" s="5">
        <v>2.71323260117962E-5</v>
      </c>
      <c r="Y514" s="5">
        <v>4.0463098851687898E-5</v>
      </c>
      <c r="Z514" s="5">
        <v>5.8230610792407303E-5</v>
      </c>
      <c r="AA514" s="5">
        <v>8.1230667859430905E-5</v>
      </c>
      <c r="AB514">
        <v>1.10256920417891E-4</v>
      </c>
      <c r="AC514">
        <v>1.4608143111707899E-4</v>
      </c>
      <c r="AD514">
        <v>1.8943779558830301E-4</v>
      </c>
      <c r="AE514">
        <v>2.41007219860948E-4</v>
      </c>
      <c r="AF514">
        <v>3.0140768027311102E-4</v>
      </c>
      <c r="AG514">
        <v>3.71186084321247E-4</v>
      </c>
      <c r="AH514">
        <v>4.5081320907888099E-4</v>
      </c>
      <c r="AI514">
        <v>5.4068110735321702E-4</v>
      </c>
      <c r="AJ514">
        <v>6.4110262893564396E-4</v>
      </c>
      <c r="AK514">
        <v>7.5231269385203701E-4</v>
      </c>
      <c r="AL514">
        <v>1.0076656066521699E-3</v>
      </c>
      <c r="AV514">
        <v>3.4213</v>
      </c>
      <c r="AW514">
        <v>925.40909999999997</v>
      </c>
      <c r="AX514">
        <v>-79.025099999999981</v>
      </c>
      <c r="AZ514">
        <v>9.2103000000000002</v>
      </c>
      <c r="BA514">
        <v>1175.7655999999999</v>
      </c>
      <c r="BB514">
        <v>-93.15</v>
      </c>
      <c r="BG514">
        <v>0.55479999999999996</v>
      </c>
      <c r="BH514">
        <v>46975.409</v>
      </c>
      <c r="BO514" s="5">
        <v>4000</v>
      </c>
      <c r="BP514" t="s">
        <v>173</v>
      </c>
      <c r="BQ514" t="s">
        <v>83</v>
      </c>
      <c r="BR514">
        <v>25</v>
      </c>
      <c r="BS514">
        <v>12</v>
      </c>
      <c r="BT514" t="s">
        <v>149</v>
      </c>
      <c r="BU514" t="s">
        <v>462</v>
      </c>
      <c r="BV514" t="s">
        <v>463</v>
      </c>
      <c r="BW514" t="s">
        <v>693</v>
      </c>
    </row>
    <row r="515" spans="1:75" x14ac:dyDescent="0.75">
      <c r="A515" t="s">
        <v>467</v>
      </c>
      <c r="B515" t="s">
        <v>426</v>
      </c>
      <c r="C515" t="s">
        <v>459</v>
      </c>
      <c r="D515" t="s">
        <v>77</v>
      </c>
      <c r="E515" t="s">
        <v>460</v>
      </c>
      <c r="F515">
        <v>95</v>
      </c>
      <c r="H515" t="s">
        <v>90</v>
      </c>
      <c r="J515">
        <v>0.02</v>
      </c>
      <c r="L515" s="31">
        <f>225.3-273.15</f>
        <v>-47.849999999999966</v>
      </c>
      <c r="M515" s="31">
        <f t="shared" si="19"/>
        <v>-60.949999999999989</v>
      </c>
      <c r="R515" t="s">
        <v>84</v>
      </c>
      <c r="BO515" s="5">
        <v>4000</v>
      </c>
      <c r="BP515" t="s">
        <v>173</v>
      </c>
      <c r="BQ515" t="s">
        <v>83</v>
      </c>
      <c r="BR515">
        <v>25</v>
      </c>
      <c r="BS515">
        <v>12</v>
      </c>
      <c r="BT515" t="s">
        <v>149</v>
      </c>
      <c r="BU515" t="s">
        <v>462</v>
      </c>
      <c r="BV515" t="s">
        <v>463</v>
      </c>
      <c r="BW515" t="s">
        <v>693</v>
      </c>
    </row>
    <row r="516" spans="1:75" x14ac:dyDescent="0.75">
      <c r="A516" t="s">
        <v>467</v>
      </c>
      <c r="B516" t="s">
        <v>426</v>
      </c>
      <c r="C516" t="s">
        <v>459</v>
      </c>
      <c r="D516" t="s">
        <v>77</v>
      </c>
      <c r="E516" t="s">
        <v>460</v>
      </c>
      <c r="F516">
        <v>95</v>
      </c>
      <c r="H516" t="s">
        <v>90</v>
      </c>
      <c r="J516">
        <v>0.04</v>
      </c>
      <c r="L516" s="31">
        <f>230.5-273.15</f>
        <v>-42.649999999999977</v>
      </c>
      <c r="M516" s="31">
        <f t="shared" si="19"/>
        <v>-60.949999999999989</v>
      </c>
      <c r="R516" t="s">
        <v>84</v>
      </c>
      <c r="BO516" s="5">
        <v>4000</v>
      </c>
      <c r="BP516" t="s">
        <v>173</v>
      </c>
      <c r="BQ516" t="s">
        <v>83</v>
      </c>
      <c r="BR516">
        <v>25</v>
      </c>
      <c r="BS516">
        <v>12</v>
      </c>
      <c r="BT516" t="s">
        <v>149</v>
      </c>
      <c r="BU516" t="s">
        <v>462</v>
      </c>
      <c r="BV516" t="s">
        <v>463</v>
      </c>
      <c r="BW516" t="s">
        <v>693</v>
      </c>
    </row>
    <row r="517" spans="1:75" x14ac:dyDescent="0.75">
      <c r="A517" t="s">
        <v>467</v>
      </c>
      <c r="B517" t="s">
        <v>426</v>
      </c>
      <c r="C517" t="s">
        <v>459</v>
      </c>
      <c r="D517" t="s">
        <v>77</v>
      </c>
      <c r="E517" t="s">
        <v>460</v>
      </c>
      <c r="F517">
        <v>95</v>
      </c>
      <c r="H517" t="s">
        <v>90</v>
      </c>
      <c r="J517">
        <v>0.06</v>
      </c>
      <c r="L517" s="31">
        <f>235.6-273.15</f>
        <v>-37.549999999999983</v>
      </c>
      <c r="M517" s="31">
        <f t="shared" si="19"/>
        <v>-60.949999999999989</v>
      </c>
      <c r="R517" t="s">
        <v>84</v>
      </c>
      <c r="Y517" s="5">
        <v>2.5000000000000001E-5</v>
      </c>
      <c r="AI517" s="5">
        <v>3.3E-4</v>
      </c>
      <c r="AO517">
        <v>0.2</v>
      </c>
      <c r="AP517">
        <v>60</v>
      </c>
      <c r="AQ517" t="s">
        <v>465</v>
      </c>
      <c r="BO517" s="5">
        <v>4000</v>
      </c>
      <c r="BP517" t="s">
        <v>173</v>
      </c>
      <c r="BQ517" t="s">
        <v>83</v>
      </c>
      <c r="BR517">
        <v>25</v>
      </c>
      <c r="BS517">
        <v>12</v>
      </c>
      <c r="BT517" t="s">
        <v>149</v>
      </c>
      <c r="BU517" t="s">
        <v>462</v>
      </c>
      <c r="BV517" t="s">
        <v>463</v>
      </c>
      <c r="BW517" t="s">
        <v>693</v>
      </c>
    </row>
    <row r="518" spans="1:75" x14ac:dyDescent="0.75">
      <c r="A518" t="s">
        <v>467</v>
      </c>
      <c r="B518" t="s">
        <v>426</v>
      </c>
      <c r="C518" t="s">
        <v>459</v>
      </c>
      <c r="D518" t="s">
        <v>77</v>
      </c>
      <c r="E518" t="s">
        <v>460</v>
      </c>
      <c r="F518">
        <v>95</v>
      </c>
      <c r="H518" t="s">
        <v>90</v>
      </c>
      <c r="J518">
        <v>0.08</v>
      </c>
      <c r="L518" s="31">
        <f>242.2-273.15</f>
        <v>-30.949999999999989</v>
      </c>
      <c r="M518" s="31">
        <f t="shared" si="19"/>
        <v>-60.949999999999989</v>
      </c>
      <c r="R518" t="s">
        <v>79</v>
      </c>
      <c r="Y518" s="5">
        <v>1.9000000000000001E-5</v>
      </c>
      <c r="AI518" s="5">
        <v>2.9E-4</v>
      </c>
      <c r="BO518" s="5">
        <v>4000</v>
      </c>
      <c r="BP518" t="s">
        <v>173</v>
      </c>
      <c r="BQ518" t="s">
        <v>83</v>
      </c>
      <c r="BR518">
        <v>25</v>
      </c>
      <c r="BS518">
        <v>12</v>
      </c>
      <c r="BT518" t="s">
        <v>149</v>
      </c>
      <c r="BU518" t="s">
        <v>462</v>
      </c>
      <c r="BV518" t="s">
        <v>463</v>
      </c>
      <c r="BW518" t="s">
        <v>693</v>
      </c>
    </row>
    <row r="519" spans="1:75" x14ac:dyDescent="0.75">
      <c r="A519" t="s">
        <v>468</v>
      </c>
      <c r="B519" t="s">
        <v>426</v>
      </c>
      <c r="C519" t="s">
        <v>459</v>
      </c>
      <c r="D519" t="s">
        <v>77</v>
      </c>
      <c r="E519" t="s">
        <v>460</v>
      </c>
      <c r="F519">
        <v>91</v>
      </c>
      <c r="H519" t="s">
        <v>78</v>
      </c>
      <c r="J519">
        <v>0.02</v>
      </c>
      <c r="L519" s="31">
        <f>217.7-273.15</f>
        <v>-55.449999999999989</v>
      </c>
      <c r="M519" s="31">
        <f>208.5-273.15</f>
        <v>-64.649999999999977</v>
      </c>
      <c r="N519">
        <v>37</v>
      </c>
      <c r="R519" t="s">
        <v>84</v>
      </c>
      <c r="S519" s="5">
        <v>1.78103600603889E-6</v>
      </c>
      <c r="T519" s="5">
        <v>1.8398059625287999E-5</v>
      </c>
      <c r="U519" s="5">
        <v>3.1368479487417099E-5</v>
      </c>
      <c r="W519" s="5">
        <v>4.9462049435843597E-5</v>
      </c>
      <c r="Y519" s="5">
        <v>7.32785167379029E-5</v>
      </c>
      <c r="Z519">
        <v>1.0321475936723E-4</v>
      </c>
      <c r="AA519">
        <v>1.3947061844900299E-4</v>
      </c>
      <c r="AB519">
        <v>1.82069357043613E-4</v>
      </c>
      <c r="AC519">
        <v>2.30885525419315E-4</v>
      </c>
      <c r="AD519">
        <v>2.8567507151669599E-4</v>
      </c>
      <c r="AE519">
        <v>3.4610440448138401E-4</v>
      </c>
      <c r="AF519">
        <v>4.1177656435330799E-4</v>
      </c>
      <c r="AG519">
        <v>4.8225366014532499E-4</v>
      </c>
      <c r="AH519">
        <v>5.5707538664228696E-4</v>
      </c>
      <c r="AI519">
        <v>6.3577381119482004E-4</v>
      </c>
      <c r="AJ519">
        <v>7.17884819510538E-4</v>
      </c>
      <c r="AK519">
        <v>8.0295668923402105E-4</v>
      </c>
      <c r="AL519">
        <v>9.8027320784257999E-4</v>
      </c>
      <c r="AV519">
        <v>0.33090000000000003</v>
      </c>
      <c r="AW519">
        <v>412.64490000000001</v>
      </c>
      <c r="AX519">
        <v>-44.239899999999977</v>
      </c>
      <c r="AZ519">
        <v>21.471</v>
      </c>
      <c r="BA519">
        <v>1370.3648000000001</v>
      </c>
      <c r="BB519">
        <v>-105.45</v>
      </c>
      <c r="BE519">
        <v>0.79</v>
      </c>
      <c r="BF519" s="5">
        <v>1000000000</v>
      </c>
      <c r="BG519">
        <v>0.18</v>
      </c>
      <c r="BH519">
        <v>0.26</v>
      </c>
      <c r="BI519" t="s">
        <v>469</v>
      </c>
      <c r="BM519">
        <v>5.4</v>
      </c>
      <c r="BN519" s="5">
        <f>BO519/BM519</f>
        <v>277.77777777777777</v>
      </c>
      <c r="BO519" s="5">
        <v>1500</v>
      </c>
      <c r="BP519" t="s">
        <v>173</v>
      </c>
      <c r="BQ519" t="s">
        <v>83</v>
      </c>
      <c r="BR519">
        <v>25</v>
      </c>
      <c r="BS519">
        <v>12</v>
      </c>
      <c r="BT519" t="s">
        <v>149</v>
      </c>
      <c r="BU519" t="s">
        <v>470</v>
      </c>
      <c r="BV519" t="s">
        <v>463</v>
      </c>
      <c r="BW519" t="s">
        <v>693</v>
      </c>
    </row>
    <row r="520" spans="1:75" x14ac:dyDescent="0.75">
      <c r="A520" t="s">
        <v>468</v>
      </c>
      <c r="B520" t="s">
        <v>426</v>
      </c>
      <c r="C520" t="s">
        <v>459</v>
      </c>
      <c r="D520" t="s">
        <v>77</v>
      </c>
      <c r="E520" t="s">
        <v>460</v>
      </c>
      <c r="F520">
        <v>91</v>
      </c>
      <c r="H520" t="s">
        <v>78</v>
      </c>
      <c r="J520">
        <v>0.04</v>
      </c>
      <c r="L520" s="31">
        <f>220.4-273.15</f>
        <v>-52.749999999999972</v>
      </c>
      <c r="M520" s="31">
        <f t="shared" ref="M520:M526" si="20">208.5-273.15</f>
        <v>-64.649999999999977</v>
      </c>
      <c r="N520">
        <v>33</v>
      </c>
      <c r="R520" t="s">
        <v>84</v>
      </c>
      <c r="S520" s="5">
        <v>5.8860326572332998E-7</v>
      </c>
      <c r="T520" s="5">
        <v>1.6736095264231101E-5</v>
      </c>
      <c r="U520" s="5">
        <v>3.1979906515903501E-5</v>
      </c>
      <c r="W520" s="5">
        <v>5.4000837778196498E-5</v>
      </c>
      <c r="Y520" s="5">
        <v>8.32004139982332E-5</v>
      </c>
      <c r="Z520">
        <v>1.19547381270856E-4</v>
      </c>
      <c r="AA520">
        <v>1.6268263902688101E-4</v>
      </c>
      <c r="AB520">
        <v>2.1202678970092399E-4</v>
      </c>
      <c r="AC520">
        <v>2.66872314793294E-4</v>
      </c>
      <c r="AD520">
        <v>3.26454810671177E-4</v>
      </c>
      <c r="AE520">
        <v>3.9000402854751998E-4</v>
      </c>
      <c r="AF520">
        <v>4.5677800547027302E-4</v>
      </c>
      <c r="AG520">
        <v>5.2608413418420998E-4</v>
      </c>
      <c r="AH520">
        <v>5.9729068898368596E-4</v>
      </c>
      <c r="AI520">
        <v>6.6983168558805699E-4</v>
      </c>
      <c r="AJ520">
        <v>7.4320728418641796E-4</v>
      </c>
      <c r="AK520">
        <v>8.1698135977231496E-4</v>
      </c>
      <c r="AL520">
        <v>9.6427349226420203E-4</v>
      </c>
      <c r="AV520">
        <v>0.15459999999999999</v>
      </c>
      <c r="AW520">
        <v>270.88900000000001</v>
      </c>
      <c r="AX520">
        <v>-28.002799999999979</v>
      </c>
      <c r="AZ520">
        <v>53.642800000000001</v>
      </c>
      <c r="BA520">
        <v>1490.7222999999999</v>
      </c>
      <c r="BB520">
        <v>-102.75</v>
      </c>
      <c r="BE520">
        <v>1.3</v>
      </c>
      <c r="BF520" s="5">
        <v>2E+18</v>
      </c>
      <c r="BG520">
        <v>0.28000000000000003</v>
      </c>
      <c r="BH520">
        <v>5.2</v>
      </c>
      <c r="BI520" t="s">
        <v>471</v>
      </c>
      <c r="BM520">
        <v>5.4</v>
      </c>
      <c r="BN520" s="5">
        <f t="shared" ref="BN520:BN526" si="21">BO520/BM520</f>
        <v>277.77777777777777</v>
      </c>
      <c r="BO520" s="5">
        <v>1500</v>
      </c>
      <c r="BP520" t="s">
        <v>173</v>
      </c>
      <c r="BQ520" t="s">
        <v>83</v>
      </c>
      <c r="BR520">
        <v>25</v>
      </c>
      <c r="BS520">
        <v>12</v>
      </c>
      <c r="BT520" t="s">
        <v>149</v>
      </c>
      <c r="BU520" t="s">
        <v>470</v>
      </c>
      <c r="BV520" t="s">
        <v>463</v>
      </c>
      <c r="BW520" t="s">
        <v>693</v>
      </c>
    </row>
    <row r="521" spans="1:75" x14ac:dyDescent="0.75">
      <c r="A521" t="s">
        <v>468</v>
      </c>
      <c r="B521" t="s">
        <v>426</v>
      </c>
      <c r="C521" t="s">
        <v>459</v>
      </c>
      <c r="D521" t="s">
        <v>77</v>
      </c>
      <c r="E521" t="s">
        <v>460</v>
      </c>
      <c r="F521">
        <v>91</v>
      </c>
      <c r="H521" t="s">
        <v>78</v>
      </c>
      <c r="J521">
        <v>0.06</v>
      </c>
      <c r="L521" s="31">
        <f>227.5-273.15</f>
        <v>-45.649999999999977</v>
      </c>
      <c r="M521" s="31">
        <f t="shared" si="20"/>
        <v>-64.649999999999977</v>
      </c>
      <c r="R521" t="s">
        <v>79</v>
      </c>
      <c r="T521" s="5">
        <v>2.19342856906054E-5</v>
      </c>
      <c r="U521" s="5">
        <v>4.0818207951022302E-5</v>
      </c>
      <c r="W521" s="5">
        <v>6.8267603674030606E-5</v>
      </c>
      <c r="Y521">
        <v>1.0522142467619499E-4</v>
      </c>
      <c r="Z521">
        <v>1.52144650147852E-4</v>
      </c>
      <c r="AA521">
        <v>2.0908007015894199E-4</v>
      </c>
      <c r="AB521">
        <v>2.7572886220245498E-4</v>
      </c>
      <c r="AC521">
        <v>3.5153747334758099E-4</v>
      </c>
      <c r="AD521">
        <v>4.3577804947222601E-4</v>
      </c>
      <c r="AE521">
        <v>5.2761657432939498E-4</v>
      </c>
      <c r="AF521">
        <v>6.2616713775449104E-4</v>
      </c>
      <c r="AG521">
        <v>7.3053305237092401E-4</v>
      </c>
      <c r="AH521">
        <v>8.3983658153935796E-4</v>
      </c>
      <c r="AI521">
        <v>9.5323935386828703E-4</v>
      </c>
      <c r="AJ521">
        <v>1.0699554684318799E-3</v>
      </c>
      <c r="AK521">
        <v>1.1892590501667E-3</v>
      </c>
      <c r="AL521">
        <v>1.4330431096953901E-3</v>
      </c>
      <c r="AO521">
        <v>7.0000000000000007E-2</v>
      </c>
      <c r="AP521">
        <v>60</v>
      </c>
      <c r="AQ521" t="s">
        <v>465</v>
      </c>
      <c r="AV521">
        <v>0.3301</v>
      </c>
      <c r="AW521">
        <v>331.86419999999998</v>
      </c>
      <c r="AX521">
        <v>-33.894899999999978</v>
      </c>
      <c r="AZ521">
        <v>12.1434</v>
      </c>
      <c r="BA521">
        <v>1138.5514000000001</v>
      </c>
      <c r="BB521">
        <v>-95.65</v>
      </c>
      <c r="BG521">
        <v>0.47439999999999999</v>
      </c>
      <c r="BH521">
        <v>5584.9534999999996</v>
      </c>
      <c r="BM521">
        <v>5.4</v>
      </c>
      <c r="BN521" s="5">
        <f t="shared" si="21"/>
        <v>277.77777777777777</v>
      </c>
      <c r="BO521" s="5">
        <v>1500</v>
      </c>
      <c r="BP521" t="s">
        <v>173</v>
      </c>
      <c r="BQ521" t="s">
        <v>83</v>
      </c>
      <c r="BR521">
        <v>25</v>
      </c>
      <c r="BS521">
        <v>12</v>
      </c>
      <c r="BT521" t="s">
        <v>149</v>
      </c>
      <c r="BU521" t="s">
        <v>470</v>
      </c>
      <c r="BV521" t="s">
        <v>463</v>
      </c>
      <c r="BW521" t="s">
        <v>693</v>
      </c>
    </row>
    <row r="522" spans="1:75" x14ac:dyDescent="0.75">
      <c r="A522" t="s">
        <v>468</v>
      </c>
      <c r="B522" t="s">
        <v>426</v>
      </c>
      <c r="C522" t="s">
        <v>459</v>
      </c>
      <c r="D522" t="s">
        <v>77</v>
      </c>
      <c r="E522" t="s">
        <v>460</v>
      </c>
      <c r="F522">
        <v>91</v>
      </c>
      <c r="H522" t="s">
        <v>78</v>
      </c>
      <c r="J522">
        <v>0.08</v>
      </c>
      <c r="L522" s="31">
        <f>233.5-273.15</f>
        <v>-39.649999999999977</v>
      </c>
      <c r="M522" s="31">
        <f t="shared" si="20"/>
        <v>-64.649999999999977</v>
      </c>
      <c r="R522" t="s">
        <v>79</v>
      </c>
      <c r="T522" s="5">
        <v>2.66595086925846E-5</v>
      </c>
      <c r="U522" s="5">
        <v>4.3901193910311099E-5</v>
      </c>
      <c r="W522" s="5">
        <v>6.8714461268743003E-5</v>
      </c>
      <c r="Y522">
        <v>1.02975927511722E-4</v>
      </c>
      <c r="Z522">
        <v>1.48637695634246E-4</v>
      </c>
      <c r="AA522">
        <v>2.07666165666421E-4</v>
      </c>
      <c r="AB522">
        <v>2.81985184759051E-4</v>
      </c>
      <c r="AC522">
        <v>3.73426364969486E-4</v>
      </c>
      <c r="AD522">
        <v>4.8368814640189302E-4</v>
      </c>
      <c r="AE522">
        <v>6.1430416510476697E-4</v>
      </c>
      <c r="AF522">
        <v>7.6662072961354404E-4</v>
      </c>
      <c r="AG522">
        <v>9.4178270096511695E-4</v>
      </c>
      <c r="AH522">
        <v>1.14072676926436E-3</v>
      </c>
      <c r="AI522">
        <v>1.36418097907633E-3</v>
      </c>
      <c r="AJ522">
        <v>1.6126693315088401E-3</v>
      </c>
      <c r="AK522">
        <v>1.88652034456596E-3</v>
      </c>
      <c r="AL522">
        <v>2.5107180684795999E-3</v>
      </c>
      <c r="AV522">
        <v>6.7087000000000003</v>
      </c>
      <c r="AW522">
        <v>860.9076</v>
      </c>
      <c r="AX522">
        <v>-74.640199999999965</v>
      </c>
      <c r="AZ522">
        <v>16.672599999999999</v>
      </c>
      <c r="BA522">
        <v>1098.2443000000001</v>
      </c>
      <c r="BB522">
        <v>-89.65</v>
      </c>
      <c r="BG522">
        <v>0.50629999999999997</v>
      </c>
      <c r="BH522">
        <v>22425.8197</v>
      </c>
      <c r="BM522">
        <v>5.4</v>
      </c>
      <c r="BN522" s="5">
        <f t="shared" si="21"/>
        <v>277.77777777777777</v>
      </c>
      <c r="BO522" s="5">
        <v>1500</v>
      </c>
      <c r="BP522" t="s">
        <v>173</v>
      </c>
      <c r="BQ522" t="s">
        <v>83</v>
      </c>
      <c r="BR522">
        <v>25</v>
      </c>
      <c r="BS522">
        <v>12</v>
      </c>
      <c r="BT522" t="s">
        <v>149</v>
      </c>
      <c r="BU522" t="s">
        <v>470</v>
      </c>
      <c r="BV522" t="s">
        <v>463</v>
      </c>
      <c r="BW522" t="s">
        <v>693</v>
      </c>
    </row>
    <row r="523" spans="1:75" x14ac:dyDescent="0.75">
      <c r="A523" t="s">
        <v>472</v>
      </c>
      <c r="B523" t="s">
        <v>426</v>
      </c>
      <c r="C523" t="s">
        <v>459</v>
      </c>
      <c r="D523" t="s">
        <v>77</v>
      </c>
      <c r="E523" t="s">
        <v>460</v>
      </c>
      <c r="F523">
        <v>91</v>
      </c>
      <c r="H523" t="s">
        <v>90</v>
      </c>
      <c r="J523">
        <v>0.02</v>
      </c>
      <c r="L523" s="31">
        <f>221.7-273.15</f>
        <v>-51.449999999999989</v>
      </c>
      <c r="M523" s="31">
        <f t="shared" si="20"/>
        <v>-64.649999999999977</v>
      </c>
      <c r="R523" t="s">
        <v>84</v>
      </c>
      <c r="S523" s="5">
        <v>1.0854706128541501E-6</v>
      </c>
      <c r="T523" s="5">
        <v>1.6554461667411099E-5</v>
      </c>
      <c r="U523" s="5">
        <v>2.8509079355795499E-5</v>
      </c>
      <c r="W523" s="5">
        <v>4.443432356832E-5</v>
      </c>
      <c r="Y523" s="5">
        <v>6.4257135804708006E-5</v>
      </c>
      <c r="Z523" s="5">
        <v>8.7716495225208902E-5</v>
      </c>
      <c r="AA523">
        <v>1.14434115680495E-4</v>
      </c>
      <c r="AB523">
        <v>1.43971737300947E-4</v>
      </c>
      <c r="AC523">
        <v>1.75872979612126E-4</v>
      </c>
      <c r="AD523">
        <v>2.09691515265962E-4</v>
      </c>
      <c r="AE523">
        <v>2.4500850607843698E-4</v>
      </c>
      <c r="AF523">
        <v>2.81442212296424E-4</v>
      </c>
      <c r="AG523">
        <v>3.1865220360079199E-4</v>
      </c>
      <c r="AH523">
        <v>3.56340029094681E-4</v>
      </c>
      <c r="AI523">
        <v>3.94247691376624E-4</v>
      </c>
      <c r="AJ523">
        <v>4.3215486085139502E-4</v>
      </c>
      <c r="AK523">
        <v>4.69875460045365E-4</v>
      </c>
      <c r="AL523">
        <v>5.4416211575446E-4</v>
      </c>
      <c r="AV523">
        <v>7.2300000000000003E-2</v>
      </c>
      <c r="AW523">
        <v>251.20580000000001</v>
      </c>
      <c r="AX523">
        <v>-30.259499999999974</v>
      </c>
      <c r="AZ523">
        <v>8.7978000000000005</v>
      </c>
      <c r="BA523">
        <v>1253.6186</v>
      </c>
      <c r="BB523">
        <v>-101.45</v>
      </c>
      <c r="BE523">
        <v>1.1000000000000001</v>
      </c>
      <c r="BF523" s="5">
        <v>63000000000000</v>
      </c>
      <c r="BG523">
        <v>0.31</v>
      </c>
      <c r="BH523">
        <v>9.3000000000000007</v>
      </c>
      <c r="BI523" t="s">
        <v>471</v>
      </c>
      <c r="BM523">
        <v>5.4</v>
      </c>
      <c r="BN523" s="5">
        <f t="shared" si="21"/>
        <v>277.77777777777777</v>
      </c>
      <c r="BO523" s="5">
        <v>1500</v>
      </c>
      <c r="BP523" t="s">
        <v>173</v>
      </c>
      <c r="BQ523" t="s">
        <v>83</v>
      </c>
      <c r="BR523">
        <v>25</v>
      </c>
      <c r="BS523">
        <v>12</v>
      </c>
      <c r="BT523" t="s">
        <v>149</v>
      </c>
      <c r="BU523" t="s">
        <v>470</v>
      </c>
      <c r="BV523" t="s">
        <v>463</v>
      </c>
      <c r="BW523" t="s">
        <v>693</v>
      </c>
    </row>
    <row r="524" spans="1:75" x14ac:dyDescent="0.75">
      <c r="A524" t="s">
        <v>472</v>
      </c>
      <c r="B524" t="s">
        <v>426</v>
      </c>
      <c r="C524" t="s">
        <v>459</v>
      </c>
      <c r="D524" t="s">
        <v>77</v>
      </c>
      <c r="E524" t="s">
        <v>460</v>
      </c>
      <c r="F524">
        <v>91</v>
      </c>
      <c r="H524" t="s">
        <v>90</v>
      </c>
      <c r="J524">
        <v>0.04</v>
      </c>
      <c r="L524" s="31">
        <f>227-273.15</f>
        <v>-46.149999999999977</v>
      </c>
      <c r="M524" s="31">
        <f t="shared" si="20"/>
        <v>-64.649999999999977</v>
      </c>
      <c r="R524" t="s">
        <v>84</v>
      </c>
      <c r="S524" s="5">
        <v>8.4075215708630297E-7</v>
      </c>
      <c r="T524" s="5">
        <v>1.6851496287690501E-5</v>
      </c>
      <c r="U524" s="5">
        <v>3.1788291225663798E-5</v>
      </c>
      <c r="W524" s="5">
        <v>5.3900541403223897E-5</v>
      </c>
      <c r="Y524" s="5">
        <v>8.4192364103207297E-5</v>
      </c>
      <c r="Z524">
        <v>1.2329005861745799E-4</v>
      </c>
      <c r="AA524">
        <v>1.71456966979949E-4</v>
      </c>
      <c r="AB524">
        <v>2.2864141959821199E-4</v>
      </c>
      <c r="AC524">
        <v>2.9453876433966898E-4</v>
      </c>
      <c r="AD524">
        <v>3.6865498535129101E-4</v>
      </c>
      <c r="AE524">
        <v>4.5036485903029902E-4</v>
      </c>
      <c r="AF524">
        <v>5.3896141469811896E-4</v>
      </c>
      <c r="AG524">
        <v>6.3369584966570898E-4</v>
      </c>
      <c r="AH524">
        <v>7.3380837533234601E-4</v>
      </c>
      <c r="AI524">
        <v>8.3855110415503203E-4</v>
      </c>
      <c r="AJ524">
        <v>9.4720430161256597E-4</v>
      </c>
      <c r="AK524">
        <v>1.0590873097602899E-3</v>
      </c>
      <c r="AL524">
        <v>1.2900529798682101E-3</v>
      </c>
      <c r="AV524">
        <v>0.34960000000000002</v>
      </c>
      <c r="AW524">
        <v>357.20609999999999</v>
      </c>
      <c r="AX524">
        <v>-35.252099999999984</v>
      </c>
      <c r="AZ524">
        <v>45.83</v>
      </c>
      <c r="BA524">
        <v>1375.2351000000001</v>
      </c>
      <c r="BB524">
        <v>-96.15</v>
      </c>
      <c r="BE524">
        <v>1.2</v>
      </c>
      <c r="BF524" s="5">
        <v>1.7E+16</v>
      </c>
      <c r="BG524">
        <v>0.38</v>
      </c>
      <c r="BH524">
        <v>200</v>
      </c>
      <c r="BI524" t="s">
        <v>471</v>
      </c>
      <c r="BM524">
        <v>5.4</v>
      </c>
      <c r="BN524" s="5">
        <f t="shared" si="21"/>
        <v>277.77777777777777</v>
      </c>
      <c r="BO524" s="5">
        <v>1500</v>
      </c>
      <c r="BP524" t="s">
        <v>173</v>
      </c>
      <c r="BQ524" t="s">
        <v>83</v>
      </c>
      <c r="BR524">
        <v>25</v>
      </c>
      <c r="BS524">
        <v>12</v>
      </c>
      <c r="BT524" t="s">
        <v>149</v>
      </c>
      <c r="BU524" t="s">
        <v>470</v>
      </c>
      <c r="BV524" t="s">
        <v>463</v>
      </c>
      <c r="BW524" t="s">
        <v>693</v>
      </c>
    </row>
    <row r="525" spans="1:75" x14ac:dyDescent="0.75">
      <c r="A525" t="s">
        <v>472</v>
      </c>
      <c r="B525" t="s">
        <v>426</v>
      </c>
      <c r="C525" t="s">
        <v>459</v>
      </c>
      <c r="D525" t="s">
        <v>77</v>
      </c>
      <c r="E525" t="s">
        <v>460</v>
      </c>
      <c r="F525">
        <v>91</v>
      </c>
      <c r="H525" t="s">
        <v>90</v>
      </c>
      <c r="J525">
        <v>0.06</v>
      </c>
      <c r="L525" s="31">
        <f>235.3-273.15</f>
        <v>-37.849999999999966</v>
      </c>
      <c r="M525" s="31">
        <f t="shared" si="20"/>
        <v>-64.649999999999977</v>
      </c>
      <c r="R525" t="s">
        <v>79</v>
      </c>
      <c r="S525" s="5">
        <v>2.3991898962763302E-7</v>
      </c>
      <c r="T525" s="5">
        <v>7.0690076399661604E-6</v>
      </c>
      <c r="U525" s="5">
        <v>1.4618099112703099E-5</v>
      </c>
      <c r="W525" s="5">
        <v>2.68333245984344E-5</v>
      </c>
      <c r="Y525" s="5">
        <v>4.4913086042418099E-5</v>
      </c>
      <c r="Z525" s="5">
        <v>6.9886335586562297E-5</v>
      </c>
      <c r="AA525">
        <v>1.025519867021E-4</v>
      </c>
      <c r="AB525">
        <v>1.4345556015288999E-4</v>
      </c>
      <c r="AC525">
        <v>1.9289379212759499E-4</v>
      </c>
      <c r="AD525">
        <v>2.5093732437267999E-4</v>
      </c>
      <c r="AE525">
        <v>3.1746314071522602E-4</v>
      </c>
      <c r="AF525">
        <v>3.9219060452387101E-4</v>
      </c>
      <c r="AG525">
        <v>4.7471702270431297E-4</v>
      </c>
      <c r="AH525">
        <v>5.6455032032680505E-4</v>
      </c>
      <c r="AI525">
        <v>6.6113761001875199E-4</v>
      </c>
      <c r="AJ525">
        <v>7.6388924249130602E-4</v>
      </c>
      <c r="AK525">
        <v>8.7219842075520696E-4</v>
      </c>
      <c r="AL525">
        <v>1.10306613808082E-3</v>
      </c>
      <c r="AO525">
        <v>0.11</v>
      </c>
      <c r="AP525">
        <v>60</v>
      </c>
      <c r="AQ525" t="s">
        <v>465</v>
      </c>
      <c r="AV525">
        <v>0.495</v>
      </c>
      <c r="AW525">
        <v>429.73039999999997</v>
      </c>
      <c r="AX525">
        <v>-36.620399999999989</v>
      </c>
      <c r="AZ525">
        <v>55.905900000000003</v>
      </c>
      <c r="BA525">
        <v>1382.914</v>
      </c>
      <c r="BB525">
        <v>-87.85</v>
      </c>
      <c r="BG525">
        <v>0.70020000000000004</v>
      </c>
      <c r="BH525">
        <v>7627157.3788999999</v>
      </c>
      <c r="BM525">
        <v>5.4</v>
      </c>
      <c r="BN525" s="5">
        <f t="shared" si="21"/>
        <v>277.77777777777777</v>
      </c>
      <c r="BO525" s="5">
        <v>1500</v>
      </c>
      <c r="BP525" t="s">
        <v>173</v>
      </c>
      <c r="BQ525" t="s">
        <v>83</v>
      </c>
      <c r="BR525">
        <v>25</v>
      </c>
      <c r="BS525">
        <v>12</v>
      </c>
      <c r="BT525" t="s">
        <v>149</v>
      </c>
      <c r="BU525" t="s">
        <v>470</v>
      </c>
      <c r="BV525" t="s">
        <v>463</v>
      </c>
      <c r="BW525" t="s">
        <v>693</v>
      </c>
    </row>
    <row r="526" spans="1:75" x14ac:dyDescent="0.75">
      <c r="A526" s="1" t="s">
        <v>472</v>
      </c>
      <c r="B526" s="1" t="s">
        <v>426</v>
      </c>
      <c r="C526" s="1" t="s">
        <v>459</v>
      </c>
      <c r="D526" t="s">
        <v>77</v>
      </c>
      <c r="E526" t="s">
        <v>460</v>
      </c>
      <c r="F526" s="1">
        <v>91</v>
      </c>
      <c r="G526" s="1"/>
      <c r="H526" s="1" t="s">
        <v>90</v>
      </c>
      <c r="I526" s="1"/>
      <c r="J526" s="1">
        <v>0.08</v>
      </c>
      <c r="K526" s="1"/>
      <c r="L526" s="32">
        <f>249.6-273.15</f>
        <v>-23.549999999999983</v>
      </c>
      <c r="M526" s="32">
        <f t="shared" si="20"/>
        <v>-64.649999999999977</v>
      </c>
      <c r="N526" s="1"/>
      <c r="O526" s="1"/>
      <c r="P526" s="1"/>
      <c r="Q526" s="1"/>
      <c r="R526" s="1" t="s">
        <v>79</v>
      </c>
      <c r="S526" s="3">
        <v>1.4370315194002699E-7</v>
      </c>
      <c r="T526" s="3">
        <v>2.5815091809526499E-6</v>
      </c>
      <c r="U526" s="3">
        <v>5.2001812261898998E-6</v>
      </c>
      <c r="V526" s="1"/>
      <c r="W526" s="3">
        <v>9.5770562578514894E-6</v>
      </c>
      <c r="X526" s="1"/>
      <c r="Y526" s="3">
        <v>1.6386238602135502E-5</v>
      </c>
      <c r="Z526" s="3">
        <v>2.63729551418414E-5</v>
      </c>
      <c r="AA526" s="3">
        <v>4.03199229682803E-5</v>
      </c>
      <c r="AB526" s="3">
        <v>5.9013581275171299E-5</v>
      </c>
      <c r="AC526" s="3">
        <v>8.3213379720689805E-5</v>
      </c>
      <c r="AD526" s="1">
        <v>1.13626087815763E-4</v>
      </c>
      <c r="AE526" s="1">
        <v>1.5088601915984399E-4</v>
      </c>
      <c r="AF526" s="1">
        <v>1.95541256954502E-4</v>
      </c>
      <c r="AG526" s="1">
        <v>2.48045432036196E-4</v>
      </c>
      <c r="AH526" s="1">
        <v>3.0875430155260602E-4</v>
      </c>
      <c r="AI526" s="1">
        <v>3.7792624858062603E-4</v>
      </c>
      <c r="AJ526" s="1">
        <v>4.5572581497799099E-4</v>
      </c>
      <c r="AK526" s="1">
        <v>5.4222944542528702E-4</v>
      </c>
      <c r="AL526" s="1">
        <v>7.4125851429751003E-4</v>
      </c>
      <c r="AM526" s="1"/>
      <c r="AN526" s="1"/>
      <c r="AO526" s="1"/>
      <c r="AP526" s="1"/>
      <c r="AQ526" s="1"/>
      <c r="AR526" s="1"/>
      <c r="AS526" s="1"/>
      <c r="AT526" s="1"/>
      <c r="AU526" s="1"/>
      <c r="AV526" s="1">
        <v>1.5687</v>
      </c>
      <c r="AW526" s="1">
        <v>723.03769999999997</v>
      </c>
      <c r="AX526" s="1">
        <v>-53.954999999999984</v>
      </c>
      <c r="AY526" s="1"/>
      <c r="AZ526" s="1">
        <v>10.206899999999999</v>
      </c>
      <c r="BA526" s="1">
        <v>1106.0209</v>
      </c>
      <c r="BB526" s="1">
        <v>-73.55</v>
      </c>
      <c r="BC526" s="1"/>
      <c r="BD526" s="1"/>
      <c r="BE526" s="1"/>
      <c r="BF526" s="1"/>
      <c r="BG526" s="1">
        <v>0.73</v>
      </c>
      <c r="BH526" s="1">
        <v>11137387.654200001</v>
      </c>
      <c r="BI526" s="1"/>
      <c r="BJ526" s="1"/>
      <c r="BK526" s="1"/>
      <c r="BL526" s="1"/>
      <c r="BM526" s="1">
        <v>5.4</v>
      </c>
      <c r="BN526" s="3">
        <f t="shared" si="21"/>
        <v>277.77777777777777</v>
      </c>
      <c r="BO526" s="3">
        <v>1500</v>
      </c>
      <c r="BP526" s="1" t="s">
        <v>173</v>
      </c>
      <c r="BQ526" s="1" t="s">
        <v>83</v>
      </c>
      <c r="BR526" s="1">
        <v>25</v>
      </c>
      <c r="BS526" s="1">
        <v>12</v>
      </c>
      <c r="BT526" s="1" t="s">
        <v>149</v>
      </c>
      <c r="BU526" s="1" t="s">
        <v>470</v>
      </c>
      <c r="BV526" s="1" t="s">
        <v>463</v>
      </c>
      <c r="BW526" t="s">
        <v>693</v>
      </c>
    </row>
    <row r="527" spans="1:75" x14ac:dyDescent="0.75">
      <c r="A527" t="s">
        <v>473</v>
      </c>
      <c r="B527" t="s">
        <v>426</v>
      </c>
      <c r="C527" t="s">
        <v>459</v>
      </c>
      <c r="D527" t="s">
        <v>77</v>
      </c>
      <c r="E527" t="s">
        <v>460</v>
      </c>
      <c r="F527">
        <v>73</v>
      </c>
      <c r="H527" t="s">
        <v>90</v>
      </c>
      <c r="J527">
        <v>0.06</v>
      </c>
      <c r="R527" t="s">
        <v>79</v>
      </c>
      <c r="Y527">
        <v>1.17396885267357E-4</v>
      </c>
      <c r="Z527">
        <v>1.87403935704016E-4</v>
      </c>
      <c r="AA527">
        <v>2.7592798731535602E-4</v>
      </c>
      <c r="AB527">
        <v>3.8192301308207199E-4</v>
      </c>
      <c r="AC527">
        <v>5.0371199371090599E-4</v>
      </c>
      <c r="AD527">
        <v>6.3927635536698002E-4</v>
      </c>
      <c r="AE527">
        <v>7.8647165512965296E-4</v>
      </c>
      <c r="AF527">
        <v>9.43175198497576E-4</v>
      </c>
      <c r="AG527">
        <v>1.10737911701706E-3</v>
      </c>
      <c r="AH527">
        <v>1.2772431807232701E-3</v>
      </c>
      <c r="AI527">
        <v>1.4511195697942401E-3</v>
      </c>
      <c r="AJ527">
        <v>1.62755908318965E-3</v>
      </c>
      <c r="AK527">
        <v>1.8053057060523901E-3</v>
      </c>
      <c r="AL527">
        <v>2.1605852653711699E-3</v>
      </c>
      <c r="AV527">
        <v>0.34150000000000003</v>
      </c>
      <c r="AW527">
        <v>249.66050000000001</v>
      </c>
      <c r="AX527">
        <v>-18.777299999999968</v>
      </c>
      <c r="BP527" t="s">
        <v>173</v>
      </c>
      <c r="BQ527" t="s">
        <v>83</v>
      </c>
      <c r="BR527">
        <v>25</v>
      </c>
      <c r="BS527">
        <v>12</v>
      </c>
      <c r="BT527" t="s">
        <v>149</v>
      </c>
      <c r="BU527" t="s">
        <v>474</v>
      </c>
      <c r="BV527" t="s">
        <v>475</v>
      </c>
      <c r="BW527" t="s">
        <v>694</v>
      </c>
    </row>
    <row r="528" spans="1:75" x14ac:dyDescent="0.75">
      <c r="A528" t="s">
        <v>476</v>
      </c>
      <c r="B528" t="s">
        <v>426</v>
      </c>
      <c r="C528" t="s">
        <v>459</v>
      </c>
      <c r="D528" t="s">
        <v>77</v>
      </c>
      <c r="E528" t="s">
        <v>460</v>
      </c>
      <c r="F528">
        <v>73</v>
      </c>
      <c r="H528" t="s">
        <v>78</v>
      </c>
      <c r="J528">
        <v>0.06</v>
      </c>
      <c r="Q528" s="12">
        <v>2.5369999999999999</v>
      </c>
      <c r="R528" t="s">
        <v>84</v>
      </c>
      <c r="Y528">
        <v>3.2749999999999999E-4</v>
      </c>
      <c r="Z528">
        <v>4.6413406196919898E-4</v>
      </c>
      <c r="AA528">
        <v>6.2887455467432803E-4</v>
      </c>
      <c r="AB528">
        <v>8.1171258759673204E-4</v>
      </c>
      <c r="AC528">
        <v>1.00866605459023E-3</v>
      </c>
      <c r="AD528">
        <v>1.2160430319745699E-3</v>
      </c>
      <c r="AE528">
        <v>1.4305689544776201E-3</v>
      </c>
      <c r="AF528">
        <v>1.64942783735475E-3</v>
      </c>
      <c r="AG528">
        <v>1.8702536561399201E-3</v>
      </c>
      <c r="AH528">
        <v>2.0910955266837299E-3</v>
      </c>
      <c r="AI528">
        <v>2.3103713101846001E-3</v>
      </c>
      <c r="AJ528">
        <v>2.5268182251791099E-3</v>
      </c>
      <c r="AK528">
        <v>2.7394451919415001E-3</v>
      </c>
      <c r="AL528">
        <v>3.1503771060004998E-3</v>
      </c>
      <c r="AV528">
        <v>0.3241</v>
      </c>
      <c r="AW528">
        <v>199.13149999999999</v>
      </c>
      <c r="AX528">
        <v>-19.06359999999998</v>
      </c>
      <c r="BG528">
        <v>0.31</v>
      </c>
      <c r="BH528">
        <v>66</v>
      </c>
      <c r="BP528" t="s">
        <v>173</v>
      </c>
      <c r="BQ528" t="s">
        <v>83</v>
      </c>
      <c r="BR528">
        <v>25</v>
      </c>
      <c r="BS528">
        <v>12</v>
      </c>
      <c r="BT528" t="s">
        <v>149</v>
      </c>
      <c r="BU528" t="s">
        <v>474</v>
      </c>
      <c r="BV528" t="s">
        <v>475</v>
      </c>
      <c r="BW528" t="s">
        <v>694</v>
      </c>
    </row>
    <row r="529" spans="1:75" x14ac:dyDescent="0.75">
      <c r="A529" t="s">
        <v>477</v>
      </c>
      <c r="B529" t="s">
        <v>426</v>
      </c>
      <c r="C529" t="s">
        <v>459</v>
      </c>
      <c r="D529" t="s">
        <v>77</v>
      </c>
      <c r="E529" t="s">
        <v>460</v>
      </c>
      <c r="F529">
        <v>84</v>
      </c>
      <c r="H529" t="s">
        <v>78</v>
      </c>
      <c r="J529">
        <v>0.06</v>
      </c>
      <c r="Q529" s="12">
        <v>3.3719999999999999</v>
      </c>
      <c r="R529" t="s">
        <v>84</v>
      </c>
      <c r="Y529">
        <v>1.8789999999999999E-4</v>
      </c>
      <c r="AE529">
        <v>9.5069999999999996E-4</v>
      </c>
      <c r="BP529" t="s">
        <v>173</v>
      </c>
      <c r="BQ529" t="s">
        <v>83</v>
      </c>
      <c r="BR529">
        <v>25</v>
      </c>
      <c r="BS529">
        <v>12</v>
      </c>
      <c r="BT529" t="s">
        <v>149</v>
      </c>
      <c r="BU529" t="s">
        <v>474</v>
      </c>
      <c r="BV529" t="s">
        <v>475</v>
      </c>
      <c r="BW529" t="s">
        <v>694</v>
      </c>
    </row>
    <row r="530" spans="1:75" x14ac:dyDescent="0.75">
      <c r="A530" t="s">
        <v>478</v>
      </c>
      <c r="B530" t="s">
        <v>426</v>
      </c>
      <c r="C530" t="s">
        <v>459</v>
      </c>
      <c r="D530" t="s">
        <v>77</v>
      </c>
      <c r="E530" t="s">
        <v>460</v>
      </c>
      <c r="F530">
        <v>83</v>
      </c>
      <c r="H530" t="s">
        <v>78</v>
      </c>
      <c r="J530">
        <v>0.06</v>
      </c>
      <c r="Q530" s="12">
        <v>5.3890000000000002</v>
      </c>
      <c r="R530" t="s">
        <v>84</v>
      </c>
      <c r="Y530">
        <v>2.2020000000000001E-4</v>
      </c>
      <c r="AE530">
        <v>1.073E-3</v>
      </c>
      <c r="BP530" t="s">
        <v>173</v>
      </c>
      <c r="BQ530" t="s">
        <v>83</v>
      </c>
      <c r="BR530">
        <v>25</v>
      </c>
      <c r="BS530">
        <v>12</v>
      </c>
      <c r="BT530" t="s">
        <v>149</v>
      </c>
      <c r="BU530" t="s">
        <v>474</v>
      </c>
      <c r="BV530" t="s">
        <v>475</v>
      </c>
      <c r="BW530" t="s">
        <v>694</v>
      </c>
    </row>
    <row r="531" spans="1:75" x14ac:dyDescent="0.75">
      <c r="A531" t="s">
        <v>479</v>
      </c>
      <c r="B531" t="s">
        <v>426</v>
      </c>
      <c r="C531" t="s">
        <v>459</v>
      </c>
      <c r="D531" t="s">
        <v>77</v>
      </c>
      <c r="E531" t="s">
        <v>460</v>
      </c>
      <c r="F531">
        <v>80</v>
      </c>
      <c r="H531" t="s">
        <v>78</v>
      </c>
      <c r="J531">
        <v>0.06</v>
      </c>
      <c r="Q531" s="12">
        <v>8.3369999999999997</v>
      </c>
      <c r="R531" t="s">
        <v>84</v>
      </c>
      <c r="Y531">
        <v>2.4879999999999998E-4</v>
      </c>
      <c r="AE531">
        <v>1.2489999999999999E-3</v>
      </c>
      <c r="BP531" t="s">
        <v>173</v>
      </c>
      <c r="BQ531" t="s">
        <v>83</v>
      </c>
      <c r="BR531">
        <v>25</v>
      </c>
      <c r="BS531">
        <v>12</v>
      </c>
      <c r="BT531" t="s">
        <v>149</v>
      </c>
      <c r="BU531" t="s">
        <v>474</v>
      </c>
      <c r="BV531" t="s">
        <v>475</v>
      </c>
      <c r="BW531" t="s">
        <v>694</v>
      </c>
    </row>
    <row r="532" spans="1:75" x14ac:dyDescent="0.75">
      <c r="A532" s="1" t="s">
        <v>480</v>
      </c>
      <c r="B532" s="1" t="s">
        <v>426</v>
      </c>
      <c r="C532" s="1" t="s">
        <v>459</v>
      </c>
      <c r="D532" t="s">
        <v>77</v>
      </c>
      <c r="E532" s="1" t="s">
        <v>460</v>
      </c>
      <c r="F532" s="1">
        <v>53</v>
      </c>
      <c r="G532" s="1"/>
      <c r="H532" s="1" t="s">
        <v>78</v>
      </c>
      <c r="I532" s="1"/>
      <c r="J532" s="1">
        <v>0.06</v>
      </c>
      <c r="K532" s="1"/>
      <c r="L532" s="1"/>
      <c r="M532" s="1"/>
      <c r="N532" s="1"/>
      <c r="O532" s="1"/>
      <c r="P532" s="1"/>
      <c r="Q532" s="13">
        <v>-9.7230000000000007E-3</v>
      </c>
      <c r="R532" s="1" t="s">
        <v>79</v>
      </c>
      <c r="S532" s="1"/>
      <c r="T532" s="1"/>
      <c r="U532" s="1"/>
      <c r="V532" s="1"/>
      <c r="W532" s="1"/>
      <c r="X532" s="1"/>
      <c r="Y532" s="1">
        <v>1.7019999999999999E-4</v>
      </c>
      <c r="Z532" s="1"/>
      <c r="AA532" s="1"/>
      <c r="AB532" s="1"/>
      <c r="AC532" s="1"/>
      <c r="AD532" s="1"/>
      <c r="AE532" s="1">
        <v>9.146E-4</v>
      </c>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t="s">
        <v>173</v>
      </c>
      <c r="BQ532" s="1" t="s">
        <v>83</v>
      </c>
      <c r="BR532" s="1">
        <v>25</v>
      </c>
      <c r="BS532" s="1">
        <v>12</v>
      </c>
      <c r="BT532" s="1" t="s">
        <v>149</v>
      </c>
      <c r="BU532" s="1" t="s">
        <v>474</v>
      </c>
      <c r="BV532" s="1" t="s">
        <v>475</v>
      </c>
      <c r="BW532" t="s">
        <v>694</v>
      </c>
    </row>
    <row r="533" spans="1:75" x14ac:dyDescent="0.75">
      <c r="A533" t="s">
        <v>481</v>
      </c>
      <c r="B533" t="s">
        <v>426</v>
      </c>
      <c r="C533" t="s">
        <v>482</v>
      </c>
      <c r="D533" t="s">
        <v>77</v>
      </c>
      <c r="E533" s="30" t="s">
        <v>450</v>
      </c>
      <c r="F533">
        <v>50</v>
      </c>
      <c r="G533">
        <v>1</v>
      </c>
      <c r="H533" t="s">
        <v>90</v>
      </c>
      <c r="I533" s="20">
        <v>0.1</v>
      </c>
      <c r="R533" t="s">
        <v>84</v>
      </c>
      <c r="U533">
        <v>2.3659196974857533E-6</v>
      </c>
      <c r="W533" s="5">
        <v>2.7999999999999999E-6</v>
      </c>
      <c r="Y533" s="5">
        <v>1.4E-5</v>
      </c>
      <c r="BN533">
        <v>11.5</v>
      </c>
      <c r="BP533" t="s">
        <v>82</v>
      </c>
      <c r="BQ533" t="s">
        <v>83</v>
      </c>
      <c r="BR533" s="15"/>
      <c r="BT533" t="s">
        <v>84</v>
      </c>
      <c r="BU533" t="s">
        <v>483</v>
      </c>
      <c r="BV533" t="s">
        <v>484</v>
      </c>
      <c r="BW533" t="s">
        <v>485</v>
      </c>
    </row>
    <row r="534" spans="1:75" x14ac:dyDescent="0.75">
      <c r="A534" t="s">
        <v>456</v>
      </c>
      <c r="B534" t="s">
        <v>426</v>
      </c>
      <c r="C534" t="s">
        <v>482</v>
      </c>
      <c r="D534" t="s">
        <v>77</v>
      </c>
      <c r="E534" s="30" t="s">
        <v>450</v>
      </c>
      <c r="F534">
        <v>64</v>
      </c>
      <c r="G534">
        <v>1</v>
      </c>
      <c r="H534" t="s">
        <v>90</v>
      </c>
      <c r="I534" s="20">
        <v>0.1</v>
      </c>
      <c r="L534">
        <f>229-273.15</f>
        <v>-44.149999999999977</v>
      </c>
      <c r="M534">
        <f>213-273.15</f>
        <v>-60.149999999999977</v>
      </c>
      <c r="N534">
        <f>382-273.15</f>
        <v>108.85000000000002</v>
      </c>
      <c r="R534" t="s">
        <v>84</v>
      </c>
      <c r="T534" s="5">
        <v>3.4415572225912199E-6</v>
      </c>
      <c r="U534">
        <v>2.3659196974857533E-6</v>
      </c>
      <c r="W534" s="5">
        <v>8.3899026843156493E-6</v>
      </c>
      <c r="Y534" s="5">
        <v>1.2505245610787799E-5</v>
      </c>
      <c r="Z534" s="5">
        <v>1.81455301009288E-5</v>
      </c>
      <c r="AA534" s="5">
        <v>2.56988580571386E-5</v>
      </c>
      <c r="AB534" s="5">
        <v>3.5604877007413699E-5</v>
      </c>
      <c r="AC534" s="5">
        <v>4.83529140803207E-5</v>
      </c>
      <c r="AD534" s="5">
        <v>6.4478943939053402E-5</v>
      </c>
      <c r="AE534" s="5">
        <v>8.4561541295146298E-5</v>
      </c>
      <c r="AF534">
        <v>1.0921699343563601E-4</v>
      </c>
      <c r="AG534">
        <v>1.39093760158549E-4</v>
      </c>
      <c r="AV534">
        <v>21.3032</v>
      </c>
      <c r="AW534">
        <v>1677.905</v>
      </c>
      <c r="AX534">
        <v>-116.01769999999999</v>
      </c>
      <c r="AZ534">
        <v>4.6886000000000001</v>
      </c>
      <c r="BA534">
        <v>1237.0896</v>
      </c>
      <c r="BB534">
        <v>-94.15</v>
      </c>
      <c r="BG534">
        <v>0.5675</v>
      </c>
      <c r="BH534">
        <v>32909.353799999997</v>
      </c>
      <c r="BP534" t="s">
        <v>82</v>
      </c>
      <c r="BQ534" t="s">
        <v>83</v>
      </c>
      <c r="BR534" s="15"/>
      <c r="BT534" t="s">
        <v>84</v>
      </c>
      <c r="BU534" t="s">
        <v>483</v>
      </c>
      <c r="BV534" t="s">
        <v>484</v>
      </c>
      <c r="BW534" t="s">
        <v>485</v>
      </c>
    </row>
    <row r="535" spans="1:75" x14ac:dyDescent="0.75">
      <c r="A535" t="s">
        <v>490</v>
      </c>
      <c r="B535" t="s">
        <v>426</v>
      </c>
      <c r="C535" t="s">
        <v>486</v>
      </c>
      <c r="D535" t="s">
        <v>487</v>
      </c>
      <c r="E535" t="s">
        <v>487</v>
      </c>
      <c r="F535">
        <v>100</v>
      </c>
      <c r="G535">
        <v>2</v>
      </c>
      <c r="H535" t="s">
        <v>78</v>
      </c>
      <c r="J535" s="23">
        <v>1.119E-2</v>
      </c>
      <c r="L535" s="12">
        <v>-75.8</v>
      </c>
      <c r="M535" s="31">
        <v>-78.34</v>
      </c>
      <c r="R535" t="s">
        <v>79</v>
      </c>
      <c r="W535" s="5">
        <v>3.4664885439462398E-6</v>
      </c>
      <c r="Y535" s="5">
        <v>4.3613191155272196E-6</v>
      </c>
      <c r="Z535" s="5">
        <v>5.4284460859116198E-6</v>
      </c>
      <c r="AA535" s="5">
        <v>6.6892630881097996E-6</v>
      </c>
      <c r="AB535" s="5">
        <v>8.1660856935154104E-6</v>
      </c>
      <c r="AC535" s="5">
        <v>9.8820170042599297E-6</v>
      </c>
      <c r="AD535" s="5">
        <v>1.1860807035580701E-5</v>
      </c>
      <c r="AE535" s="5">
        <v>1.4126708459921501E-5</v>
      </c>
      <c r="AF535" s="5">
        <v>1.67043310913424E-5</v>
      </c>
      <c r="AG535" s="5">
        <v>1.9618497261734801E-5</v>
      </c>
      <c r="AH535" s="5">
        <v>2.2894099992542402E-5</v>
      </c>
      <c r="AI535" s="5">
        <v>2.6555965608405401E-5</v>
      </c>
      <c r="AV535">
        <v>1.5477000000000001</v>
      </c>
      <c r="AW535">
        <v>2118.4236999999998</v>
      </c>
      <c r="AX535">
        <v>-183.49929999999998</v>
      </c>
      <c r="AZ535">
        <v>0.1661</v>
      </c>
      <c r="BA535">
        <v>1198.9395</v>
      </c>
      <c r="BB535">
        <v>-125.8</v>
      </c>
      <c r="BG535">
        <v>0.3352</v>
      </c>
      <c r="BH535">
        <v>1.6393</v>
      </c>
      <c r="BM535">
        <v>1.1499999999999999</v>
      </c>
      <c r="BN535">
        <f>BO535/BM535</f>
        <v>12.173913043478262</v>
      </c>
      <c r="BO535">
        <v>14</v>
      </c>
      <c r="BP535" t="s">
        <v>82</v>
      </c>
      <c r="BQ535" t="s">
        <v>125</v>
      </c>
      <c r="BR535">
        <v>50</v>
      </c>
      <c r="BS535">
        <v>3</v>
      </c>
      <c r="BT535" t="s">
        <v>149</v>
      </c>
      <c r="BU535" t="s">
        <v>488</v>
      </c>
      <c r="BV535" t="s">
        <v>489</v>
      </c>
      <c r="BW535" t="s">
        <v>695</v>
      </c>
    </row>
    <row r="536" spans="1:75" x14ac:dyDescent="0.75">
      <c r="A536" t="s">
        <v>491</v>
      </c>
      <c r="B536" t="s">
        <v>426</v>
      </c>
      <c r="C536" t="s">
        <v>486</v>
      </c>
      <c r="D536" t="s">
        <v>487</v>
      </c>
      <c r="E536" t="s">
        <v>487</v>
      </c>
      <c r="F536">
        <v>100</v>
      </c>
      <c r="G536">
        <v>2</v>
      </c>
      <c r="H536" t="s">
        <v>78</v>
      </c>
      <c r="J536" s="23">
        <v>1.932E-2</v>
      </c>
      <c r="L536" s="12">
        <v>-73.989999999999995</v>
      </c>
      <c r="M536" s="31">
        <v>-78.34</v>
      </c>
      <c r="R536" t="s">
        <v>79</v>
      </c>
      <c r="W536" s="5">
        <v>8.2640271398549801E-6</v>
      </c>
      <c r="Y536" s="5">
        <v>1.0400241759890301E-5</v>
      </c>
      <c r="Z536" s="5">
        <v>1.2977149503345901E-5</v>
      </c>
      <c r="AA536" s="5">
        <v>1.60620267592646E-5</v>
      </c>
      <c r="AB536" s="5">
        <v>1.9728467173864001E-5</v>
      </c>
      <c r="AC536" s="5">
        <v>2.4056483089416399E-5</v>
      </c>
      <c r="AD536" s="5">
        <v>2.9132563177486201E-5</v>
      </c>
      <c r="AE536" s="5">
        <v>3.5049685982335202E-5</v>
      </c>
      <c r="AF536" s="5">
        <v>4.1907289708590699E-5</v>
      </c>
      <c r="AG536" s="5">
        <v>4.9811199152121797E-5</v>
      </c>
      <c r="AH536" s="5">
        <v>5.8873511178157498E-5</v>
      </c>
      <c r="AI536" s="5">
        <v>6.9212440592079206E-5</v>
      </c>
      <c r="AV536">
        <v>52.771799999999999</v>
      </c>
      <c r="AW536">
        <v>3385.7258999999999</v>
      </c>
      <c r="AX536">
        <v>-239.08119999999997</v>
      </c>
      <c r="AZ536">
        <v>0.51080000000000003</v>
      </c>
      <c r="BA536">
        <v>1224.9404999999999</v>
      </c>
      <c r="BB536">
        <v>-124</v>
      </c>
      <c r="BG536">
        <v>0.35039999999999999</v>
      </c>
      <c r="BH536">
        <v>6.9612999999999996</v>
      </c>
      <c r="BM536">
        <v>1.1499999999999999</v>
      </c>
      <c r="BN536">
        <f t="shared" ref="BN536:BN541" si="22">BO536/BM536</f>
        <v>12.173913043478262</v>
      </c>
      <c r="BO536">
        <v>14</v>
      </c>
      <c r="BP536" t="s">
        <v>82</v>
      </c>
      <c r="BQ536" t="s">
        <v>125</v>
      </c>
      <c r="BR536">
        <v>50</v>
      </c>
      <c r="BS536">
        <v>3</v>
      </c>
      <c r="BT536" t="s">
        <v>149</v>
      </c>
      <c r="BU536" t="s">
        <v>488</v>
      </c>
      <c r="BV536" t="s">
        <v>489</v>
      </c>
      <c r="BW536" t="s">
        <v>695</v>
      </c>
    </row>
    <row r="537" spans="1:75" x14ac:dyDescent="0.75">
      <c r="A537" t="s">
        <v>492</v>
      </c>
      <c r="B537" t="s">
        <v>426</v>
      </c>
      <c r="C537" t="s">
        <v>486</v>
      </c>
      <c r="D537" t="s">
        <v>487</v>
      </c>
      <c r="E537" t="s">
        <v>487</v>
      </c>
      <c r="F537">
        <v>100</v>
      </c>
      <c r="G537">
        <v>2</v>
      </c>
      <c r="H537" t="s">
        <v>78</v>
      </c>
      <c r="J537" s="23">
        <v>3.1099999999999999E-2</v>
      </c>
      <c r="L537" s="12">
        <v>-72</v>
      </c>
      <c r="M537" s="31">
        <v>-78.34</v>
      </c>
      <c r="R537" t="s">
        <v>79</v>
      </c>
      <c r="W537" s="5">
        <v>1.44193052368209E-5</v>
      </c>
      <c r="Y537" s="5">
        <v>1.8205702457513801E-5</v>
      </c>
      <c r="Z537" s="5">
        <v>2.2810051579605099E-5</v>
      </c>
      <c r="AA537" s="5">
        <v>2.8370169835080099E-5</v>
      </c>
      <c r="AB537" s="5">
        <v>3.5040105738495403E-5</v>
      </c>
      <c r="AC537" s="5">
        <v>4.2991072178416898E-5</v>
      </c>
      <c r="AD537" s="5">
        <v>5.2412331247803301E-5</v>
      </c>
      <c r="AE537" s="5">
        <v>6.3512022390363202E-5</v>
      </c>
      <c r="AF537" s="5">
        <v>7.6517926171311694E-5</v>
      </c>
      <c r="AG537" s="5">
        <v>9.1678156789946097E-5</v>
      </c>
      <c r="AH537">
        <v>1.09261777318125E-4</v>
      </c>
      <c r="AI537">
        <v>1.2955933255392901E-4</v>
      </c>
      <c r="AV537">
        <v>568.4624</v>
      </c>
      <c r="AW537">
        <v>4365.2377999999999</v>
      </c>
      <c r="AX537">
        <v>-273.14999999999998</v>
      </c>
      <c r="AZ537">
        <v>1.0469999999999999</v>
      </c>
      <c r="BA537">
        <v>1233.028</v>
      </c>
      <c r="BB537">
        <v>-122</v>
      </c>
      <c r="BG537">
        <v>0.36220000000000002</v>
      </c>
      <c r="BH537">
        <v>19.122199999999999</v>
      </c>
      <c r="BM537">
        <v>1.1499999999999999</v>
      </c>
      <c r="BN537">
        <f t="shared" si="22"/>
        <v>12.173913043478262</v>
      </c>
      <c r="BO537">
        <v>14</v>
      </c>
      <c r="BP537" t="s">
        <v>82</v>
      </c>
      <c r="BQ537" t="s">
        <v>125</v>
      </c>
      <c r="BR537">
        <v>50</v>
      </c>
      <c r="BS537">
        <v>3</v>
      </c>
      <c r="BT537" t="s">
        <v>149</v>
      </c>
      <c r="BU537" t="s">
        <v>488</v>
      </c>
      <c r="BV537" t="s">
        <v>489</v>
      </c>
      <c r="BW537" t="s">
        <v>695</v>
      </c>
    </row>
    <row r="538" spans="1:75" x14ac:dyDescent="0.75">
      <c r="A538" t="s">
        <v>493</v>
      </c>
      <c r="B538" t="s">
        <v>426</v>
      </c>
      <c r="C538" t="s">
        <v>486</v>
      </c>
      <c r="D538" t="s">
        <v>487</v>
      </c>
      <c r="E538" t="s">
        <v>487</v>
      </c>
      <c r="F538">
        <v>100</v>
      </c>
      <c r="G538">
        <v>2</v>
      </c>
      <c r="H538" t="s">
        <v>78</v>
      </c>
      <c r="J538" s="23">
        <v>3.8280000000000002E-2</v>
      </c>
      <c r="L538" s="12">
        <v>-67.5</v>
      </c>
      <c r="M538" s="31">
        <v>-78.34</v>
      </c>
      <c r="R538" t="s">
        <v>79</v>
      </c>
      <c r="W538" s="5">
        <v>2.1745828498004301E-5</v>
      </c>
      <c r="Y538" s="5">
        <v>2.8878935646132299E-5</v>
      </c>
      <c r="Z538" s="5">
        <v>3.7895564515296402E-5</v>
      </c>
      <c r="AA538" s="5">
        <v>4.9171777510101997E-5</v>
      </c>
      <c r="AB538" s="5">
        <v>6.3133041749449594E-5</v>
      </c>
      <c r="AC538" s="5">
        <v>8.0256612920585202E-5</v>
      </c>
      <c r="AD538">
        <v>1.01073556656008E-4</v>
      </c>
      <c r="AE538">
        <v>1.2617037712317001E-4</v>
      </c>
      <c r="AF538">
        <v>1.5619023041976601E-4</v>
      </c>
      <c r="AG538">
        <v>1.9183370820615201E-4</v>
      </c>
      <c r="AH538">
        <v>2.33859184573373E-4</v>
      </c>
      <c r="AI538">
        <v>2.83082726271581E-4</v>
      </c>
      <c r="AV538">
        <v>368.25049999999999</v>
      </c>
      <c r="AW538">
        <v>3190.0466000000001</v>
      </c>
      <c r="AX538">
        <v>-206.22889999999998</v>
      </c>
      <c r="AZ538">
        <v>4.8273999999999999</v>
      </c>
      <c r="BA538">
        <v>1352.6668</v>
      </c>
      <c r="BB538">
        <v>-117.5</v>
      </c>
      <c r="BG538">
        <v>0.42370000000000002</v>
      </c>
      <c r="BH538">
        <v>320.40089999999998</v>
      </c>
      <c r="BM538">
        <v>1.1499999999999999</v>
      </c>
      <c r="BN538">
        <f t="shared" si="22"/>
        <v>12.173913043478262</v>
      </c>
      <c r="BO538">
        <v>14</v>
      </c>
      <c r="BP538" t="s">
        <v>82</v>
      </c>
      <c r="BQ538" t="s">
        <v>125</v>
      </c>
      <c r="BR538">
        <v>50</v>
      </c>
      <c r="BS538">
        <v>3</v>
      </c>
      <c r="BT538" t="s">
        <v>149</v>
      </c>
      <c r="BU538" t="s">
        <v>488</v>
      </c>
      <c r="BV538" t="s">
        <v>489</v>
      </c>
      <c r="BW538" t="s">
        <v>695</v>
      </c>
    </row>
    <row r="539" spans="1:75" x14ac:dyDescent="0.75">
      <c r="A539" t="s">
        <v>494</v>
      </c>
      <c r="B539" t="s">
        <v>426</v>
      </c>
      <c r="C539" t="s">
        <v>486</v>
      </c>
      <c r="D539" t="s">
        <v>487</v>
      </c>
      <c r="E539" t="s">
        <v>487</v>
      </c>
      <c r="F539">
        <v>100</v>
      </c>
      <c r="G539">
        <v>2</v>
      </c>
      <c r="H539" t="s">
        <v>78</v>
      </c>
      <c r="J539" s="23">
        <v>6.3250000000000001E-2</v>
      </c>
      <c r="L539" s="12">
        <v>-58.4</v>
      </c>
      <c r="M539" s="31">
        <v>-78.34</v>
      </c>
      <c r="R539" t="s">
        <v>79</v>
      </c>
      <c r="W539" s="5">
        <v>3.0466306021418702E-5</v>
      </c>
      <c r="Y539" s="5">
        <v>4.0843061168187203E-5</v>
      </c>
      <c r="Z539" s="5">
        <v>5.4144118469463998E-5</v>
      </c>
      <c r="AA539" s="5">
        <v>7.1021469402843306E-5</v>
      </c>
      <c r="AB539" s="5">
        <v>9.2232619463935504E-5</v>
      </c>
      <c r="AC539">
        <v>1.18650394019971E-4</v>
      </c>
      <c r="AD539">
        <v>1.51272661023022E-4</v>
      </c>
      <c r="AE539">
        <v>1.9123185781480699E-4</v>
      </c>
      <c r="AF539">
        <v>2.3980421180543E-4</v>
      </c>
      <c r="AG539">
        <v>2.9841854935917702E-4</v>
      </c>
      <c r="AH539">
        <v>3.6866459352671301E-4</v>
      </c>
      <c r="AI539">
        <v>4.5230065905580298E-4</v>
      </c>
      <c r="AV539">
        <v>3548.8989000000001</v>
      </c>
      <c r="AW539">
        <v>4022.8020999999999</v>
      </c>
      <c r="AX539">
        <v>-230.83049999999997</v>
      </c>
      <c r="AZ539">
        <v>6.7428999999999997</v>
      </c>
      <c r="BA539">
        <v>1267.7573</v>
      </c>
      <c r="BB539">
        <v>-108.4</v>
      </c>
      <c r="BG539">
        <v>0.44519999999999998</v>
      </c>
      <c r="BH539">
        <v>1029.7019</v>
      </c>
      <c r="BM539">
        <v>1.1499999999999999</v>
      </c>
      <c r="BN539">
        <f t="shared" si="22"/>
        <v>12.173913043478262</v>
      </c>
      <c r="BO539">
        <v>14</v>
      </c>
      <c r="BP539" t="s">
        <v>82</v>
      </c>
      <c r="BQ539" t="s">
        <v>125</v>
      </c>
      <c r="BR539">
        <v>50</v>
      </c>
      <c r="BS539">
        <v>3</v>
      </c>
      <c r="BT539" t="s">
        <v>149</v>
      </c>
      <c r="BU539" t="s">
        <v>488</v>
      </c>
      <c r="BV539" t="s">
        <v>489</v>
      </c>
      <c r="BW539" t="s">
        <v>695</v>
      </c>
    </row>
    <row r="540" spans="1:75" x14ac:dyDescent="0.75">
      <c r="A540" t="s">
        <v>495</v>
      </c>
      <c r="B540" t="s">
        <v>426</v>
      </c>
      <c r="C540" t="s">
        <v>486</v>
      </c>
      <c r="D540" t="s">
        <v>487</v>
      </c>
      <c r="E540" t="s">
        <v>487</v>
      </c>
      <c r="F540">
        <v>100</v>
      </c>
      <c r="G540">
        <v>2</v>
      </c>
      <c r="H540" t="s">
        <v>78</v>
      </c>
      <c r="J540" s="23">
        <v>9.9879999999999997E-2</v>
      </c>
      <c r="L540" s="12">
        <v>-49.3</v>
      </c>
      <c r="M540" s="31">
        <v>-78.34</v>
      </c>
      <c r="R540" t="s">
        <v>79</v>
      </c>
      <c r="W540" s="5">
        <v>2.76048806761783E-5</v>
      </c>
      <c r="Y540" s="5">
        <v>3.7733815514940902E-5</v>
      </c>
      <c r="Z540" s="5">
        <v>5.09268458305626E-5</v>
      </c>
      <c r="AA540" s="5">
        <v>6.7914362608211795E-5</v>
      </c>
      <c r="AB540" s="5">
        <v>8.9552464467925898E-5</v>
      </c>
      <c r="AC540">
        <v>1.16835243923894E-4</v>
      </c>
      <c r="AD540">
        <v>1.5090692698851901E-4</v>
      </c>
      <c r="AE540">
        <v>1.93073705346463E-4</v>
      </c>
      <c r="AF540">
        <v>2.4481510517317698E-4</v>
      </c>
      <c r="AG540">
        <v>3.07794744664198E-4</v>
      </c>
      <c r="AH540">
        <v>3.8387034303028302E-4</v>
      </c>
      <c r="AI540">
        <v>4.7510285661888101E-4</v>
      </c>
      <c r="AV540">
        <v>3087.9728</v>
      </c>
      <c r="AW540">
        <v>3754.5996</v>
      </c>
      <c r="AX540">
        <v>-214.39059999999998</v>
      </c>
      <c r="AZ540">
        <v>6.7103999999999999</v>
      </c>
      <c r="BA540">
        <v>1196.1849</v>
      </c>
      <c r="BB540">
        <v>-99.3</v>
      </c>
      <c r="BG540">
        <v>0.46850000000000003</v>
      </c>
      <c r="BH540">
        <v>2332.643</v>
      </c>
      <c r="BM540">
        <v>1.1499999999999999</v>
      </c>
      <c r="BN540">
        <f t="shared" si="22"/>
        <v>12.173913043478262</v>
      </c>
      <c r="BO540">
        <v>14</v>
      </c>
      <c r="BP540" t="s">
        <v>82</v>
      </c>
      <c r="BQ540" t="s">
        <v>125</v>
      </c>
      <c r="BR540">
        <v>50</v>
      </c>
      <c r="BS540">
        <v>3</v>
      </c>
      <c r="BT540" t="s">
        <v>149</v>
      </c>
      <c r="BU540" t="s">
        <v>488</v>
      </c>
      <c r="BV540" t="s">
        <v>489</v>
      </c>
      <c r="BW540" t="s">
        <v>695</v>
      </c>
    </row>
    <row r="541" spans="1:75" x14ac:dyDescent="0.75">
      <c r="A541" t="s">
        <v>496</v>
      </c>
      <c r="B541" t="s">
        <v>426</v>
      </c>
      <c r="C541" t="s">
        <v>486</v>
      </c>
      <c r="D541" t="s">
        <v>487</v>
      </c>
      <c r="E541" t="s">
        <v>487</v>
      </c>
      <c r="F541">
        <v>100</v>
      </c>
      <c r="G541">
        <v>2</v>
      </c>
      <c r="H541" t="s">
        <v>78</v>
      </c>
      <c r="K541">
        <v>20</v>
      </c>
      <c r="M541" s="12">
        <v>-78</v>
      </c>
      <c r="R541" t="s">
        <v>79</v>
      </c>
      <c r="W541" s="5">
        <v>1.7987552193531002E-5</v>
      </c>
      <c r="Y541" s="5">
        <v>2.50390311528785E-5</v>
      </c>
      <c r="Z541" s="5">
        <v>3.4070443400047301E-5</v>
      </c>
      <c r="AA541" s="5">
        <v>4.5417723885127902E-5</v>
      </c>
      <c r="AB541" s="5">
        <v>5.9430526279495798E-5</v>
      </c>
      <c r="AC541" s="5">
        <v>7.6467243810709602E-5</v>
      </c>
      <c r="AD541" s="5">
        <v>9.6890052683105005E-5</v>
      </c>
      <c r="AE541">
        <v>1.21060131269692E-4</v>
      </c>
      <c r="AF541">
        <v>1.49333176165353E-4</v>
      </c>
      <c r="AG541">
        <v>1.8205530484922801E-4</v>
      </c>
      <c r="AH541">
        <v>2.19559405820852E-4</v>
      </c>
      <c r="AI541">
        <v>2.6216197166424799E-4</v>
      </c>
      <c r="AV541">
        <v>5.0834000000000001</v>
      </c>
      <c r="AW541">
        <v>1339.8124</v>
      </c>
      <c r="AX541">
        <v>-113.082124472022</v>
      </c>
      <c r="BG541">
        <v>0.43990000000000001</v>
      </c>
      <c r="BH541">
        <v>523.62919999999997</v>
      </c>
      <c r="BM541">
        <v>1.1499999999999999</v>
      </c>
      <c r="BN541">
        <f t="shared" si="22"/>
        <v>12.173913043478262</v>
      </c>
      <c r="BO541">
        <v>14</v>
      </c>
      <c r="BP541" t="s">
        <v>82</v>
      </c>
      <c r="BQ541" t="s">
        <v>125</v>
      </c>
      <c r="BR541">
        <v>50</v>
      </c>
      <c r="BS541">
        <v>3</v>
      </c>
      <c r="BT541" t="s">
        <v>149</v>
      </c>
      <c r="BU541" t="s">
        <v>488</v>
      </c>
      <c r="BV541" t="s">
        <v>489</v>
      </c>
      <c r="BW541" t="s">
        <v>695</v>
      </c>
    </row>
    <row r="542" spans="1:75" x14ac:dyDescent="0.75">
      <c r="A542" t="s">
        <v>497</v>
      </c>
      <c r="B542" t="s">
        <v>426</v>
      </c>
      <c r="C542" t="s">
        <v>498</v>
      </c>
      <c r="D542" t="s">
        <v>499</v>
      </c>
      <c r="E542" t="s">
        <v>499</v>
      </c>
      <c r="F542">
        <v>100</v>
      </c>
      <c r="G542">
        <v>4</v>
      </c>
      <c r="H542" t="s">
        <v>78</v>
      </c>
      <c r="K542">
        <v>20</v>
      </c>
      <c r="M542" s="12">
        <v>-71</v>
      </c>
      <c r="R542" t="s">
        <v>79</v>
      </c>
      <c r="W542" s="5">
        <v>2.2588202955360699E-5</v>
      </c>
      <c r="Y542" s="5">
        <v>3.0560145932013698E-5</v>
      </c>
      <c r="Z542" s="5">
        <v>4.0624194643185497E-5</v>
      </c>
      <c r="AA542" s="5">
        <v>5.3138515132734902E-5</v>
      </c>
      <c r="AB542" s="5">
        <v>6.8485692083882898E-5</v>
      </c>
      <c r="AC542" s="5">
        <v>8.7069573334124604E-5</v>
      </c>
      <c r="AD542">
        <v>1.0931180126371199E-4</v>
      </c>
      <c r="AE542">
        <v>1.35648134328716E-4</v>
      </c>
      <c r="AF542">
        <v>1.6652465599496999E-4</v>
      </c>
      <c r="AG542">
        <v>2.0239395959224899E-4</v>
      </c>
      <c r="AH542">
        <v>2.4371138712570901E-4</v>
      </c>
      <c r="AI542">
        <v>2.9093138868284901E-4</v>
      </c>
      <c r="AV542">
        <v>15.128299999999999</v>
      </c>
      <c r="AW542">
        <v>1744.3835999999999</v>
      </c>
      <c r="AX542">
        <v>-140.09631150468701</v>
      </c>
      <c r="BG542">
        <v>0.42</v>
      </c>
      <c r="BH542">
        <v>297.3272</v>
      </c>
      <c r="BP542" t="s">
        <v>173</v>
      </c>
      <c r="BQ542" t="s">
        <v>125</v>
      </c>
      <c r="BR542">
        <v>50</v>
      </c>
      <c r="BS542">
        <v>3</v>
      </c>
      <c r="BT542" t="s">
        <v>149</v>
      </c>
      <c r="BU542" t="s">
        <v>488</v>
      </c>
      <c r="BV542" t="s">
        <v>489</v>
      </c>
      <c r="BW542" t="s">
        <v>695</v>
      </c>
    </row>
    <row r="543" spans="1:75" x14ac:dyDescent="0.75">
      <c r="A543" t="s">
        <v>500</v>
      </c>
      <c r="B543" t="s">
        <v>426</v>
      </c>
      <c r="C543" t="s">
        <v>501</v>
      </c>
      <c r="D543" t="s">
        <v>502</v>
      </c>
      <c r="E543" t="s">
        <v>502</v>
      </c>
      <c r="F543">
        <v>100</v>
      </c>
      <c r="G543">
        <v>5</v>
      </c>
      <c r="H543" t="s">
        <v>78</v>
      </c>
      <c r="K543">
        <v>20</v>
      </c>
      <c r="M543" s="12">
        <v>-75</v>
      </c>
      <c r="R543" t="s">
        <v>79</v>
      </c>
      <c r="W543" s="5">
        <v>2.3840369627857499E-5</v>
      </c>
      <c r="Y543" s="5">
        <v>3.2879342190780202E-5</v>
      </c>
      <c r="Z543" s="5">
        <v>4.4606227947651802E-5</v>
      </c>
      <c r="AA543" s="5">
        <v>5.9601526563338397E-5</v>
      </c>
      <c r="AB543" s="5">
        <v>7.8520939531079306E-5</v>
      </c>
      <c r="AC543">
        <v>1.02096743701898E-4</v>
      </c>
      <c r="AD543">
        <v>1.3113817528988199E-4</v>
      </c>
      <c r="AE543">
        <v>1.6653083028706999E-4</v>
      </c>
      <c r="AF543">
        <v>2.0923511137965601E-4</v>
      </c>
      <c r="AG543">
        <v>2.6028377208581102E-4</v>
      </c>
      <c r="AH543">
        <v>3.20778625673825E-4</v>
      </c>
      <c r="AI543">
        <v>3.9188649942668998E-4</v>
      </c>
      <c r="AV543">
        <v>148.49209999999999</v>
      </c>
      <c r="AW543">
        <v>2418.4978999999998</v>
      </c>
      <c r="AX543">
        <v>-164.006222715826</v>
      </c>
      <c r="BG543">
        <v>0.46139999999999998</v>
      </c>
      <c r="BH543">
        <v>1556.5137</v>
      </c>
      <c r="BP543" t="s">
        <v>173</v>
      </c>
      <c r="BQ543" t="s">
        <v>125</v>
      </c>
      <c r="BR543">
        <v>50</v>
      </c>
      <c r="BS543">
        <v>3</v>
      </c>
      <c r="BT543" t="s">
        <v>149</v>
      </c>
      <c r="BU543" t="s">
        <v>488</v>
      </c>
      <c r="BV543" t="s">
        <v>489</v>
      </c>
      <c r="BW543" t="s">
        <v>695</v>
      </c>
    </row>
    <row r="544" spans="1:75" x14ac:dyDescent="0.75">
      <c r="A544" t="s">
        <v>503</v>
      </c>
      <c r="B544" t="s">
        <v>426</v>
      </c>
      <c r="C544" t="s">
        <v>504</v>
      </c>
      <c r="D544" t="s">
        <v>77</v>
      </c>
      <c r="E544" t="s">
        <v>487</v>
      </c>
      <c r="F544">
        <v>89.7</v>
      </c>
      <c r="G544">
        <v>1.23</v>
      </c>
      <c r="H544" t="s">
        <v>78</v>
      </c>
      <c r="K544">
        <v>20</v>
      </c>
      <c r="M544">
        <v>-69</v>
      </c>
      <c r="R544" t="s">
        <v>84</v>
      </c>
      <c r="W544" s="5">
        <v>2.0909121694965898E-5</v>
      </c>
      <c r="Y544" s="5">
        <v>4.2414645453849701E-5</v>
      </c>
      <c r="Z544" s="5">
        <v>7.31773277844396E-5</v>
      </c>
      <c r="AA544">
        <v>1.12821087320357E-4</v>
      </c>
      <c r="AB544">
        <v>1.6036130316171601E-4</v>
      </c>
      <c r="AC544">
        <v>2.1452018777760599E-4</v>
      </c>
      <c r="AD544">
        <v>2.7394611876011698E-4</v>
      </c>
      <c r="AE544">
        <v>3.3734572846847501E-4</v>
      </c>
      <c r="AF544">
        <v>4.0355264727266299E-4</v>
      </c>
      <c r="AG544">
        <v>4.7155535520409001E-4</v>
      </c>
      <c r="AH544">
        <v>5.4050084255873802E-4</v>
      </c>
      <c r="AI544">
        <v>6.0968521373127096E-4</v>
      </c>
      <c r="AV544">
        <v>9.8100000000000007E-2</v>
      </c>
      <c r="AW544">
        <v>191.45920000000001</v>
      </c>
      <c r="AX544">
        <v>-9.1600432636162097</v>
      </c>
      <c r="BE544">
        <v>0.54969999999999997</v>
      </c>
      <c r="BF544">
        <v>58630.289900000003</v>
      </c>
      <c r="BG544">
        <v>0.45</v>
      </c>
      <c r="BH544">
        <v>2021</v>
      </c>
      <c r="BI544" t="s">
        <v>505</v>
      </c>
      <c r="BM544">
        <v>1.1200000000000001</v>
      </c>
      <c r="BN544">
        <v>29.5</v>
      </c>
      <c r="BO544">
        <v>39.4</v>
      </c>
      <c r="BP544" t="s">
        <v>82</v>
      </c>
      <c r="BQ544" t="s">
        <v>125</v>
      </c>
      <c r="BR544">
        <v>50</v>
      </c>
      <c r="BS544">
        <v>3</v>
      </c>
      <c r="BT544" t="s">
        <v>149</v>
      </c>
      <c r="BU544" t="s">
        <v>488</v>
      </c>
      <c r="BV544" t="s">
        <v>489</v>
      </c>
      <c r="BW544" t="s">
        <v>695</v>
      </c>
    </row>
    <row r="545" spans="1:75" x14ac:dyDescent="0.75">
      <c r="A545" t="s">
        <v>506</v>
      </c>
      <c r="B545" t="s">
        <v>426</v>
      </c>
      <c r="C545" t="s">
        <v>504</v>
      </c>
      <c r="D545" t="s">
        <v>77</v>
      </c>
      <c r="E545" t="s">
        <v>487</v>
      </c>
      <c r="F545">
        <v>80.2</v>
      </c>
      <c r="G545">
        <v>1.39</v>
      </c>
      <c r="H545" t="s">
        <v>78</v>
      </c>
      <c r="K545">
        <v>20</v>
      </c>
      <c r="M545">
        <v>-71</v>
      </c>
      <c r="R545" t="s">
        <v>84</v>
      </c>
      <c r="W545" s="5">
        <v>3.7280102236967402E-5</v>
      </c>
      <c r="Y545" s="5">
        <v>5.10028309730922E-5</v>
      </c>
      <c r="Z545" s="5">
        <v>6.8628694082741498E-5</v>
      </c>
      <c r="AA545" s="5">
        <v>9.0941427228917996E-5</v>
      </c>
      <c r="AB545">
        <v>1.18811422677332E-4</v>
      </c>
      <c r="AC545">
        <v>1.5319441402827599E-4</v>
      </c>
      <c r="AD545">
        <v>1.9512890087275401E-4</v>
      </c>
      <c r="AE545">
        <v>2.4573240388036098E-4</v>
      </c>
      <c r="AF545">
        <v>3.0619666439290198E-4</v>
      </c>
      <c r="AG545">
        <v>3.7778191944668398E-4</v>
      </c>
      <c r="AH545">
        <v>4.6181039372371498E-4</v>
      </c>
      <c r="AI545">
        <v>5.5965915489033797E-4</v>
      </c>
      <c r="AV545">
        <v>110.64530000000001</v>
      </c>
      <c r="AW545">
        <v>2197.9843999999998</v>
      </c>
      <c r="AX545">
        <v>-157.33599999999998</v>
      </c>
      <c r="BG545">
        <v>0.44529999999999997</v>
      </c>
      <c r="BH545">
        <v>1308.2335</v>
      </c>
      <c r="BM545">
        <v>1.1299999999999999</v>
      </c>
      <c r="BN545">
        <v>15.8</v>
      </c>
      <c r="BO545">
        <v>14.7</v>
      </c>
      <c r="BP545" t="s">
        <v>82</v>
      </c>
      <c r="BQ545" t="s">
        <v>125</v>
      </c>
      <c r="BR545">
        <v>50</v>
      </c>
      <c r="BS545">
        <v>3</v>
      </c>
      <c r="BT545" t="s">
        <v>149</v>
      </c>
      <c r="BU545" t="s">
        <v>488</v>
      </c>
      <c r="BV545" t="s">
        <v>489</v>
      </c>
      <c r="BW545" t="s">
        <v>695</v>
      </c>
    </row>
    <row r="546" spans="1:75" x14ac:dyDescent="0.75">
      <c r="A546" t="s">
        <v>507</v>
      </c>
      <c r="B546" t="s">
        <v>426</v>
      </c>
      <c r="C546" t="s">
        <v>504</v>
      </c>
      <c r="D546" t="s">
        <v>77</v>
      </c>
      <c r="E546" t="s">
        <v>487</v>
      </c>
      <c r="F546">
        <v>76.7</v>
      </c>
      <c r="G546">
        <v>1.44</v>
      </c>
      <c r="H546" t="s">
        <v>78</v>
      </c>
      <c r="K546">
        <v>20</v>
      </c>
      <c r="M546">
        <v>-69</v>
      </c>
      <c r="R546" t="s">
        <v>79</v>
      </c>
      <c r="W546" s="5">
        <v>3.5806718601540498E-5</v>
      </c>
      <c r="Y546" s="5">
        <v>4.8400213694913399E-5</v>
      </c>
      <c r="Z546" s="5">
        <v>6.4445645967171799E-5</v>
      </c>
      <c r="AA546" s="5">
        <v>8.4620401023232104E-5</v>
      </c>
      <c r="AB546">
        <v>1.0967792841029E-4</v>
      </c>
      <c r="AC546">
        <v>1.4044762280926101E-4</v>
      </c>
      <c r="AD546">
        <v>1.7783371987847499E-4</v>
      </c>
      <c r="AE546">
        <v>2.2281324918761199E-4</v>
      </c>
      <c r="AF546">
        <v>2.7643310609783898E-4</v>
      </c>
      <c r="AG546">
        <v>3.3980631981731001E-4</v>
      </c>
      <c r="AH546">
        <v>4.1410760625211501E-4</v>
      </c>
      <c r="AI546">
        <v>5.0056830190364895E-4</v>
      </c>
      <c r="AV546">
        <v>138.61670000000001</v>
      </c>
      <c r="AW546">
        <v>2389.1134999999999</v>
      </c>
      <c r="AX546">
        <v>-168.91699999999997</v>
      </c>
      <c r="BG546">
        <v>0.436</v>
      </c>
      <c r="BH546">
        <v>862.02599999999995</v>
      </c>
      <c r="BM546">
        <v>1.1299999999999999</v>
      </c>
      <c r="BN546">
        <v>7.9</v>
      </c>
      <c r="BO546">
        <v>6.5</v>
      </c>
      <c r="BP546" t="s">
        <v>82</v>
      </c>
      <c r="BQ546" t="s">
        <v>125</v>
      </c>
      <c r="BR546">
        <v>50</v>
      </c>
      <c r="BS546">
        <v>3</v>
      </c>
      <c r="BT546" t="s">
        <v>149</v>
      </c>
      <c r="BU546" t="s">
        <v>488</v>
      </c>
      <c r="BV546" t="s">
        <v>489</v>
      </c>
      <c r="BW546" t="s">
        <v>695</v>
      </c>
    </row>
    <row r="547" spans="1:75" x14ac:dyDescent="0.75">
      <c r="A547" s="1" t="s">
        <v>508</v>
      </c>
      <c r="B547" s="1" t="s">
        <v>426</v>
      </c>
      <c r="C547" s="1" t="s">
        <v>504</v>
      </c>
      <c r="D547" s="1" t="s">
        <v>77</v>
      </c>
      <c r="E547" s="1" t="s">
        <v>487</v>
      </c>
      <c r="F547" s="1">
        <v>54.9</v>
      </c>
      <c r="G547" s="1">
        <v>1.68</v>
      </c>
      <c r="H547" s="1" t="s">
        <v>78</v>
      </c>
      <c r="I547" s="1"/>
      <c r="J547" s="1"/>
      <c r="K547" s="1">
        <v>20</v>
      </c>
      <c r="L547" s="1"/>
      <c r="M547" s="1">
        <v>-73</v>
      </c>
      <c r="N547" s="1"/>
      <c r="O547" s="1"/>
      <c r="P547" s="1"/>
      <c r="Q547" s="1"/>
      <c r="R547" s="1" t="s">
        <v>79</v>
      </c>
      <c r="S547" s="1"/>
      <c r="T547" s="1"/>
      <c r="U547" s="1"/>
      <c r="V547" s="1"/>
      <c r="W547" s="3">
        <v>2.5481219041072398E-5</v>
      </c>
      <c r="X547" s="1"/>
      <c r="Y547" s="3">
        <v>3.4520637312647E-5</v>
      </c>
      <c r="Z547" s="3">
        <v>4.6000850559098102E-5</v>
      </c>
      <c r="AA547" s="3">
        <v>6.0373077965314597E-5</v>
      </c>
      <c r="AB547" s="3">
        <v>7.8129684170885402E-5</v>
      </c>
      <c r="AC547" s="3">
        <v>9.98019471773494E-5</v>
      </c>
      <c r="AD547" s="1">
        <v>1.2595722736744399E-4</v>
      </c>
      <c r="AE547" s="1">
        <v>1.5719562505355601E-4</v>
      </c>
      <c r="AF547" s="1">
        <v>1.9414621958188899E-4</v>
      </c>
      <c r="AG547" s="1">
        <v>2.3746298463834999E-4</v>
      </c>
      <c r="AH547" s="1">
        <v>2.87820472695967E-4</v>
      </c>
      <c r="AI547" s="1">
        <v>3.4590935719254901E-4</v>
      </c>
      <c r="AJ547" s="1"/>
      <c r="AK547" s="1"/>
      <c r="AL547" s="1"/>
      <c r="AM547" s="1"/>
      <c r="AN547" s="1"/>
      <c r="AO547" s="1"/>
      <c r="AP547" s="1"/>
      <c r="AQ547" s="1"/>
      <c r="AR547" s="1"/>
      <c r="AS547" s="1"/>
      <c r="AT547" s="1"/>
      <c r="AU547" s="1"/>
      <c r="AV547" s="1">
        <v>38.387099999999997</v>
      </c>
      <c r="AW547" s="1">
        <v>2017.6867</v>
      </c>
      <c r="AX547" s="1">
        <v>-152.355800187211</v>
      </c>
      <c r="AY547" s="1"/>
      <c r="AZ547" s="1"/>
      <c r="BA547" s="1"/>
      <c r="BB547" s="1"/>
      <c r="BC547" s="1"/>
      <c r="BD547" s="1"/>
      <c r="BE547" s="1"/>
      <c r="BF547" s="1"/>
      <c r="BG547" s="1">
        <v>0.43130000000000002</v>
      </c>
      <c r="BH547" s="1">
        <v>514.25540000000001</v>
      </c>
      <c r="BI547" s="1"/>
      <c r="BJ547" s="1"/>
      <c r="BK547" s="1"/>
      <c r="BL547" s="1"/>
      <c r="BM547" s="1">
        <v>1.1100000000000001</v>
      </c>
      <c r="BN547" s="1">
        <v>17.3</v>
      </c>
      <c r="BO547" s="1">
        <v>27.5</v>
      </c>
      <c r="BP547" s="1" t="s">
        <v>82</v>
      </c>
      <c r="BQ547" s="1" t="s">
        <v>125</v>
      </c>
      <c r="BR547">
        <v>50</v>
      </c>
      <c r="BS547">
        <v>3</v>
      </c>
      <c r="BT547" t="s">
        <v>149</v>
      </c>
      <c r="BU547" s="1" t="s">
        <v>488</v>
      </c>
      <c r="BV547" s="1" t="s">
        <v>489</v>
      </c>
      <c r="BW547" t="s">
        <v>695</v>
      </c>
    </row>
    <row r="548" spans="1:75" x14ac:dyDescent="0.75">
      <c r="A548" t="s">
        <v>509</v>
      </c>
      <c r="B548" t="s">
        <v>510</v>
      </c>
      <c r="C548" t="s">
        <v>511</v>
      </c>
      <c r="D548" t="s">
        <v>512</v>
      </c>
      <c r="E548" t="s">
        <v>512</v>
      </c>
      <c r="F548">
        <v>100</v>
      </c>
      <c r="G548">
        <v>11</v>
      </c>
      <c r="H548" t="s">
        <v>91</v>
      </c>
      <c r="J548">
        <v>5.5599999999999997E-2</v>
      </c>
      <c r="M548">
        <f>210-273.15</f>
        <v>-63.149999999999977</v>
      </c>
      <c r="R548" t="s">
        <v>79</v>
      </c>
      <c r="U548" s="5">
        <v>4.4619099423633901E-6</v>
      </c>
      <c r="W548" s="5">
        <v>7.6795787484150594E-6</v>
      </c>
      <c r="Y548" s="5">
        <v>1.21017724169701E-5</v>
      </c>
      <c r="Z548" s="5">
        <v>1.7806936335937101E-5</v>
      </c>
      <c r="AA548" s="5">
        <v>2.4816162638521599E-5</v>
      </c>
      <c r="AB548" s="5">
        <v>3.3102884854193798E-5</v>
      </c>
      <c r="AC548" s="5">
        <v>4.2604120304168002E-5</v>
      </c>
      <c r="AD548" s="5">
        <v>5.3231263097228302E-5</v>
      </c>
      <c r="AE548" s="5">
        <v>6.4879440968899796E-5</v>
      </c>
      <c r="AF548" s="5">
        <v>7.7435095866432095E-5</v>
      </c>
      <c r="AG548" s="5">
        <v>9.0781812163896205E-5</v>
      </c>
      <c r="AH548">
        <v>1.0480459239162099E-4</v>
      </c>
      <c r="AI548">
        <v>1.19392843811856E-4</v>
      </c>
      <c r="AJ548">
        <v>1.34442341497891E-4</v>
      </c>
      <c r="AK548">
        <v>1.4985640668695901E-4</v>
      </c>
      <c r="AL548">
        <v>1.8143240179514301E-4</v>
      </c>
      <c r="AV548">
        <v>4.2999999999999997E-2</v>
      </c>
      <c r="AW548">
        <v>331.98939999999999</v>
      </c>
      <c r="AX548">
        <v>-32.421999999999997</v>
      </c>
      <c r="BG548">
        <v>0.37709999999999999</v>
      </c>
      <c r="BH548">
        <v>22.884399999999999</v>
      </c>
      <c r="BP548" t="s">
        <v>173</v>
      </c>
      <c r="BQ548" t="s">
        <v>130</v>
      </c>
      <c r="BR548">
        <f>408-273.15</f>
        <v>134.85000000000002</v>
      </c>
      <c r="BS548">
        <v>30</v>
      </c>
      <c r="BT548" t="s">
        <v>84</v>
      </c>
      <c r="BV548" t="s">
        <v>513</v>
      </c>
      <c r="BW548" t="s">
        <v>696</v>
      </c>
    </row>
    <row r="549" spans="1:75" x14ac:dyDescent="0.75">
      <c r="A549" s="1" t="s">
        <v>514</v>
      </c>
      <c r="B549" s="1" t="s">
        <v>510</v>
      </c>
      <c r="C549" s="1" t="s">
        <v>511</v>
      </c>
      <c r="D549" t="s">
        <v>515</v>
      </c>
      <c r="E549" t="s">
        <v>515</v>
      </c>
      <c r="F549" s="1">
        <v>100</v>
      </c>
      <c r="G549" s="1">
        <v>24</v>
      </c>
      <c r="H549" s="1" t="s">
        <v>91</v>
      </c>
      <c r="I549" s="1"/>
      <c r="J549" s="1">
        <v>5.5599999999999997E-2</v>
      </c>
      <c r="K549" s="1"/>
      <c r="L549" s="1"/>
      <c r="M549" s="1"/>
      <c r="N549" s="1"/>
      <c r="O549" s="1"/>
      <c r="P549" s="1"/>
      <c r="Q549" s="1"/>
      <c r="R549" s="1" t="s">
        <v>79</v>
      </c>
      <c r="S549" s="1"/>
      <c r="T549" s="1"/>
      <c r="U549" s="3">
        <v>1.6756087122303899E-5</v>
      </c>
      <c r="V549" s="1"/>
      <c r="W549" s="3">
        <v>2.4149477230859199E-5</v>
      </c>
      <c r="X549" s="1"/>
      <c r="Y549" s="3">
        <v>3.3831256807137101E-5</v>
      </c>
      <c r="Z549" s="3">
        <v>4.6213263882853698E-5</v>
      </c>
      <c r="AA549" s="3">
        <v>6.1719553685584899E-5</v>
      </c>
      <c r="AB549" s="3">
        <v>8.0778504003912598E-5</v>
      </c>
      <c r="AC549" s="1">
        <v>1.03815279186649E-4</v>
      </c>
      <c r="AD549" s="1">
        <v>1.3124489888752901E-4</v>
      </c>
      <c r="AE549" s="1">
        <v>1.6346608070418099E-4</v>
      </c>
      <c r="AF549" s="1">
        <v>2.00855957321907E-4</v>
      </c>
      <c r="AG549" s="1">
        <v>2.4376571122386001E-4</v>
      </c>
      <c r="AH549" s="1">
        <v>2.9251712422319602E-4</v>
      </c>
      <c r="AI549" s="1">
        <v>3.4740000456430498E-4</v>
      </c>
      <c r="AJ549" s="1">
        <v>4.0867042997551301E-4</v>
      </c>
      <c r="AK549" s="1">
        <v>4.7654972933559999E-4</v>
      </c>
      <c r="AL549" s="1">
        <v>6.3284489024896995E-4</v>
      </c>
      <c r="AM549" s="1"/>
      <c r="AN549" s="1"/>
      <c r="AO549" s="1"/>
      <c r="AP549" s="1"/>
      <c r="AQ549" s="1"/>
      <c r="AR549" s="1"/>
      <c r="AS549" s="1"/>
      <c r="AT549" s="1"/>
      <c r="AU549" s="1"/>
      <c r="AV549" s="1">
        <v>3.5844</v>
      </c>
      <c r="AW549" s="1">
        <v>1142.5617999999999</v>
      </c>
      <c r="AX549" s="1">
        <v>-101.124</v>
      </c>
      <c r="AY549" s="1"/>
      <c r="AZ549" s="1"/>
      <c r="BA549" s="1"/>
      <c r="BB549" s="1"/>
      <c r="BC549" s="1"/>
      <c r="BD549" s="1"/>
      <c r="BE549" s="1"/>
      <c r="BF549" s="1"/>
      <c r="BG549" s="1">
        <v>0.40350000000000003</v>
      </c>
      <c r="BH549" s="1">
        <v>176.8083</v>
      </c>
      <c r="BI549" s="1"/>
      <c r="BJ549" s="1"/>
      <c r="BK549" s="1"/>
      <c r="BL549" s="1"/>
      <c r="BM549" s="1"/>
      <c r="BN549" s="1"/>
      <c r="BO549" s="1"/>
      <c r="BP549" s="1" t="s">
        <v>173</v>
      </c>
      <c r="BQ549" s="1" t="s">
        <v>130</v>
      </c>
      <c r="BR549" s="1">
        <f>408-273.15</f>
        <v>134.85000000000002</v>
      </c>
      <c r="BS549" s="1">
        <v>30</v>
      </c>
      <c r="BT549" s="1" t="s">
        <v>84</v>
      </c>
      <c r="BU549" s="1" t="s">
        <v>516</v>
      </c>
      <c r="BV549" s="1" t="s">
        <v>513</v>
      </c>
      <c r="BW549" t="s">
        <v>696</v>
      </c>
    </row>
    <row r="550" spans="1:75" x14ac:dyDescent="0.75">
      <c r="A550" t="s">
        <v>517</v>
      </c>
      <c r="B550" t="s">
        <v>510</v>
      </c>
      <c r="C550" t="s">
        <v>511</v>
      </c>
      <c r="D550" t="s">
        <v>515</v>
      </c>
      <c r="E550" t="s">
        <v>515</v>
      </c>
      <c r="F550">
        <v>100</v>
      </c>
      <c r="G550">
        <v>22</v>
      </c>
      <c r="H550" t="s">
        <v>91</v>
      </c>
      <c r="J550">
        <v>0.2</v>
      </c>
      <c r="L550">
        <v>-25</v>
      </c>
      <c r="N550">
        <v>28</v>
      </c>
      <c r="O550">
        <v>13</v>
      </c>
      <c r="P550">
        <v>41</v>
      </c>
      <c r="R550" t="s">
        <v>84</v>
      </c>
      <c r="U550" s="5">
        <v>4.45382785308407E-7</v>
      </c>
      <c r="W550" s="5">
        <v>7.1284511083881803E-7</v>
      </c>
      <c r="Y550" s="5">
        <v>1.12320462305942E-6</v>
      </c>
      <c r="Z550" s="5">
        <v>1.7436384408297499E-6</v>
      </c>
      <c r="AA550" s="5">
        <v>2.6686922389364999E-6</v>
      </c>
      <c r="AB550" s="5">
        <v>4.02973192456373E-6</v>
      </c>
      <c r="AC550" s="5">
        <v>6.0070670852654698E-6</v>
      </c>
      <c r="AD550" s="5">
        <v>8.8453263346137193E-6</v>
      </c>
      <c r="AE550" s="5">
        <v>1.28727478804116E-5</v>
      </c>
      <c r="AF550" s="5">
        <v>1.8525135358036099E-5</v>
      </c>
      <c r="AV550">
        <v>19115914.373799998</v>
      </c>
      <c r="AW550">
        <v>8369.4387000000006</v>
      </c>
      <c r="AX550">
        <v>-273.14999999999998</v>
      </c>
      <c r="AZ550">
        <v>0.86570000000000003</v>
      </c>
      <c r="BA550">
        <v>1119.443</v>
      </c>
      <c r="BB550">
        <v>-75</v>
      </c>
      <c r="BG550">
        <v>0.7077</v>
      </c>
      <c r="BH550">
        <v>654028.48829999997</v>
      </c>
      <c r="BN550">
        <v>300</v>
      </c>
      <c r="BP550" t="s">
        <v>173</v>
      </c>
      <c r="BQ550" t="s">
        <v>241</v>
      </c>
      <c r="BR550" s="15"/>
      <c r="BS550" s="15">
        <v>72</v>
      </c>
      <c r="BT550" t="s">
        <v>84</v>
      </c>
      <c r="BU550" t="s">
        <v>518</v>
      </c>
      <c r="BV550" t="s">
        <v>519</v>
      </c>
      <c r="BW550" t="s">
        <v>697</v>
      </c>
    </row>
    <row r="551" spans="1:75" x14ac:dyDescent="0.75">
      <c r="A551" s="1" t="s">
        <v>520</v>
      </c>
      <c r="B551" s="1" t="s">
        <v>627</v>
      </c>
      <c r="C551" s="1" t="s">
        <v>521</v>
      </c>
      <c r="D551" t="s">
        <v>515</v>
      </c>
      <c r="E551" s="1" t="s">
        <v>522</v>
      </c>
      <c r="F551" s="1">
        <v>14.29</v>
      </c>
      <c r="G551" s="1">
        <v>22</v>
      </c>
      <c r="H551" s="1" t="s">
        <v>91</v>
      </c>
      <c r="I551" s="1"/>
      <c r="J551" s="1">
        <v>0.2</v>
      </c>
      <c r="K551" s="1"/>
      <c r="L551" s="1">
        <v>-29</v>
      </c>
      <c r="M551" s="1"/>
      <c r="N551" s="1"/>
      <c r="O551" s="1"/>
      <c r="P551" s="1"/>
      <c r="Q551" s="1"/>
      <c r="R551" s="1" t="s">
        <v>79</v>
      </c>
      <c r="S551" s="1"/>
      <c r="T551" s="3">
        <v>3.0749258847327499E-6</v>
      </c>
      <c r="U551" s="3">
        <v>5.6117112878690896E-6</v>
      </c>
      <c r="V551" s="1"/>
      <c r="W551" s="3">
        <v>9.6247664282836802E-6</v>
      </c>
      <c r="X551" s="1"/>
      <c r="Y551" s="3">
        <v>1.5654956245661199E-5</v>
      </c>
      <c r="Z551" s="1"/>
      <c r="AA551" s="1"/>
      <c r="AB551" s="1"/>
      <c r="AC551" s="1"/>
      <c r="AD551" s="1"/>
      <c r="AE551" s="1"/>
      <c r="AF551" s="1"/>
      <c r="AG551" s="1"/>
      <c r="AH551" s="1"/>
      <c r="AI551" s="1"/>
      <c r="AJ551" s="1"/>
      <c r="AK551" s="1"/>
      <c r="AL551" s="1"/>
      <c r="AM551" s="1"/>
      <c r="AN551" s="1"/>
      <c r="AO551" s="1"/>
      <c r="AP551" s="1"/>
      <c r="AQ551" s="1"/>
      <c r="AR551" s="1"/>
      <c r="AS551" s="1"/>
      <c r="AT551" s="1"/>
      <c r="AU551" s="1"/>
      <c r="AV551" s="1">
        <v>4.4542999999999999</v>
      </c>
      <c r="AW551" s="1">
        <v>999.65589999999997</v>
      </c>
      <c r="AX551" s="1">
        <v>-73.041595382535704</v>
      </c>
      <c r="AY551" s="1"/>
      <c r="AZ551" s="1">
        <v>8.7850999999999999</v>
      </c>
      <c r="BA551" s="1">
        <v>1131.1691000000001</v>
      </c>
      <c r="BB551" s="1">
        <v>-79</v>
      </c>
      <c r="BC551" s="1"/>
      <c r="BD551" s="1"/>
      <c r="BE551" s="1"/>
      <c r="BF551" s="1"/>
      <c r="BG551" s="1">
        <v>0.8337</v>
      </c>
      <c r="BH551" s="1">
        <v>1175861864.1171999</v>
      </c>
      <c r="BI551" s="1"/>
      <c r="BJ551" s="1"/>
      <c r="BK551" s="1"/>
      <c r="BL551" s="1"/>
      <c r="BM551" s="1"/>
      <c r="BN551" s="1"/>
      <c r="BO551" s="1"/>
      <c r="BP551" s="1" t="s">
        <v>173</v>
      </c>
      <c r="BQ551" s="1" t="s">
        <v>241</v>
      </c>
      <c r="BR551" s="22"/>
      <c r="BS551" s="22">
        <v>72</v>
      </c>
      <c r="BT551" s="1" t="s">
        <v>84</v>
      </c>
      <c r="BU551" t="s">
        <v>518</v>
      </c>
      <c r="BV551" s="1" t="s">
        <v>519</v>
      </c>
      <c r="BW551" t="s">
        <v>697</v>
      </c>
    </row>
    <row r="552" spans="1:75" x14ac:dyDescent="0.75">
      <c r="A552" t="s">
        <v>523</v>
      </c>
      <c r="B552" t="s">
        <v>510</v>
      </c>
      <c r="C552" t="s">
        <v>524</v>
      </c>
      <c r="D552" t="s">
        <v>618</v>
      </c>
      <c r="E552" t="s">
        <v>618</v>
      </c>
      <c r="F552">
        <v>100</v>
      </c>
      <c r="H552" t="s">
        <v>78</v>
      </c>
      <c r="J552">
        <v>0.05</v>
      </c>
      <c r="R552" t="s">
        <v>79</v>
      </c>
      <c r="S552" s="5">
        <v>1.0840651065522199E-8</v>
      </c>
      <c r="T552" s="5">
        <v>6.6876353284202694E-8</v>
      </c>
      <c r="U552" s="5">
        <v>1.13987118429278E-7</v>
      </c>
      <c r="W552" s="5">
        <v>1.8829666297382401E-7</v>
      </c>
      <c r="Y552" s="5">
        <v>3.0226427551291498E-7</v>
      </c>
      <c r="Z552" s="5">
        <v>4.7262353520512599E-7</v>
      </c>
      <c r="AA552" s="5">
        <v>7.2134890457269097E-7</v>
      </c>
      <c r="AB552" s="5">
        <v>1.07670961264775E-6</v>
      </c>
      <c r="AC552" s="5">
        <v>1.57439338650339E-6</v>
      </c>
      <c r="AD552" s="5">
        <v>2.2586792330692301E-6</v>
      </c>
      <c r="AE552" s="5">
        <v>3.18363603446666E-6</v>
      </c>
      <c r="AF552" s="5">
        <v>4.4143222677710099E-6</v>
      </c>
      <c r="AG552" s="5">
        <v>6.02796169497706E-6</v>
      </c>
      <c r="AH552" s="5">
        <v>8.1150703347619804E-6</v>
      </c>
      <c r="AI552" s="5">
        <v>1.0780511324256001E-5</v>
      </c>
      <c r="AJ552" s="5">
        <v>1.41444562762165E-5</v>
      </c>
      <c r="AK552" s="5">
        <v>1.8343234287497799E-5</v>
      </c>
      <c r="AL552" s="5">
        <v>2.9875576963490701E-5</v>
      </c>
      <c r="AV552">
        <v>84.655000000000001</v>
      </c>
      <c r="AW552">
        <v>2941.5938000000001</v>
      </c>
      <c r="AX552">
        <v>-147.27456077287201</v>
      </c>
      <c r="BG552">
        <v>0.67610000000000003</v>
      </c>
      <c r="BH552">
        <v>44288.6921</v>
      </c>
      <c r="BP552" t="s">
        <v>173</v>
      </c>
      <c r="BQ552" t="s">
        <v>525</v>
      </c>
      <c r="BR552" s="15"/>
      <c r="BT552" t="s">
        <v>84</v>
      </c>
      <c r="BU552" t="s">
        <v>526</v>
      </c>
      <c r="BV552" t="s">
        <v>527</v>
      </c>
      <c r="BW552" t="s">
        <v>528</v>
      </c>
    </row>
    <row r="553" spans="1:75" x14ac:dyDescent="0.75">
      <c r="A553" t="s">
        <v>529</v>
      </c>
      <c r="B553" t="s">
        <v>510</v>
      </c>
      <c r="C553" t="s">
        <v>524</v>
      </c>
      <c r="D553" t="s">
        <v>619</v>
      </c>
      <c r="E553" t="s">
        <v>619</v>
      </c>
      <c r="F553">
        <v>100</v>
      </c>
      <c r="H553" t="s">
        <v>78</v>
      </c>
      <c r="J553">
        <v>0.05</v>
      </c>
      <c r="R553" t="s">
        <v>79</v>
      </c>
      <c r="W553" s="5">
        <v>2.7412993300155302E-6</v>
      </c>
      <c r="Y553" s="5">
        <v>4.2208018872468102E-6</v>
      </c>
      <c r="Z553" s="5">
        <v>6.3634756202005802E-6</v>
      </c>
      <c r="AA553" s="5">
        <v>9.4080900778775203E-6</v>
      </c>
      <c r="AB553" s="5">
        <v>1.3658514622892E-5</v>
      </c>
      <c r="AC553" s="5">
        <v>1.94955207369993E-5</v>
      </c>
      <c r="AD553" s="5">
        <v>2.7389430195265399E-5</v>
      </c>
      <c r="AE553" s="5">
        <v>3.7913459244463402E-5</v>
      </c>
      <c r="AF553" s="5">
        <v>5.1757585328772301E-5</v>
      </c>
      <c r="AG553" s="5">
        <v>6.9742744734965805E-5</v>
      </c>
      <c r="AH553" s="5">
        <v>9.2835157169858794E-5</v>
      </c>
      <c r="AI553">
        <v>1.2216056683147199E-4</v>
      </c>
      <c r="AJ553">
        <v>1.59018188830749E-4</v>
      </c>
      <c r="AK553">
        <v>2.0489415448715799E-4</v>
      </c>
      <c r="AL553">
        <v>3.3065582480794602E-4</v>
      </c>
      <c r="AV553">
        <v>2633.2802000000001</v>
      </c>
      <c r="AW553">
        <v>3525.9094</v>
      </c>
      <c r="AX553">
        <v>-172.7</v>
      </c>
      <c r="BG553">
        <v>0.59870000000000001</v>
      </c>
      <c r="BH553">
        <v>40569.821799999998</v>
      </c>
      <c r="BP553" t="s">
        <v>173</v>
      </c>
      <c r="BQ553" t="s">
        <v>525</v>
      </c>
      <c r="BR553" s="15"/>
      <c r="BT553" t="s">
        <v>84</v>
      </c>
      <c r="BU553" t="s">
        <v>526</v>
      </c>
      <c r="BV553" t="s">
        <v>527</v>
      </c>
      <c r="BW553" t="s">
        <v>528</v>
      </c>
    </row>
    <row r="554" spans="1:75" x14ac:dyDescent="0.75">
      <c r="A554" t="s">
        <v>530</v>
      </c>
      <c r="B554" t="s">
        <v>510</v>
      </c>
      <c r="C554" t="s">
        <v>524</v>
      </c>
      <c r="D554" t="s">
        <v>620</v>
      </c>
      <c r="E554" t="s">
        <v>620</v>
      </c>
      <c r="F554">
        <v>100</v>
      </c>
      <c r="H554" t="s">
        <v>78</v>
      </c>
      <c r="J554">
        <v>0.05</v>
      </c>
      <c r="R554" t="s">
        <v>79</v>
      </c>
      <c r="S554" s="5">
        <v>1.76710570034264E-6</v>
      </c>
      <c r="T554" s="5">
        <v>8.1108343875917193E-6</v>
      </c>
      <c r="U554" s="5">
        <v>1.26215135661491E-5</v>
      </c>
      <c r="W554" s="5">
        <v>1.91027865560979E-5</v>
      </c>
      <c r="Y554" s="5">
        <v>2.81910737027135E-5</v>
      </c>
      <c r="Z554" s="5">
        <v>4.0655476519701203E-5</v>
      </c>
      <c r="AA554" s="5">
        <v>5.7408040266202499E-5</v>
      </c>
      <c r="AB554" s="5">
        <v>7.9511894315740906E-5</v>
      </c>
      <c r="AC554">
        <v>1.0818700930618299E-4</v>
      </c>
      <c r="AD554">
        <v>1.4481341086184101E-4</v>
      </c>
      <c r="AE554">
        <v>1.9093178732194801E-4</v>
      </c>
      <c r="AF554">
        <v>2.4824151847474698E-4</v>
      </c>
      <c r="AG554">
        <v>3.18596230387859E-4</v>
      </c>
      <c r="AH554">
        <v>4.0399704605153603E-4</v>
      </c>
      <c r="AI554">
        <v>5.0658375191844701E-4</v>
      </c>
      <c r="AJ554">
        <v>6.2862413669383197E-4</v>
      </c>
      <c r="AK554">
        <v>7.7250178177285596E-4</v>
      </c>
      <c r="AL554">
        <v>1.1358003714440699E-3</v>
      </c>
      <c r="AV554">
        <v>184.61269999999999</v>
      </c>
      <c r="AW554">
        <v>2137.2802000000001</v>
      </c>
      <c r="AX554">
        <v>-136.5</v>
      </c>
      <c r="BG554">
        <v>0.5494</v>
      </c>
      <c r="BH554">
        <v>31466.568200000002</v>
      </c>
      <c r="BP554" t="s">
        <v>173</v>
      </c>
      <c r="BQ554" t="s">
        <v>525</v>
      </c>
      <c r="BR554" s="15"/>
      <c r="BT554" t="s">
        <v>84</v>
      </c>
      <c r="BU554" t="s">
        <v>526</v>
      </c>
      <c r="BV554" t="s">
        <v>527</v>
      </c>
      <c r="BW554" t="s">
        <v>528</v>
      </c>
    </row>
    <row r="555" spans="1:75" x14ac:dyDescent="0.75">
      <c r="A555" t="s">
        <v>531</v>
      </c>
      <c r="B555" t="s">
        <v>510</v>
      </c>
      <c r="C555" t="s">
        <v>524</v>
      </c>
      <c r="D555" t="s">
        <v>621</v>
      </c>
      <c r="E555" t="s">
        <v>621</v>
      </c>
      <c r="F555">
        <v>100</v>
      </c>
      <c r="H555" t="s">
        <v>78</v>
      </c>
      <c r="J555">
        <v>0.05</v>
      </c>
      <c r="R555" t="s">
        <v>79</v>
      </c>
      <c r="S555" s="5">
        <v>1.09827695245823E-6</v>
      </c>
      <c r="T555" s="5">
        <v>6.0225725703180397E-6</v>
      </c>
      <c r="U555" s="5">
        <v>9.6867635681086101E-6</v>
      </c>
      <c r="W555" s="5">
        <v>1.5012467519460701E-5</v>
      </c>
      <c r="Y555" s="5">
        <v>2.2511321067308799E-5</v>
      </c>
      <c r="Z555" s="5">
        <v>3.27768113324858E-5</v>
      </c>
      <c r="AA555" s="5">
        <v>4.64812179068336E-5</v>
      </c>
      <c r="AB555" s="5">
        <v>6.4370096182373002E-5</v>
      </c>
      <c r="AC555" s="5">
        <v>8.7254664142197606E-5</v>
      </c>
      <c r="AD555">
        <v>1.16002520770986E-4</v>
      </c>
      <c r="AE555">
        <v>1.5152715019437101E-4</v>
      </c>
      <c r="AF555">
        <v>1.9477665916176799E-4</v>
      </c>
      <c r="AG555">
        <v>2.4672216489027602E-4</v>
      </c>
      <c r="AH555">
        <v>3.0834620354317898E-4</v>
      </c>
      <c r="AI555">
        <v>3.8063147365349802E-4</v>
      </c>
      <c r="AJ555">
        <v>4.6455016923291001E-4</v>
      </c>
      <c r="AK555">
        <v>5.6105409837844803E-4</v>
      </c>
      <c r="AL555">
        <v>7.95470244680186E-4</v>
      </c>
      <c r="AV555">
        <v>18.002199999999998</v>
      </c>
      <c r="AW555">
        <v>1447.2738999999999</v>
      </c>
      <c r="AX555">
        <v>-104.82</v>
      </c>
      <c r="BG555">
        <v>0.55530000000000002</v>
      </c>
      <c r="BH555">
        <v>25534.522300000001</v>
      </c>
      <c r="BP555" t="s">
        <v>173</v>
      </c>
      <c r="BQ555" t="s">
        <v>525</v>
      </c>
      <c r="BR555" s="15"/>
      <c r="BT555" t="s">
        <v>84</v>
      </c>
      <c r="BU555" t="s">
        <v>526</v>
      </c>
      <c r="BV555" t="s">
        <v>527</v>
      </c>
      <c r="BW555" t="s">
        <v>528</v>
      </c>
    </row>
    <row r="556" spans="1:75" x14ac:dyDescent="0.75">
      <c r="A556" t="s">
        <v>532</v>
      </c>
      <c r="B556" t="s">
        <v>510</v>
      </c>
      <c r="C556" t="s">
        <v>533</v>
      </c>
      <c r="D556" t="s">
        <v>534</v>
      </c>
      <c r="E556" t="s">
        <v>534</v>
      </c>
      <c r="F556">
        <v>100</v>
      </c>
      <c r="H556" t="s">
        <v>78</v>
      </c>
      <c r="J556">
        <v>0.05</v>
      </c>
      <c r="R556" t="s">
        <v>79</v>
      </c>
      <c r="W556" s="5">
        <v>1.1483068613142599E-5</v>
      </c>
      <c r="Y556" s="5">
        <v>1.8326406929261799E-5</v>
      </c>
      <c r="Z556" s="5">
        <v>2.7838658865718901E-5</v>
      </c>
      <c r="AA556" s="5">
        <v>4.05471980314253E-5</v>
      </c>
      <c r="AB556" s="5">
        <v>5.6964351380549303E-5</v>
      </c>
      <c r="AC556" s="5">
        <v>7.7570604034441E-5</v>
      </c>
      <c r="AD556">
        <v>1.02801393117976E-4</v>
      </c>
      <c r="AE556">
        <v>1.3303761618074501E-4</v>
      </c>
      <c r="AF556">
        <v>1.68599639480825E-4</v>
      </c>
      <c r="AG556">
        <v>2.0974438813879399E-4</v>
      </c>
      <c r="AH556">
        <v>2.5666500364145898E-4</v>
      </c>
      <c r="AI556">
        <v>3.09492533169856E-4</v>
      </c>
      <c r="AJ556">
        <v>3.6829914277540298E-4</v>
      </c>
      <c r="AV556">
        <v>1.1508</v>
      </c>
      <c r="AW556">
        <v>745.94500000000005</v>
      </c>
      <c r="AX556">
        <v>-61.1</v>
      </c>
      <c r="BG556">
        <v>0.53249999999999997</v>
      </c>
      <c r="BH556">
        <v>13474.907800000001</v>
      </c>
      <c r="BO556">
        <v>65</v>
      </c>
      <c r="BP556" t="s">
        <v>173</v>
      </c>
      <c r="BQ556" t="s">
        <v>525</v>
      </c>
      <c r="BR556" s="15"/>
      <c r="BT556" t="s">
        <v>84</v>
      </c>
      <c r="BU556" t="s">
        <v>526</v>
      </c>
      <c r="BV556" t="s">
        <v>527</v>
      </c>
      <c r="BW556" t="s">
        <v>528</v>
      </c>
    </row>
    <row r="557" spans="1:75" x14ac:dyDescent="0.75">
      <c r="A557" t="s">
        <v>535</v>
      </c>
      <c r="B557" t="s">
        <v>510</v>
      </c>
      <c r="C557" t="s">
        <v>533</v>
      </c>
      <c r="D557" t="s">
        <v>536</v>
      </c>
      <c r="E557" t="s">
        <v>536</v>
      </c>
      <c r="F557">
        <v>100</v>
      </c>
      <c r="H557" t="s">
        <v>78</v>
      </c>
      <c r="J557">
        <v>0.05</v>
      </c>
      <c r="R557" t="s">
        <v>79</v>
      </c>
      <c r="W557" s="5">
        <v>1.9743741283006201E-5</v>
      </c>
      <c r="Y557" s="5">
        <v>3.1156152104184802E-5</v>
      </c>
      <c r="Z557" s="5">
        <v>4.68489298177307E-5</v>
      </c>
      <c r="AA557" s="5">
        <v>6.7610972707721198E-5</v>
      </c>
      <c r="AB557" s="5">
        <v>9.4194904002349906E-5</v>
      </c>
      <c r="AC557">
        <v>1.27293150807855E-4</v>
      </c>
      <c r="AD557">
        <v>1.6752004219735601E-4</v>
      </c>
      <c r="AE557">
        <v>2.1539981464247399E-4</v>
      </c>
      <c r="AF557">
        <v>2.7135995999418602E-4</v>
      </c>
      <c r="AG557">
        <v>3.35729110818007E-4</v>
      </c>
      <c r="AH557">
        <v>4.0873857320020802E-4</v>
      </c>
      <c r="AI557">
        <v>4.9052663584605097E-4</v>
      </c>
      <c r="AJ557">
        <v>5.8114486430592503E-4</v>
      </c>
      <c r="AV557">
        <v>1.5967</v>
      </c>
      <c r="AW557">
        <v>726.68389999999999</v>
      </c>
      <c r="AX557">
        <v>-60.98</v>
      </c>
      <c r="BG557">
        <v>0.52</v>
      </c>
      <c r="BH557">
        <v>14180.328</v>
      </c>
      <c r="BO557">
        <v>65</v>
      </c>
      <c r="BP557" t="s">
        <v>173</v>
      </c>
      <c r="BQ557" t="s">
        <v>525</v>
      </c>
      <c r="BR557" s="15"/>
      <c r="BT557" t="s">
        <v>84</v>
      </c>
      <c r="BU557" t="s">
        <v>526</v>
      </c>
      <c r="BV557" t="s">
        <v>527</v>
      </c>
      <c r="BW557" t="s">
        <v>528</v>
      </c>
    </row>
    <row r="558" spans="1:75" x14ac:dyDescent="0.75">
      <c r="A558" t="s">
        <v>537</v>
      </c>
      <c r="B558" t="s">
        <v>510</v>
      </c>
      <c r="C558" t="s">
        <v>533</v>
      </c>
      <c r="D558" t="s">
        <v>538</v>
      </c>
      <c r="E558" t="s">
        <v>538</v>
      </c>
      <c r="F558">
        <v>100</v>
      </c>
      <c r="H558" t="s">
        <v>78</v>
      </c>
      <c r="J558">
        <v>0.05</v>
      </c>
      <c r="R558" t="s">
        <v>79</v>
      </c>
      <c r="W558" s="5">
        <v>2.8558250478590401E-5</v>
      </c>
      <c r="Y558" s="5">
        <v>4.2614350701412601E-5</v>
      </c>
      <c r="Z558" s="5">
        <v>6.1114989303644903E-5</v>
      </c>
      <c r="AA558" s="5">
        <v>8.4706256830631806E-5</v>
      </c>
      <c r="AB558">
        <v>1.13982839577469E-4</v>
      </c>
      <c r="AC558">
        <v>1.49473104065475E-4</v>
      </c>
      <c r="AD558">
        <v>1.9162905033575899E-4</v>
      </c>
      <c r="AE558">
        <v>2.40820676537592E-4</v>
      </c>
      <c r="AF558">
        <v>2.97334102978882E-4</v>
      </c>
      <c r="AG558">
        <v>3.6137273321851601E-4</v>
      </c>
      <c r="AV558">
        <v>1.4355</v>
      </c>
      <c r="AW558">
        <v>738.71889999999996</v>
      </c>
      <c r="AX558">
        <v>-67.61</v>
      </c>
      <c r="BG558">
        <v>0.50409999999999999</v>
      </c>
      <c r="BH558">
        <v>10079.673199999999</v>
      </c>
      <c r="BO558">
        <v>65</v>
      </c>
      <c r="BP558" t="s">
        <v>173</v>
      </c>
      <c r="BQ558" t="s">
        <v>525</v>
      </c>
      <c r="BR558" s="15"/>
      <c r="BT558" t="s">
        <v>84</v>
      </c>
      <c r="BU558" t="s">
        <v>526</v>
      </c>
      <c r="BV558" t="s">
        <v>527</v>
      </c>
      <c r="BW558" t="s">
        <v>528</v>
      </c>
    </row>
    <row r="559" spans="1:75" x14ac:dyDescent="0.75">
      <c r="A559" t="s">
        <v>539</v>
      </c>
      <c r="B559" t="s">
        <v>540</v>
      </c>
      <c r="C559" t="s">
        <v>541</v>
      </c>
      <c r="D559" t="s">
        <v>542</v>
      </c>
      <c r="E559" t="s">
        <v>542</v>
      </c>
      <c r="F559">
        <v>100</v>
      </c>
      <c r="H559" t="s">
        <v>78</v>
      </c>
      <c r="J559">
        <v>0.05</v>
      </c>
      <c r="R559" t="s">
        <v>79</v>
      </c>
      <c r="Y559" s="5">
        <v>1.9365708842646999E-5</v>
      </c>
      <c r="Z559" s="5">
        <v>2.6025075042639101E-5</v>
      </c>
      <c r="AA559" s="5">
        <v>3.4150770011897103E-5</v>
      </c>
      <c r="AB559" s="5">
        <v>4.3877513983384398E-5</v>
      </c>
      <c r="AC559" s="5">
        <v>5.5325634628094802E-5</v>
      </c>
      <c r="AD559" s="5">
        <v>6.8599491500536503E-5</v>
      </c>
      <c r="AE559" s="5">
        <v>8.3786562226429096E-5</v>
      </c>
      <c r="AF559">
        <v>1.0095710177012E-4</v>
      </c>
      <c r="AG559">
        <v>1.2016427862021101E-4</v>
      </c>
      <c r="AH559">
        <v>1.4144469252201199E-4</v>
      </c>
      <c r="AI559">
        <v>1.6481918456216099E-4</v>
      </c>
      <c r="AJ559">
        <v>1.90293859714297E-4</v>
      </c>
      <c r="AK559">
        <v>2.17861252724354E-4</v>
      </c>
      <c r="AL559">
        <v>2.7918402517228898E-4</v>
      </c>
      <c r="AV559">
        <v>0.5494</v>
      </c>
      <c r="AW559">
        <v>863.46410000000003</v>
      </c>
      <c r="AX559">
        <v>-86.75</v>
      </c>
      <c r="BG559">
        <v>0.3463</v>
      </c>
      <c r="BH559">
        <v>13.248699999999999</v>
      </c>
      <c r="BP559" t="s">
        <v>173</v>
      </c>
      <c r="BQ559" t="s">
        <v>525</v>
      </c>
      <c r="BR559" s="15"/>
      <c r="BT559" t="s">
        <v>84</v>
      </c>
      <c r="BU559" t="s">
        <v>526</v>
      </c>
      <c r="BV559" t="s">
        <v>527</v>
      </c>
      <c r="BW559" t="s">
        <v>528</v>
      </c>
    </row>
    <row r="560" spans="1:75" x14ac:dyDescent="0.75">
      <c r="A560" t="s">
        <v>543</v>
      </c>
      <c r="B560" t="s">
        <v>426</v>
      </c>
      <c r="C560" t="s">
        <v>544</v>
      </c>
      <c r="D560" t="s">
        <v>545</v>
      </c>
      <c r="E560" t="s">
        <v>545</v>
      </c>
      <c r="F560">
        <v>100</v>
      </c>
      <c r="H560" t="s">
        <v>78</v>
      </c>
      <c r="J560">
        <v>0.05</v>
      </c>
      <c r="R560" t="s">
        <v>79</v>
      </c>
      <c r="S560" s="5">
        <v>2.3020511987390699E-6</v>
      </c>
      <c r="T560" s="5">
        <v>1.14753938135343E-5</v>
      </c>
      <c r="U560" s="5">
        <v>1.84811310061248E-5</v>
      </c>
      <c r="W560" s="5">
        <v>2.9013073015942002E-5</v>
      </c>
      <c r="Y560" s="5">
        <v>4.4486136013007098E-5</v>
      </c>
      <c r="Z560" s="5">
        <v>6.6741530881303101E-5</v>
      </c>
      <c r="AA560" s="5">
        <v>9.8131129400547202E-5</v>
      </c>
      <c r="AB560">
        <v>1.4160813695351601E-4</v>
      </c>
      <c r="AC560">
        <v>2.00822725847464E-4</v>
      </c>
      <c r="AD560">
        <v>2.8022107759477201E-4</v>
      </c>
      <c r="AE560">
        <v>3.8514613504197798E-4</v>
      </c>
      <c r="AF560">
        <v>5.2193827903237598E-4</v>
      </c>
      <c r="AG560">
        <v>6.9803411879795904E-4</v>
      </c>
      <c r="AH560">
        <v>9.2206161702290202E-4</v>
      </c>
      <c r="AI560">
        <v>1.20392985373965E-3</v>
      </c>
      <c r="AJ560">
        <v>1.55491186053921E-3</v>
      </c>
      <c r="AK560">
        <v>1.9877191196661899E-3</v>
      </c>
      <c r="AL560">
        <v>3.15722671212449E-3</v>
      </c>
      <c r="AV560">
        <v>10848.7312</v>
      </c>
      <c r="AW560">
        <v>3189.2159000000001</v>
      </c>
      <c r="AX560">
        <v>-163.81</v>
      </c>
      <c r="BG560">
        <v>0.66190000000000004</v>
      </c>
      <c r="BH560">
        <v>3540438.1176999998</v>
      </c>
      <c r="BO560">
        <v>75</v>
      </c>
      <c r="BP560" t="s">
        <v>173</v>
      </c>
      <c r="BQ560" t="s">
        <v>525</v>
      </c>
      <c r="BR560" s="15"/>
      <c r="BT560" t="s">
        <v>84</v>
      </c>
      <c r="BU560" t="s">
        <v>526</v>
      </c>
      <c r="BV560" t="s">
        <v>527</v>
      </c>
      <c r="BW560" t="s">
        <v>528</v>
      </c>
    </row>
    <row r="561" spans="1:75" x14ac:dyDescent="0.75">
      <c r="A561" t="s">
        <v>546</v>
      </c>
      <c r="B561" t="s">
        <v>426</v>
      </c>
      <c r="C561" t="s">
        <v>547</v>
      </c>
      <c r="D561" t="s">
        <v>548</v>
      </c>
      <c r="E561" t="s">
        <v>548</v>
      </c>
      <c r="F561">
        <v>100</v>
      </c>
      <c r="H561" t="s">
        <v>78</v>
      </c>
      <c r="J561">
        <v>0.05</v>
      </c>
      <c r="L561">
        <v>-50.69</v>
      </c>
      <c r="M561">
        <v>-60</v>
      </c>
      <c r="R561" t="s">
        <v>79</v>
      </c>
      <c r="W561" s="5">
        <v>2.9632849354848E-5</v>
      </c>
      <c r="Y561" s="5">
        <v>4.1907571629239403E-5</v>
      </c>
      <c r="Z561" s="5">
        <v>5.7683071849868398E-5</v>
      </c>
      <c r="AA561" s="5">
        <v>7.7508464279177296E-5</v>
      </c>
      <c r="AB561">
        <v>1.01933342843116E-4</v>
      </c>
      <c r="AC561">
        <v>1.3149730150845601E-4</v>
      </c>
      <c r="AD561">
        <v>1.6672055145397401E-4</v>
      </c>
      <c r="AE561">
        <v>2.08095841040787E-4</v>
      </c>
      <c r="AF561">
        <v>2.5608177745518098E-4</v>
      </c>
      <c r="AG561">
        <v>3.1109756328625399E-4</v>
      </c>
      <c r="AH561">
        <v>3.7351909692871299E-4</v>
      </c>
      <c r="AI561">
        <v>4.43676340559694E-4</v>
      </c>
      <c r="AJ561">
        <v>5.2185183066274599E-4</v>
      </c>
      <c r="AK561">
        <v>6.0828019053546002E-4</v>
      </c>
      <c r="AO561">
        <v>0.33</v>
      </c>
      <c r="AP561">
        <v>60</v>
      </c>
      <c r="AQ561" t="s">
        <v>549</v>
      </c>
      <c r="AV561">
        <v>3.7475000000000001</v>
      </c>
      <c r="AW561">
        <v>1071.19</v>
      </c>
      <c r="AX561">
        <v>-95.37</v>
      </c>
      <c r="AZ561">
        <v>4.8773</v>
      </c>
      <c r="BA561">
        <v>1150.9027000000001</v>
      </c>
      <c r="BB561">
        <v>-100.69</v>
      </c>
      <c r="BG561">
        <v>0.43519999999999998</v>
      </c>
      <c r="BH561">
        <v>739.0865</v>
      </c>
      <c r="BM561">
        <f>BO561/BN561</f>
        <v>2.5</v>
      </c>
      <c r="BN561">
        <v>50</v>
      </c>
      <c r="BO561">
        <v>125</v>
      </c>
      <c r="BP561" t="s">
        <v>82</v>
      </c>
      <c r="BQ561" t="s">
        <v>525</v>
      </c>
      <c r="BR561" s="15"/>
      <c r="BT561" t="s">
        <v>84</v>
      </c>
      <c r="BU561" t="s">
        <v>550</v>
      </c>
      <c r="BV561" t="s">
        <v>527</v>
      </c>
      <c r="BW561" t="s">
        <v>528</v>
      </c>
    </row>
    <row r="562" spans="1:75" x14ac:dyDescent="0.75">
      <c r="A562" t="s">
        <v>551</v>
      </c>
      <c r="B562" t="s">
        <v>426</v>
      </c>
      <c r="C562" t="s">
        <v>547</v>
      </c>
      <c r="D562" t="s">
        <v>548</v>
      </c>
      <c r="E562" t="s">
        <v>548</v>
      </c>
      <c r="F562">
        <v>100</v>
      </c>
      <c r="H562" t="s">
        <v>78</v>
      </c>
      <c r="J562">
        <v>6.7000000000000004E-2</v>
      </c>
      <c r="L562">
        <v>-48.36</v>
      </c>
      <c r="M562">
        <v>-60</v>
      </c>
      <c r="R562" t="s">
        <v>79</v>
      </c>
      <c r="AA562">
        <v>1.1939881044642729E-4</v>
      </c>
      <c r="AO562">
        <v>0.35</v>
      </c>
      <c r="AP562">
        <v>60</v>
      </c>
      <c r="AQ562" t="s">
        <v>549</v>
      </c>
      <c r="BM562">
        <f t="shared" ref="BM562:BM564" si="23">BO562/BN562</f>
        <v>2.5</v>
      </c>
      <c r="BN562">
        <v>50</v>
      </c>
      <c r="BO562">
        <v>125</v>
      </c>
      <c r="BP562" t="s">
        <v>173</v>
      </c>
      <c r="BQ562" t="s">
        <v>525</v>
      </c>
      <c r="BR562" s="15"/>
      <c r="BT562" t="s">
        <v>84</v>
      </c>
      <c r="BU562" t="s">
        <v>550</v>
      </c>
      <c r="BV562" t="s">
        <v>527</v>
      </c>
      <c r="BW562" t="s">
        <v>528</v>
      </c>
    </row>
    <row r="563" spans="1:75" x14ac:dyDescent="0.75">
      <c r="A563" t="s">
        <v>552</v>
      </c>
      <c r="B563" t="s">
        <v>426</v>
      </c>
      <c r="C563" t="s">
        <v>547</v>
      </c>
      <c r="D563" t="s">
        <v>548</v>
      </c>
      <c r="E563" t="s">
        <v>548</v>
      </c>
      <c r="F563">
        <v>100</v>
      </c>
      <c r="H563" t="s">
        <v>78</v>
      </c>
      <c r="J563">
        <v>0.125</v>
      </c>
      <c r="M563">
        <v>-60</v>
      </c>
      <c r="R563" t="s">
        <v>79</v>
      </c>
      <c r="AA563">
        <v>6.2950618285719781E-5</v>
      </c>
      <c r="AO563">
        <v>0.22</v>
      </c>
      <c r="AP563">
        <v>60</v>
      </c>
      <c r="AQ563" t="s">
        <v>549</v>
      </c>
      <c r="BM563">
        <f t="shared" si="23"/>
        <v>2.5</v>
      </c>
      <c r="BN563">
        <v>50</v>
      </c>
      <c r="BO563">
        <v>125</v>
      </c>
      <c r="BP563" t="s">
        <v>173</v>
      </c>
      <c r="BQ563" t="s">
        <v>525</v>
      </c>
      <c r="BR563" s="15"/>
      <c r="BT563" t="s">
        <v>84</v>
      </c>
      <c r="BU563" t="s">
        <v>550</v>
      </c>
      <c r="BV563" t="s">
        <v>527</v>
      </c>
      <c r="BW563" t="s">
        <v>528</v>
      </c>
    </row>
    <row r="564" spans="1:75" x14ac:dyDescent="0.75">
      <c r="A564" s="1" t="s">
        <v>553</v>
      </c>
      <c r="B564" s="1" t="s">
        <v>426</v>
      </c>
      <c r="C564" s="1" t="s">
        <v>547</v>
      </c>
      <c r="D564" s="1" t="s">
        <v>548</v>
      </c>
      <c r="E564" s="1" t="s">
        <v>548</v>
      </c>
      <c r="F564" s="1">
        <v>100</v>
      </c>
      <c r="G564" s="1"/>
      <c r="H564" s="1" t="s">
        <v>91</v>
      </c>
      <c r="I564" s="1"/>
      <c r="J564" s="1">
        <v>0.05</v>
      </c>
      <c r="K564" s="1"/>
      <c r="L564" s="1"/>
      <c r="M564" s="1">
        <v>-60</v>
      </c>
      <c r="N564" s="1"/>
      <c r="O564" s="1"/>
      <c r="P564" s="1"/>
      <c r="Q564" s="1"/>
      <c r="R564" s="1" t="s">
        <v>79</v>
      </c>
      <c r="S564" s="1"/>
      <c r="T564" s="1"/>
      <c r="U564" s="1"/>
      <c r="V564" s="1"/>
      <c r="W564" s="1"/>
      <c r="X564" s="1"/>
      <c r="Y564" s="1"/>
      <c r="Z564" s="1"/>
      <c r="AA564" s="1">
        <v>2.9174270140011637E-5</v>
      </c>
      <c r="AB564" s="1"/>
      <c r="AC564" s="1"/>
      <c r="AD564" s="1"/>
      <c r="AE564" s="1"/>
      <c r="AF564" s="1"/>
      <c r="AG564" s="1"/>
      <c r="AH564" s="1"/>
      <c r="AI564" s="1"/>
      <c r="AJ564" s="1"/>
      <c r="AK564" s="1"/>
      <c r="AL564" s="1"/>
      <c r="AM564" s="1"/>
      <c r="AN564" s="1"/>
      <c r="AO564" s="1">
        <v>0.05</v>
      </c>
      <c r="AP564" s="1">
        <v>60</v>
      </c>
      <c r="AQ564" s="1" t="s">
        <v>549</v>
      </c>
      <c r="AR564" s="1"/>
      <c r="AS564" s="1"/>
      <c r="AT564" s="1"/>
      <c r="AU564" s="1"/>
      <c r="AV564" s="1"/>
      <c r="AW564" s="1"/>
      <c r="AX564" s="1"/>
      <c r="AY564" s="1"/>
      <c r="AZ564" s="1"/>
      <c r="BA564" s="1"/>
      <c r="BB564" s="1"/>
      <c r="BC564" s="1"/>
      <c r="BD564" s="1"/>
      <c r="BE564" s="1"/>
      <c r="BF564" s="1"/>
      <c r="BG564" s="1"/>
      <c r="BH564" s="1"/>
      <c r="BI564" s="1"/>
      <c r="BJ564" s="1"/>
      <c r="BK564" s="1"/>
      <c r="BL564" s="1"/>
      <c r="BM564" s="1">
        <f t="shared" si="23"/>
        <v>2.5</v>
      </c>
      <c r="BN564" s="1">
        <v>50</v>
      </c>
      <c r="BO564" s="1">
        <v>125</v>
      </c>
      <c r="BP564" s="1" t="s">
        <v>173</v>
      </c>
      <c r="BQ564" t="s">
        <v>525</v>
      </c>
      <c r="BR564" s="15"/>
      <c r="BS564" s="1"/>
      <c r="BT564" s="1" t="s">
        <v>84</v>
      </c>
      <c r="BU564" s="1" t="s">
        <v>550</v>
      </c>
      <c r="BV564" s="1" t="s">
        <v>527</v>
      </c>
      <c r="BW564" t="s">
        <v>528</v>
      </c>
    </row>
    <row r="565" spans="1:75" x14ac:dyDescent="0.75">
      <c r="A565" t="s">
        <v>554</v>
      </c>
      <c r="B565" s="11" t="s">
        <v>555</v>
      </c>
      <c r="C565" t="s">
        <v>556</v>
      </c>
      <c r="D565" t="s">
        <v>557</v>
      </c>
      <c r="E565" t="s">
        <v>557</v>
      </c>
      <c r="F565">
        <v>100</v>
      </c>
      <c r="G565">
        <v>1</v>
      </c>
      <c r="H565" t="s">
        <v>78</v>
      </c>
      <c r="J565">
        <v>8.5000000000000006E-2</v>
      </c>
      <c r="L565">
        <v>52.2</v>
      </c>
      <c r="M565">
        <v>38.6</v>
      </c>
      <c r="R565" t="s">
        <v>79</v>
      </c>
      <c r="AC565" s="5">
        <v>8.5314945100601897E-8</v>
      </c>
      <c r="AD565" s="5">
        <v>1.5348845792152999E-7</v>
      </c>
      <c r="AE565" s="5">
        <v>2.6632171709621998E-7</v>
      </c>
      <c r="AF565" s="5">
        <v>4.4711290385637898E-7</v>
      </c>
      <c r="AG565" s="5">
        <v>7.2835982636524796E-7</v>
      </c>
      <c r="AH565" s="5">
        <v>1.1542309887221101E-6</v>
      </c>
      <c r="AI565" s="5">
        <v>1.78335381430137E-6</v>
      </c>
      <c r="AJ565" s="5">
        <v>2.69188516947398E-6</v>
      </c>
      <c r="AK565" s="5">
        <v>3.9768158991893897E-6</v>
      </c>
      <c r="AL565" s="5">
        <v>8.1889888195562398E-6</v>
      </c>
      <c r="AV565">
        <v>247.9134</v>
      </c>
      <c r="BG565">
        <v>0.94769999999999999</v>
      </c>
      <c r="BH565">
        <v>56094067.204400003</v>
      </c>
      <c r="BO565">
        <v>2.3624999999999998</v>
      </c>
      <c r="BP565" t="s">
        <v>173</v>
      </c>
      <c r="BQ565" t="s">
        <v>125</v>
      </c>
      <c r="BR565">
        <v>100</v>
      </c>
      <c r="BS565">
        <v>48</v>
      </c>
      <c r="BT565" t="s">
        <v>84</v>
      </c>
      <c r="BV565" t="s">
        <v>558</v>
      </c>
      <c r="BW565" t="s">
        <v>698</v>
      </c>
    </row>
    <row r="566" spans="1:75" x14ac:dyDescent="0.75">
      <c r="A566" t="s">
        <v>559</v>
      </c>
      <c r="B566" t="s">
        <v>555</v>
      </c>
      <c r="C566" t="s">
        <v>560</v>
      </c>
      <c r="D566" t="s">
        <v>561</v>
      </c>
      <c r="E566" t="s">
        <v>561</v>
      </c>
      <c r="F566">
        <v>100</v>
      </c>
      <c r="G566">
        <v>2</v>
      </c>
      <c r="H566" t="s">
        <v>78</v>
      </c>
      <c r="J566">
        <v>8.5000000000000006E-2</v>
      </c>
      <c r="L566">
        <v>9.9</v>
      </c>
      <c r="M566">
        <v>-6.8</v>
      </c>
      <c r="R566" t="s">
        <v>79</v>
      </c>
      <c r="AA566" s="5">
        <v>2.37942733823135E-6</v>
      </c>
      <c r="AB566" s="5">
        <v>4.06753825718205E-6</v>
      </c>
      <c r="AC566" s="5">
        <v>6.5806298121619496E-6</v>
      </c>
      <c r="AD566" s="5">
        <v>1.0156671834295401E-5</v>
      </c>
      <c r="AE566" s="5">
        <v>1.50527282870127E-5</v>
      </c>
      <c r="AF566" s="5">
        <v>2.1537317393252201E-5</v>
      </c>
      <c r="AG566" s="5">
        <v>2.9882683469176199E-5</v>
      </c>
      <c r="AH566" s="5">
        <v>4.03574901774042E-5</v>
      </c>
      <c r="AI566" s="5">
        <v>5.3220294870592701E-5</v>
      </c>
      <c r="AJ566" s="5">
        <v>6.8714022541548997E-5</v>
      </c>
      <c r="AK566" s="5">
        <v>8.7061538767753405E-5</v>
      </c>
      <c r="AL566">
        <v>1.3309022465928999E-4</v>
      </c>
      <c r="AV566">
        <v>1.1107</v>
      </c>
      <c r="AW566">
        <v>901.49069999999995</v>
      </c>
      <c r="AX566">
        <v>-48.55</v>
      </c>
      <c r="AZ566">
        <v>0.6099</v>
      </c>
      <c r="BA566">
        <v>769.34820000000002</v>
      </c>
      <c r="BB566">
        <v>-40.1</v>
      </c>
      <c r="BG566">
        <v>0.67020000000000002</v>
      </c>
      <c r="BH566">
        <v>179516.43479999999</v>
      </c>
      <c r="BO566">
        <v>3.2427999999999999</v>
      </c>
      <c r="BP566" t="s">
        <v>173</v>
      </c>
      <c r="BQ566" t="s">
        <v>125</v>
      </c>
      <c r="BR566">
        <v>100</v>
      </c>
      <c r="BS566">
        <v>48</v>
      </c>
      <c r="BT566" t="s">
        <v>84</v>
      </c>
      <c r="BV566" t="s">
        <v>558</v>
      </c>
      <c r="BW566" t="s">
        <v>698</v>
      </c>
    </row>
    <row r="567" spans="1:75" x14ac:dyDescent="0.75">
      <c r="A567" t="s">
        <v>562</v>
      </c>
      <c r="B567" t="s">
        <v>555</v>
      </c>
      <c r="C567" t="s">
        <v>563</v>
      </c>
      <c r="D567" t="s">
        <v>564</v>
      </c>
      <c r="E567" t="s">
        <v>564</v>
      </c>
      <c r="F567">
        <v>100</v>
      </c>
      <c r="G567">
        <v>3</v>
      </c>
      <c r="H567" t="s">
        <v>78</v>
      </c>
      <c r="J567">
        <v>8.5000000000000006E-2</v>
      </c>
      <c r="L567">
        <v>-2.4</v>
      </c>
      <c r="M567">
        <v>-26.4</v>
      </c>
      <c r="R567" t="s">
        <v>79</v>
      </c>
      <c r="AA567" s="5">
        <v>5.81132766094152E-6</v>
      </c>
      <c r="AB567" s="5">
        <v>9.13494715110959E-6</v>
      </c>
      <c r="AC567" s="5">
        <v>1.3885131379893199E-5</v>
      </c>
      <c r="AD567" s="5">
        <v>2.0481291523358899E-5</v>
      </c>
      <c r="AE567" s="5">
        <v>2.9408065000358002E-5</v>
      </c>
      <c r="AF567" s="5">
        <v>4.1213443337725302E-5</v>
      </c>
      <c r="AG567" s="5">
        <v>5.6505109158454298E-5</v>
      </c>
      <c r="AH567" s="5">
        <v>7.5945207874144295E-5</v>
      </c>
      <c r="AI567">
        <v>1.00243829311795E-4</v>
      </c>
      <c r="AJ567">
        <v>1.3015149905201199E-4</v>
      </c>
      <c r="AK567">
        <v>1.6645098268849E-4</v>
      </c>
      <c r="AL567">
        <v>2.6146596656159297E-4</v>
      </c>
      <c r="AV567">
        <v>18.606100000000001</v>
      </c>
      <c r="AW567">
        <v>1531.6031</v>
      </c>
      <c r="AX567">
        <v>-86.52</v>
      </c>
      <c r="AZ567">
        <v>1.9219999999999999</v>
      </c>
      <c r="BA567">
        <v>914.39660000000003</v>
      </c>
      <c r="BB567">
        <v>-52.4</v>
      </c>
      <c r="BG567">
        <v>0.63670000000000004</v>
      </c>
      <c r="BH567">
        <v>116160.1289</v>
      </c>
      <c r="BO567">
        <v>4.1276999999999999</v>
      </c>
      <c r="BP567" t="s">
        <v>173</v>
      </c>
      <c r="BQ567" t="s">
        <v>125</v>
      </c>
      <c r="BR567">
        <v>100</v>
      </c>
      <c r="BS567">
        <v>48</v>
      </c>
      <c r="BT567" t="s">
        <v>84</v>
      </c>
      <c r="BV567" t="s">
        <v>558</v>
      </c>
      <c r="BW567" t="s">
        <v>698</v>
      </c>
    </row>
    <row r="568" spans="1:75" x14ac:dyDescent="0.75">
      <c r="A568" t="s">
        <v>559</v>
      </c>
      <c r="B568" t="s">
        <v>555</v>
      </c>
      <c r="C568" t="s">
        <v>560</v>
      </c>
      <c r="D568" t="s">
        <v>561</v>
      </c>
      <c r="E568" t="s">
        <v>561</v>
      </c>
      <c r="F568">
        <v>100</v>
      </c>
      <c r="G568">
        <v>2</v>
      </c>
      <c r="H568" t="s">
        <v>78</v>
      </c>
      <c r="J568">
        <v>1.9879999999999998E-2</v>
      </c>
      <c r="L568">
        <v>0.82599999999999996</v>
      </c>
      <c r="M568">
        <v>-6.8</v>
      </c>
      <c r="R568" t="s">
        <v>79</v>
      </c>
      <c r="AC568">
        <v>1.5409999999999999E-6</v>
      </c>
      <c r="AK568">
        <v>2.9030000000000002E-5</v>
      </c>
      <c r="BO568">
        <v>3.2427999999999999</v>
      </c>
      <c r="BP568" t="s">
        <v>173</v>
      </c>
      <c r="BQ568" t="s">
        <v>125</v>
      </c>
      <c r="BR568">
        <v>100</v>
      </c>
      <c r="BS568">
        <v>48</v>
      </c>
      <c r="BT568" t="s">
        <v>84</v>
      </c>
      <c r="BV568" t="s">
        <v>558</v>
      </c>
      <c r="BW568" t="s">
        <v>698</v>
      </c>
    </row>
    <row r="569" spans="1:75" x14ac:dyDescent="0.75">
      <c r="A569" t="s">
        <v>559</v>
      </c>
      <c r="B569" t="s">
        <v>555</v>
      </c>
      <c r="C569" t="s">
        <v>560</v>
      </c>
      <c r="D569" t="s">
        <v>561</v>
      </c>
      <c r="E569" t="s">
        <v>561</v>
      </c>
      <c r="F569">
        <v>100</v>
      </c>
      <c r="G569">
        <v>2</v>
      </c>
      <c r="H569" t="s">
        <v>78</v>
      </c>
      <c r="J569">
        <v>3.9969999999999999E-2</v>
      </c>
      <c r="L569">
        <v>3.601</v>
      </c>
      <c r="M569">
        <v>-6.8</v>
      </c>
      <c r="R569" t="s">
        <v>79</v>
      </c>
      <c r="AC569">
        <v>1.48E-6</v>
      </c>
      <c r="AK569">
        <v>2.6789999999999999E-5</v>
      </c>
      <c r="BO569">
        <v>3.2427999999999999</v>
      </c>
      <c r="BP569" t="s">
        <v>173</v>
      </c>
      <c r="BQ569" t="s">
        <v>125</v>
      </c>
      <c r="BR569">
        <v>100</v>
      </c>
      <c r="BS569">
        <v>48</v>
      </c>
      <c r="BT569" t="s">
        <v>84</v>
      </c>
      <c r="BV569" t="s">
        <v>558</v>
      </c>
      <c r="BW569" t="s">
        <v>698</v>
      </c>
    </row>
    <row r="570" spans="1:75" x14ac:dyDescent="0.75">
      <c r="A570" t="s">
        <v>559</v>
      </c>
      <c r="B570" t="s">
        <v>555</v>
      </c>
      <c r="C570" t="s">
        <v>560</v>
      </c>
      <c r="D570" t="s">
        <v>561</v>
      </c>
      <c r="E570" t="s">
        <v>561</v>
      </c>
      <c r="F570">
        <v>100</v>
      </c>
      <c r="G570">
        <v>2</v>
      </c>
      <c r="H570" t="s">
        <v>78</v>
      </c>
      <c r="J570">
        <v>0.1201</v>
      </c>
      <c r="L570">
        <v>11.23</v>
      </c>
      <c r="M570">
        <v>-6.8</v>
      </c>
      <c r="R570" t="s">
        <v>79</v>
      </c>
      <c r="AC570">
        <v>6.8240000000000002E-6</v>
      </c>
      <c r="AK570">
        <v>9.6059999999999998E-5</v>
      </c>
      <c r="BO570">
        <v>3.2427999999999999</v>
      </c>
      <c r="BP570" t="s">
        <v>173</v>
      </c>
      <c r="BQ570" t="s">
        <v>125</v>
      </c>
      <c r="BR570">
        <v>100</v>
      </c>
      <c r="BS570">
        <v>48</v>
      </c>
      <c r="BT570" t="s">
        <v>84</v>
      </c>
      <c r="BV570" t="s">
        <v>558</v>
      </c>
      <c r="BW570" t="s">
        <v>698</v>
      </c>
    </row>
    <row r="571" spans="1:75" x14ac:dyDescent="0.75">
      <c r="A571" t="s">
        <v>559</v>
      </c>
      <c r="B571" t="s">
        <v>555</v>
      </c>
      <c r="C571" t="s">
        <v>560</v>
      </c>
      <c r="D571" t="s">
        <v>561</v>
      </c>
      <c r="E571" t="s">
        <v>561</v>
      </c>
      <c r="F571">
        <v>100</v>
      </c>
      <c r="G571">
        <v>2</v>
      </c>
      <c r="H571" t="s">
        <v>78</v>
      </c>
      <c r="J571">
        <v>0.16009999999999999</v>
      </c>
      <c r="L571">
        <v>12.03</v>
      </c>
      <c r="M571">
        <v>-6.8</v>
      </c>
      <c r="R571" t="s">
        <v>79</v>
      </c>
      <c r="AC571">
        <v>4.9969999999999998E-6</v>
      </c>
      <c r="AK571">
        <v>7.2490000000000006E-5</v>
      </c>
      <c r="BO571">
        <v>3.2427999999999999</v>
      </c>
      <c r="BP571" t="s">
        <v>173</v>
      </c>
      <c r="BQ571" t="s">
        <v>125</v>
      </c>
      <c r="BR571">
        <v>100</v>
      </c>
      <c r="BS571">
        <v>48</v>
      </c>
      <c r="BT571" t="s">
        <v>84</v>
      </c>
      <c r="BV571" t="s">
        <v>558</v>
      </c>
      <c r="BW571" t="s">
        <v>698</v>
      </c>
    </row>
    <row r="572" spans="1:75" x14ac:dyDescent="0.75">
      <c r="A572" t="s">
        <v>559</v>
      </c>
      <c r="B572" t="s">
        <v>555</v>
      </c>
      <c r="C572" t="s">
        <v>560</v>
      </c>
      <c r="D572" t="s">
        <v>561</v>
      </c>
      <c r="E572" t="s">
        <v>561</v>
      </c>
      <c r="F572">
        <v>100</v>
      </c>
      <c r="G572">
        <v>2</v>
      </c>
      <c r="H572" t="s">
        <v>78</v>
      </c>
      <c r="J572">
        <v>0.20030000000000001</v>
      </c>
      <c r="L572">
        <v>20.350000000000001</v>
      </c>
      <c r="M572">
        <v>-6.8</v>
      </c>
      <c r="R572" t="s">
        <v>79</v>
      </c>
      <c r="AC572">
        <v>1.223E-6</v>
      </c>
      <c r="AK572">
        <v>3.7329999999999997E-5</v>
      </c>
      <c r="BO572">
        <v>3.2427999999999999</v>
      </c>
      <c r="BP572" t="s">
        <v>173</v>
      </c>
      <c r="BQ572" t="s">
        <v>125</v>
      </c>
      <c r="BR572">
        <v>100</v>
      </c>
      <c r="BS572">
        <v>48</v>
      </c>
      <c r="BT572" t="s">
        <v>84</v>
      </c>
      <c r="BV572" t="s">
        <v>558</v>
      </c>
      <c r="BW572" t="s">
        <v>698</v>
      </c>
    </row>
    <row r="573" spans="1:75" x14ac:dyDescent="0.75">
      <c r="A573" t="s">
        <v>559</v>
      </c>
      <c r="B573" t="s">
        <v>555</v>
      </c>
      <c r="C573" t="s">
        <v>560</v>
      </c>
      <c r="D573" t="s">
        <v>561</v>
      </c>
      <c r="E573" t="s">
        <v>561</v>
      </c>
      <c r="F573">
        <v>100</v>
      </c>
      <c r="G573">
        <v>2</v>
      </c>
      <c r="H573" t="s">
        <v>78</v>
      </c>
      <c r="J573">
        <v>0.24010000000000001</v>
      </c>
      <c r="L573">
        <v>22.73</v>
      </c>
      <c r="M573">
        <v>-6.8</v>
      </c>
      <c r="R573" t="s">
        <v>79</v>
      </c>
      <c r="AC573">
        <v>1.1170000000000001E-6</v>
      </c>
      <c r="AK573">
        <v>3.6959999999999998E-5</v>
      </c>
      <c r="BO573">
        <v>3.2427999999999999</v>
      </c>
      <c r="BP573" t="s">
        <v>173</v>
      </c>
      <c r="BQ573" t="s">
        <v>125</v>
      </c>
      <c r="BR573">
        <v>100</v>
      </c>
      <c r="BS573">
        <v>48</v>
      </c>
      <c r="BT573" t="s">
        <v>84</v>
      </c>
      <c r="BV573" t="s">
        <v>558</v>
      </c>
      <c r="BW573" t="s">
        <v>698</v>
      </c>
    </row>
    <row r="574" spans="1:75" x14ac:dyDescent="0.75">
      <c r="A574" t="s">
        <v>562</v>
      </c>
      <c r="B574" t="s">
        <v>555</v>
      </c>
      <c r="C574" t="s">
        <v>563</v>
      </c>
      <c r="D574" t="s">
        <v>564</v>
      </c>
      <c r="E574" t="s">
        <v>564</v>
      </c>
      <c r="F574">
        <v>100</v>
      </c>
      <c r="G574">
        <v>3</v>
      </c>
      <c r="H574" t="s">
        <v>78</v>
      </c>
      <c r="J574">
        <v>1.9879999999999998E-2</v>
      </c>
      <c r="L574">
        <v>-21.38</v>
      </c>
      <c r="M574">
        <v>-26.4</v>
      </c>
      <c r="R574" t="s">
        <v>79</v>
      </c>
      <c r="AC574">
        <v>7.3220000000000004E-6</v>
      </c>
      <c r="AK574">
        <v>6.1099999999999994E-5</v>
      </c>
      <c r="BO574">
        <v>4.1276999999999999</v>
      </c>
      <c r="BP574" t="s">
        <v>173</v>
      </c>
      <c r="BQ574" t="s">
        <v>125</v>
      </c>
      <c r="BR574">
        <v>100</v>
      </c>
      <c r="BS574">
        <v>48</v>
      </c>
      <c r="BT574" t="s">
        <v>84</v>
      </c>
      <c r="BV574" t="s">
        <v>558</v>
      </c>
      <c r="BW574" t="s">
        <v>698</v>
      </c>
    </row>
    <row r="575" spans="1:75" x14ac:dyDescent="0.75">
      <c r="A575" t="s">
        <v>562</v>
      </c>
      <c r="B575" t="s">
        <v>555</v>
      </c>
      <c r="C575" t="s">
        <v>563</v>
      </c>
      <c r="D575" t="s">
        <v>564</v>
      </c>
      <c r="E575" t="s">
        <v>564</v>
      </c>
      <c r="F575">
        <v>100</v>
      </c>
      <c r="G575">
        <v>3</v>
      </c>
      <c r="H575" t="s">
        <v>78</v>
      </c>
      <c r="J575">
        <v>3.9969999999999999E-2</v>
      </c>
      <c r="L575">
        <v>-16.72</v>
      </c>
      <c r="M575">
        <v>-26.4</v>
      </c>
      <c r="R575" t="s">
        <v>79</v>
      </c>
      <c r="AC575">
        <v>1.9029999999999999E-5</v>
      </c>
      <c r="AK575">
        <v>1.7039999999999999E-4</v>
      </c>
      <c r="BO575">
        <v>4.1276999999999999</v>
      </c>
      <c r="BP575" t="s">
        <v>173</v>
      </c>
      <c r="BQ575" t="s">
        <v>125</v>
      </c>
      <c r="BR575">
        <v>100</v>
      </c>
      <c r="BS575">
        <v>48</v>
      </c>
      <c r="BT575" t="s">
        <v>84</v>
      </c>
      <c r="BV575" t="s">
        <v>558</v>
      </c>
      <c r="BW575" t="s">
        <v>698</v>
      </c>
    </row>
    <row r="576" spans="1:75" x14ac:dyDescent="0.75">
      <c r="A576" t="s">
        <v>562</v>
      </c>
      <c r="B576" t="s">
        <v>555</v>
      </c>
      <c r="C576" t="s">
        <v>563</v>
      </c>
      <c r="D576" t="s">
        <v>564</v>
      </c>
      <c r="E576" t="s">
        <v>564</v>
      </c>
      <c r="F576">
        <v>100</v>
      </c>
      <c r="G576">
        <v>3</v>
      </c>
      <c r="H576" t="s">
        <v>78</v>
      </c>
      <c r="J576">
        <v>0.1201</v>
      </c>
      <c r="L576">
        <v>6.1779999999999999</v>
      </c>
      <c r="M576">
        <v>-26.4</v>
      </c>
      <c r="R576" t="s">
        <v>79</v>
      </c>
      <c r="AC576">
        <v>1.2989999999999999E-5</v>
      </c>
      <c r="AK576">
        <v>2.3269999999999999E-4</v>
      </c>
      <c r="BO576">
        <v>4.1276999999999999</v>
      </c>
      <c r="BP576" t="s">
        <v>173</v>
      </c>
      <c r="BQ576" t="s">
        <v>125</v>
      </c>
      <c r="BR576">
        <v>100</v>
      </c>
      <c r="BS576">
        <v>48</v>
      </c>
      <c r="BT576" t="s">
        <v>84</v>
      </c>
      <c r="BV576" t="s">
        <v>558</v>
      </c>
      <c r="BW576" t="s">
        <v>698</v>
      </c>
    </row>
    <row r="577" spans="1:75" x14ac:dyDescent="0.75">
      <c r="A577" t="s">
        <v>562</v>
      </c>
      <c r="B577" t="s">
        <v>555</v>
      </c>
      <c r="C577" t="s">
        <v>563</v>
      </c>
      <c r="D577" t="s">
        <v>564</v>
      </c>
      <c r="E577" t="s">
        <v>564</v>
      </c>
      <c r="F577">
        <v>100</v>
      </c>
      <c r="G577">
        <v>3</v>
      </c>
      <c r="H577" t="s">
        <v>78</v>
      </c>
      <c r="J577">
        <v>0.16009999999999999</v>
      </c>
      <c r="L577">
        <v>17.48</v>
      </c>
      <c r="M577">
        <v>-26.4</v>
      </c>
      <c r="R577" t="s">
        <v>79</v>
      </c>
      <c r="AC577">
        <v>2.3740000000000001E-6</v>
      </c>
      <c r="AK577">
        <v>4.7519999999999999E-5</v>
      </c>
      <c r="BO577">
        <v>4.1276999999999999</v>
      </c>
      <c r="BP577" t="s">
        <v>173</v>
      </c>
      <c r="BQ577" t="s">
        <v>125</v>
      </c>
      <c r="BR577">
        <v>100</v>
      </c>
      <c r="BS577">
        <v>48</v>
      </c>
      <c r="BT577" t="s">
        <v>84</v>
      </c>
      <c r="BV577" t="s">
        <v>558</v>
      </c>
      <c r="BW577" t="s">
        <v>698</v>
      </c>
    </row>
    <row r="578" spans="1:75" x14ac:dyDescent="0.75">
      <c r="A578" t="s">
        <v>562</v>
      </c>
      <c r="B578" t="s">
        <v>555</v>
      </c>
      <c r="C578" t="s">
        <v>563</v>
      </c>
      <c r="D578" t="s">
        <v>564</v>
      </c>
      <c r="E578" t="s">
        <v>564</v>
      </c>
      <c r="F578">
        <v>100</v>
      </c>
      <c r="G578">
        <v>3</v>
      </c>
      <c r="H578" t="s">
        <v>78</v>
      </c>
      <c r="J578">
        <v>0.2001</v>
      </c>
      <c r="L578">
        <v>29.87</v>
      </c>
      <c r="M578">
        <v>-26.4</v>
      </c>
      <c r="R578" t="s">
        <v>79</v>
      </c>
      <c r="AC578" s="5">
        <v>4.7999999999999996E-7</v>
      </c>
      <c r="AK578">
        <v>2.497E-5</v>
      </c>
      <c r="BO578">
        <v>4.1276999999999999</v>
      </c>
      <c r="BP578" t="s">
        <v>173</v>
      </c>
      <c r="BQ578" t="s">
        <v>125</v>
      </c>
      <c r="BR578">
        <v>100</v>
      </c>
      <c r="BS578">
        <v>48</v>
      </c>
      <c r="BT578" t="s">
        <v>84</v>
      </c>
      <c r="BV578" t="s">
        <v>558</v>
      </c>
      <c r="BW578" t="s">
        <v>698</v>
      </c>
    </row>
    <row r="579" spans="1:75" x14ac:dyDescent="0.75">
      <c r="A579" s="1" t="s">
        <v>562</v>
      </c>
      <c r="B579" s="1" t="s">
        <v>555</v>
      </c>
      <c r="C579" s="1" t="s">
        <v>563</v>
      </c>
      <c r="D579" s="1" t="s">
        <v>564</v>
      </c>
      <c r="E579" s="1" t="s">
        <v>564</v>
      </c>
      <c r="F579">
        <v>100</v>
      </c>
      <c r="G579" s="1">
        <v>3</v>
      </c>
      <c r="H579" s="1" t="s">
        <v>78</v>
      </c>
      <c r="I579" s="1"/>
      <c r="J579" s="1">
        <v>0.24010000000000001</v>
      </c>
      <c r="K579" s="1"/>
      <c r="L579" s="1">
        <v>40.770000000000003</v>
      </c>
      <c r="M579" s="1">
        <v>-26.4</v>
      </c>
      <c r="N579" s="1"/>
      <c r="O579" s="1"/>
      <c r="P579" s="1"/>
      <c r="Q579" s="1"/>
      <c r="R579" s="1" t="s">
        <v>79</v>
      </c>
      <c r="S579" s="1"/>
      <c r="T579" s="1"/>
      <c r="U579" s="1"/>
      <c r="V579" s="1"/>
      <c r="W579" s="1"/>
      <c r="X579" s="1"/>
      <c r="Y579" s="1"/>
      <c r="Z579" s="1"/>
      <c r="AA579" s="1"/>
      <c r="AB579" s="1"/>
      <c r="AC579" s="3">
        <v>3.0219999999999999E-7</v>
      </c>
      <c r="AD579" s="1"/>
      <c r="AE579" s="1"/>
      <c r="AF579" s="1"/>
      <c r="AG579" s="1"/>
      <c r="AH579" s="1"/>
      <c r="AI579" s="1"/>
      <c r="AJ579" s="1"/>
      <c r="AK579" s="1">
        <v>2.5729999999999999E-5</v>
      </c>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v>4.1276999999999999</v>
      </c>
      <c r="BP579" s="1" t="s">
        <v>173</v>
      </c>
      <c r="BQ579" s="1" t="s">
        <v>125</v>
      </c>
      <c r="BR579" s="1">
        <v>100</v>
      </c>
      <c r="BS579" s="1">
        <v>48</v>
      </c>
      <c r="BT579" s="1" t="s">
        <v>84</v>
      </c>
      <c r="BU579" s="1"/>
      <c r="BV579" s="1" t="s">
        <v>558</v>
      </c>
      <c r="BW579" t="s">
        <v>698</v>
      </c>
    </row>
    <row r="580" spans="1:75" x14ac:dyDescent="0.75">
      <c r="A580" t="s">
        <v>565</v>
      </c>
      <c r="B580" t="s">
        <v>566</v>
      </c>
      <c r="C580" t="s">
        <v>567</v>
      </c>
      <c r="D580" s="33" t="s">
        <v>568</v>
      </c>
      <c r="E580" s="33" t="s">
        <v>568</v>
      </c>
      <c r="F580">
        <v>100</v>
      </c>
      <c r="G580">
        <v>6</v>
      </c>
      <c r="H580" t="s">
        <v>91</v>
      </c>
      <c r="I580" s="34">
        <v>1.00935714285714E-2</v>
      </c>
      <c r="L580">
        <v>-79.88</v>
      </c>
      <c r="M580">
        <v>-80</v>
      </c>
      <c r="R580" t="s">
        <v>79</v>
      </c>
      <c r="S580" s="35"/>
      <c r="T580" s="35"/>
      <c r="U580" s="35"/>
      <c r="V580" s="35"/>
      <c r="W580" s="36">
        <v>9.3836111491386203E-6</v>
      </c>
      <c r="X580" s="35"/>
      <c r="Y580" s="36">
        <v>1.11520639610992E-5</v>
      </c>
      <c r="Z580" s="36">
        <v>1.30379606410962E-5</v>
      </c>
      <c r="AA580" s="36">
        <v>1.5027086160278201E-5</v>
      </c>
      <c r="AB580" s="36">
        <v>1.7105432705911801E-5</v>
      </c>
      <c r="AC580" s="36">
        <v>1.9259488851473E-5</v>
      </c>
      <c r="AD580" s="36">
        <v>2.14764375775148E-5</v>
      </c>
      <c r="AE580" s="36">
        <v>2.3744282347277999E-5</v>
      </c>
      <c r="AF580" s="36">
        <v>2.60519178002696E-5</v>
      </c>
      <c r="AG580" s="36">
        <v>2.8389158833233501E-5</v>
      </c>
      <c r="AH580" s="36">
        <v>3.0746739210000401E-5</v>
      </c>
      <c r="AI580" s="36">
        <v>3.31162885248104E-5</v>
      </c>
      <c r="AJ580" s="35"/>
      <c r="AK580" s="35"/>
      <c r="AL580" s="35"/>
      <c r="AM580" s="35"/>
      <c r="AN580" s="35"/>
      <c r="AV580">
        <v>7.1000000000000004E-3</v>
      </c>
      <c r="AW580">
        <v>374.98349999999999</v>
      </c>
      <c r="AX580">
        <v>-74.319999999999993</v>
      </c>
      <c r="AZ580">
        <v>2.8299999999999999E-2</v>
      </c>
      <c r="BA580">
        <v>795.90009999999995</v>
      </c>
      <c r="BB580">
        <v>-129.88</v>
      </c>
      <c r="BG580">
        <v>0.2082</v>
      </c>
      <c r="BH580">
        <v>3.2500000000000001E-2</v>
      </c>
      <c r="BP580" t="s">
        <v>173</v>
      </c>
      <c r="BQ580" t="s">
        <v>148</v>
      </c>
      <c r="BR580">
        <v>40</v>
      </c>
      <c r="BS580">
        <v>120</v>
      </c>
      <c r="BT580" t="s">
        <v>84</v>
      </c>
      <c r="BV580" t="s">
        <v>569</v>
      </c>
      <c r="BW580" t="s">
        <v>699</v>
      </c>
    </row>
    <row r="581" spans="1:75" x14ac:dyDescent="0.75">
      <c r="A581" t="s">
        <v>570</v>
      </c>
      <c r="B581" t="s">
        <v>566</v>
      </c>
      <c r="C581" t="s">
        <v>567</v>
      </c>
      <c r="D581" s="30" t="s">
        <v>568</v>
      </c>
      <c r="E581" s="30" t="s">
        <v>568</v>
      </c>
      <c r="F581">
        <v>100</v>
      </c>
      <c r="G581">
        <v>6</v>
      </c>
      <c r="H581" t="s">
        <v>91</v>
      </c>
      <c r="I581" s="34">
        <v>1.992E-2</v>
      </c>
      <c r="L581" s="15">
        <v>-79.7</v>
      </c>
      <c r="M581">
        <v>-80</v>
      </c>
      <c r="R581" t="s">
        <v>79</v>
      </c>
      <c r="S581" s="35"/>
      <c r="T581" s="35"/>
      <c r="U581" s="35"/>
      <c r="V581" s="35"/>
      <c r="W581" s="36">
        <v>1.21226738106331E-5</v>
      </c>
      <c r="X581" s="35"/>
      <c r="Y581" s="36">
        <v>1.44120665858775E-5</v>
      </c>
      <c r="Z581" s="36">
        <v>1.6913100432804799E-5</v>
      </c>
      <c r="AA581" s="36">
        <v>1.9619262381718599E-5</v>
      </c>
      <c r="AB581" s="36">
        <v>2.2522563139331101E-5</v>
      </c>
      <c r="AC581" s="36">
        <v>2.5613845241041099E-5</v>
      </c>
      <c r="AD581" s="36">
        <v>2.8883062790790499E-5</v>
      </c>
      <c r="AE581" s="36">
        <v>3.2319530331295202E-5</v>
      </c>
      <c r="AF581" s="36">
        <v>3.5912140391883101E-5</v>
      </c>
      <c r="AG581" s="36">
        <v>3.9649550633790299E-5</v>
      </c>
      <c r="AH581" s="36">
        <v>4.3520342398485599E-5</v>
      </c>
      <c r="AI581" s="36">
        <v>4.75131529860508E-5</v>
      </c>
      <c r="AJ581" s="35"/>
      <c r="AK581" s="35"/>
      <c r="AL581" s="35"/>
      <c r="AM581" s="35"/>
      <c r="AN581" s="35"/>
      <c r="AV581">
        <v>2.64E-2</v>
      </c>
      <c r="AW581">
        <v>620.93230000000005</v>
      </c>
      <c r="AX581">
        <v>-103.38</v>
      </c>
      <c r="BG581">
        <v>0.22570000000000001</v>
      </c>
      <c r="BH581">
        <v>8.1900000000000001E-2</v>
      </c>
      <c r="BP581" t="s">
        <v>173</v>
      </c>
      <c r="BQ581" t="s">
        <v>148</v>
      </c>
      <c r="BR581">
        <v>40</v>
      </c>
      <c r="BS581">
        <v>120</v>
      </c>
      <c r="BT581" t="s">
        <v>84</v>
      </c>
      <c r="BV581" t="s">
        <v>569</v>
      </c>
      <c r="BW581" t="s">
        <v>699</v>
      </c>
    </row>
    <row r="582" spans="1:75" x14ac:dyDescent="0.75">
      <c r="A582" t="s">
        <v>571</v>
      </c>
      <c r="B582" t="s">
        <v>566</v>
      </c>
      <c r="C582" t="s">
        <v>567</v>
      </c>
      <c r="D582" s="30" t="s">
        <v>568</v>
      </c>
      <c r="E582" s="30" t="s">
        <v>568</v>
      </c>
      <c r="F582">
        <v>100</v>
      </c>
      <c r="G582">
        <v>6</v>
      </c>
      <c r="H582" t="s">
        <v>91</v>
      </c>
      <c r="I582" s="34">
        <v>4.0042857142857144E-2</v>
      </c>
      <c r="L582">
        <v>-79.290000000000006</v>
      </c>
      <c r="M582">
        <v>-80</v>
      </c>
      <c r="R582" t="s">
        <v>79</v>
      </c>
      <c r="S582" s="35"/>
      <c r="T582" s="35"/>
      <c r="U582" s="35"/>
      <c r="V582" s="35"/>
      <c r="W582" s="36">
        <v>1.51086365272335E-5</v>
      </c>
      <c r="X582" s="35"/>
      <c r="Y582" s="36">
        <v>1.8037446838170601E-5</v>
      </c>
      <c r="Z582" s="36">
        <v>2.1203794404996199E-5</v>
      </c>
      <c r="AA582" s="36">
        <v>2.4589969231966398E-5</v>
      </c>
      <c r="AB582" s="36">
        <v>2.8177244055197301E-5</v>
      </c>
      <c r="AC582" s="36">
        <v>3.19464203855862E-5</v>
      </c>
      <c r="AD582" s="36">
        <v>3.5878265945644499E-5</v>
      </c>
      <c r="AE582" s="36">
        <v>3.99538559182726E-5</v>
      </c>
      <c r="AF582" s="36">
        <v>4.4154831451185399E-5</v>
      </c>
      <c r="AG582" s="36">
        <v>4.8463588607034397E-5</v>
      </c>
      <c r="AH582" s="36">
        <v>5.2863409973908499E-5</v>
      </c>
      <c r="AI582" s="36">
        <v>5.7338549823070901E-5</v>
      </c>
      <c r="AJ582" s="35"/>
      <c r="AK582" s="35"/>
      <c r="AL582" s="35"/>
      <c r="AM582" s="35"/>
      <c r="AN582" s="35"/>
      <c r="AV582">
        <v>1.7899999999999999E-2</v>
      </c>
      <c r="AW582">
        <v>460.92869999999999</v>
      </c>
      <c r="AX582">
        <v>-84</v>
      </c>
      <c r="AZ582">
        <v>5.8900000000000001E-2</v>
      </c>
      <c r="BA582">
        <v>833.33209999999997</v>
      </c>
      <c r="BB582">
        <v>-129.29</v>
      </c>
      <c r="BG582">
        <v>0.2203</v>
      </c>
      <c r="BH582">
        <v>8.3500000000000005E-2</v>
      </c>
      <c r="BP582" t="s">
        <v>173</v>
      </c>
      <c r="BQ582" t="s">
        <v>148</v>
      </c>
      <c r="BR582">
        <v>40</v>
      </c>
      <c r="BS582">
        <v>120</v>
      </c>
      <c r="BT582" t="s">
        <v>84</v>
      </c>
      <c r="BV582" t="s">
        <v>569</v>
      </c>
      <c r="BW582" t="s">
        <v>699</v>
      </c>
    </row>
    <row r="583" spans="1:75" x14ac:dyDescent="0.75">
      <c r="A583" t="s">
        <v>572</v>
      </c>
      <c r="B583" t="s">
        <v>566</v>
      </c>
      <c r="C583" t="s">
        <v>567</v>
      </c>
      <c r="D583" s="30" t="s">
        <v>568</v>
      </c>
      <c r="E583" s="30" t="s">
        <v>568</v>
      </c>
      <c r="F583">
        <v>100</v>
      </c>
      <c r="G583">
        <v>6</v>
      </c>
      <c r="H583" t="s">
        <v>91</v>
      </c>
      <c r="I583" s="34">
        <v>8.3577142857142864E-2</v>
      </c>
      <c r="L583">
        <v>-75.13</v>
      </c>
      <c r="M583">
        <v>-80</v>
      </c>
      <c r="R583" t="s">
        <v>79</v>
      </c>
      <c r="S583" s="35"/>
      <c r="T583" s="35"/>
      <c r="U583" s="35"/>
      <c r="V583" s="35"/>
      <c r="W583" s="36">
        <v>2.53947863418508E-5</v>
      </c>
      <c r="X583" s="35"/>
      <c r="Y583" s="36">
        <v>3.03576925380826E-5</v>
      </c>
      <c r="Z583" s="36">
        <v>3.58912975317655E-5</v>
      </c>
      <c r="AA583" s="36">
        <v>4.2007644474071203E-5</v>
      </c>
      <c r="AB583" s="36">
        <v>4.8714799579695201E-5</v>
      </c>
      <c r="AC583" s="36">
        <v>5.6017053493298599E-5</v>
      </c>
      <c r="AD583" s="36">
        <v>6.3915162668055797E-5</v>
      </c>
      <c r="AE583" s="36">
        <v>7.2406617922108905E-5</v>
      </c>
      <c r="AF583" s="36">
        <v>8.1485929307151803E-5</v>
      </c>
      <c r="AG583" s="36">
        <v>9.1144918305789598E-5</v>
      </c>
      <c r="AH583" s="35">
        <v>1.01373010106618E-4</v>
      </c>
      <c r="AI583" s="35">
        <v>1.12157520253933E-4</v>
      </c>
      <c r="AJ583" s="35"/>
      <c r="AK583" s="35"/>
      <c r="AL583" s="35"/>
      <c r="AM583" s="35"/>
      <c r="AN583" s="35"/>
      <c r="AV583">
        <v>0.1855</v>
      </c>
      <c r="AW583">
        <v>948.5009</v>
      </c>
      <c r="AX583">
        <v>-131.80000000000001</v>
      </c>
      <c r="AZ583">
        <v>0.15260000000000001</v>
      </c>
      <c r="BA583">
        <v>878.96339999999998</v>
      </c>
      <c r="BB583">
        <v>-125.13</v>
      </c>
      <c r="BG583">
        <v>0.24540000000000001</v>
      </c>
      <c r="BH583">
        <v>0.36680000000000001</v>
      </c>
      <c r="BP583" t="s">
        <v>173</v>
      </c>
      <c r="BQ583" t="s">
        <v>148</v>
      </c>
      <c r="BR583">
        <v>40</v>
      </c>
      <c r="BS583">
        <v>120</v>
      </c>
      <c r="BT583" t="s">
        <v>84</v>
      </c>
      <c r="BV583" t="s">
        <v>569</v>
      </c>
      <c r="BW583" t="s">
        <v>699</v>
      </c>
    </row>
    <row r="584" spans="1:75" x14ac:dyDescent="0.75">
      <c r="A584" t="s">
        <v>573</v>
      </c>
      <c r="B584" t="s">
        <v>566</v>
      </c>
      <c r="C584" t="s">
        <v>567</v>
      </c>
      <c r="D584" s="30" t="s">
        <v>568</v>
      </c>
      <c r="E584" s="30" t="s">
        <v>568</v>
      </c>
      <c r="F584">
        <v>100</v>
      </c>
      <c r="G584">
        <v>6</v>
      </c>
      <c r="H584" t="s">
        <v>91</v>
      </c>
      <c r="I584" s="34">
        <v>0.12498571428571428</v>
      </c>
      <c r="L584" s="15">
        <v>-73.099999999999994</v>
      </c>
      <c r="M584">
        <v>-80</v>
      </c>
      <c r="R584" t="s">
        <v>79</v>
      </c>
      <c r="S584" s="35"/>
      <c r="T584" s="35"/>
      <c r="U584" s="35"/>
      <c r="V584" s="35"/>
      <c r="W584" s="36">
        <v>2.8370529434720498E-5</v>
      </c>
      <c r="X584" s="35"/>
      <c r="Y584" s="36">
        <v>3.4241950440083E-5</v>
      </c>
      <c r="Z584" s="36">
        <v>4.0905184778815698E-5</v>
      </c>
      <c r="AA584" s="36">
        <v>4.8403491413282703E-5</v>
      </c>
      <c r="AB584" s="36">
        <v>5.67763896340063E-5</v>
      </c>
      <c r="AC584" s="36">
        <v>6.6059439448108598E-5</v>
      </c>
      <c r="AD584" s="36">
        <v>7.6284097492649103E-5</v>
      </c>
      <c r="AE584" s="36">
        <v>8.7477641134300397E-5</v>
      </c>
      <c r="AF584" s="36">
        <v>9.9663152952636394E-5</v>
      </c>
      <c r="AG584" s="35">
        <v>1.12859557694587E-4</v>
      </c>
      <c r="AH584" s="35">
        <v>1.2708170394690801E-4</v>
      </c>
      <c r="AI584" s="35">
        <v>1.4234048312828599E-4</v>
      </c>
      <c r="AJ584" s="35"/>
      <c r="AK584" s="35"/>
      <c r="AL584" s="35"/>
      <c r="AM584" s="35"/>
      <c r="AN584" s="35"/>
      <c r="AV584">
        <v>0.65639999999999998</v>
      </c>
      <c r="AW584">
        <v>1283.7900999999999</v>
      </c>
      <c r="AX584">
        <v>-153.30000000000001</v>
      </c>
      <c r="BG584">
        <v>0.26640000000000003</v>
      </c>
      <c r="BH584">
        <v>0.92430000000000001</v>
      </c>
      <c r="BP584" t="s">
        <v>173</v>
      </c>
      <c r="BQ584" t="s">
        <v>148</v>
      </c>
      <c r="BR584">
        <v>40</v>
      </c>
      <c r="BS584">
        <v>120</v>
      </c>
      <c r="BT584" t="s">
        <v>84</v>
      </c>
      <c r="BV584" t="s">
        <v>569</v>
      </c>
      <c r="BW584" t="s">
        <v>699</v>
      </c>
    </row>
    <row r="585" spans="1:75" x14ac:dyDescent="0.75">
      <c r="A585" t="s">
        <v>574</v>
      </c>
      <c r="B585" t="s">
        <v>566</v>
      </c>
      <c r="C585" t="s">
        <v>567</v>
      </c>
      <c r="D585" s="30" t="s">
        <v>568</v>
      </c>
      <c r="E585" s="30" t="s">
        <v>568</v>
      </c>
      <c r="F585">
        <v>100</v>
      </c>
      <c r="G585">
        <v>6</v>
      </c>
      <c r="H585" t="s">
        <v>91</v>
      </c>
      <c r="I585" s="34">
        <v>0.25022857142857141</v>
      </c>
      <c r="L585">
        <v>-65.23</v>
      </c>
      <c r="M585">
        <v>-80</v>
      </c>
      <c r="R585" t="s">
        <v>79</v>
      </c>
      <c r="S585" s="35"/>
      <c r="T585" s="35"/>
      <c r="U585" s="35"/>
      <c r="V585" s="35"/>
      <c r="W585" s="36">
        <v>2.28292444469419E-5</v>
      </c>
      <c r="X585" s="35"/>
      <c r="Y585" s="36">
        <v>2.96317995315479E-5</v>
      </c>
      <c r="Z585" s="36">
        <v>3.7806535880446202E-5</v>
      </c>
      <c r="AA585" s="36">
        <v>4.7491813111941503E-5</v>
      </c>
      <c r="AB585" s="36">
        <v>5.8820598802872097E-5</v>
      </c>
      <c r="AC585" s="36">
        <v>7.1918796715883003E-5</v>
      </c>
      <c r="AD585" s="36">
        <v>8.6903859424910501E-5</v>
      </c>
      <c r="AE585" s="35">
        <v>1.0388368458094E-4</v>
      </c>
      <c r="AF585" s="35">
        <v>1.2295578383771899E-4</v>
      </c>
      <c r="AG585" s="35">
        <v>1.4420670615684401E-4</v>
      </c>
      <c r="AH585" s="35">
        <v>1.67711692417881E-4</v>
      </c>
      <c r="AI585" s="35">
        <v>1.9353453552660899E-4</v>
      </c>
      <c r="AJ585" s="35"/>
      <c r="AK585" s="35"/>
      <c r="AL585" s="35"/>
      <c r="AM585" s="35"/>
      <c r="AN585" s="35"/>
      <c r="AV585">
        <v>1.2987</v>
      </c>
      <c r="AW585">
        <v>1178.4824000000001</v>
      </c>
      <c r="AX585">
        <v>-120.5</v>
      </c>
      <c r="AZ585">
        <v>1.0461</v>
      </c>
      <c r="BA585">
        <v>1105.9262000000001</v>
      </c>
      <c r="BB585">
        <v>-115.23</v>
      </c>
      <c r="BG585">
        <v>0.35310000000000002</v>
      </c>
      <c r="BH585">
        <v>22.188300000000002</v>
      </c>
      <c r="BP585" t="s">
        <v>173</v>
      </c>
      <c r="BQ585" t="s">
        <v>148</v>
      </c>
      <c r="BR585">
        <v>40</v>
      </c>
      <c r="BS585">
        <v>120</v>
      </c>
      <c r="BT585" t="s">
        <v>84</v>
      </c>
      <c r="BV585" t="s">
        <v>569</v>
      </c>
      <c r="BW585" t="s">
        <v>699</v>
      </c>
    </row>
    <row r="586" spans="1:75" x14ac:dyDescent="0.75">
      <c r="A586" t="s">
        <v>575</v>
      </c>
      <c r="B586" t="s">
        <v>566</v>
      </c>
      <c r="C586" t="s">
        <v>567</v>
      </c>
      <c r="D586" s="30" t="s">
        <v>568</v>
      </c>
      <c r="E586" s="30" t="s">
        <v>568</v>
      </c>
      <c r="F586">
        <v>100</v>
      </c>
      <c r="G586">
        <v>6</v>
      </c>
      <c r="H586" t="s">
        <v>91</v>
      </c>
      <c r="I586" s="34">
        <v>0.50018571428571423</v>
      </c>
      <c r="L586">
        <v>-49.4</v>
      </c>
      <c r="M586">
        <v>-80</v>
      </c>
      <c r="R586" t="s">
        <v>79</v>
      </c>
      <c r="S586" s="35"/>
      <c r="T586" s="35"/>
      <c r="U586" s="35"/>
      <c r="V586" s="35"/>
      <c r="W586" s="36">
        <v>1.1323297841548799E-5</v>
      </c>
      <c r="X586" s="35"/>
      <c r="Y586" s="36">
        <v>1.72699252616239E-5</v>
      </c>
      <c r="Z586" s="36">
        <v>2.5168548481620599E-5</v>
      </c>
      <c r="AA586" s="36">
        <v>3.52910396148323E-5</v>
      </c>
      <c r="AB586" s="36">
        <v>4.7876759110796799E-5</v>
      </c>
      <c r="AC586" s="36">
        <v>6.3126617982106899E-5</v>
      </c>
      <c r="AD586" s="36">
        <v>8.11999805554483E-5</v>
      </c>
      <c r="AE586" s="35">
        <v>1.0221393128617E-4</v>
      </c>
      <c r="AF586" s="35">
        <v>1.26244379782476E-4</v>
      </c>
      <c r="AG586" s="35">
        <v>1.53328499929763E-4</v>
      </c>
      <c r="AH586" s="35">
        <v>1.83468059359902E-4</v>
      </c>
      <c r="AI586" s="35">
        <v>2.1663327189937E-4</v>
      </c>
      <c r="AJ586" s="35"/>
      <c r="AK586" s="35"/>
      <c r="AL586" s="35"/>
      <c r="AM586" s="35"/>
      <c r="AN586" s="35"/>
      <c r="AV586">
        <v>0.42880000000000001</v>
      </c>
      <c r="AW586">
        <v>649.02790000000005</v>
      </c>
      <c r="AX586">
        <v>-59.37</v>
      </c>
      <c r="AZ586">
        <v>4.1372</v>
      </c>
      <c r="BA586">
        <v>1232.4956999999999</v>
      </c>
      <c r="BB586">
        <v>-99.4</v>
      </c>
      <c r="BG586">
        <v>0.48680000000000001</v>
      </c>
      <c r="BH586">
        <v>2191.2235999999998</v>
      </c>
      <c r="BP586" t="s">
        <v>173</v>
      </c>
      <c r="BQ586" t="s">
        <v>148</v>
      </c>
      <c r="BR586">
        <v>40</v>
      </c>
      <c r="BS586">
        <v>120</v>
      </c>
      <c r="BT586" t="s">
        <v>84</v>
      </c>
      <c r="BV586" t="s">
        <v>569</v>
      </c>
      <c r="BW586" t="s">
        <v>699</v>
      </c>
    </row>
    <row r="587" spans="1:75" x14ac:dyDescent="0.75">
      <c r="A587" t="s">
        <v>576</v>
      </c>
      <c r="B587" t="s">
        <v>566</v>
      </c>
      <c r="C587" t="s">
        <v>567</v>
      </c>
      <c r="D587" s="30" t="s">
        <v>568</v>
      </c>
      <c r="E587" s="30" t="s">
        <v>568</v>
      </c>
      <c r="F587">
        <v>100</v>
      </c>
      <c r="G587">
        <v>6</v>
      </c>
      <c r="H587" t="s">
        <v>78</v>
      </c>
      <c r="I587" s="34">
        <v>9.9921428571428557E-3</v>
      </c>
      <c r="L587">
        <v>-78.69</v>
      </c>
      <c r="M587">
        <v>-80</v>
      </c>
      <c r="R587" t="s">
        <v>79</v>
      </c>
      <c r="S587" s="35"/>
      <c r="T587" s="35"/>
      <c r="U587" s="35"/>
      <c r="V587" s="35"/>
      <c r="W587" s="36">
        <v>1.30152747745087E-5</v>
      </c>
      <c r="X587" s="35"/>
      <c r="Y587" s="36">
        <v>1.60957819669588E-5</v>
      </c>
      <c r="Z587" s="36">
        <v>1.96147030812256E-5</v>
      </c>
      <c r="AA587" s="36">
        <v>2.35879281167977E-5</v>
      </c>
      <c r="AB587" s="36">
        <v>2.80275086453779E-5</v>
      </c>
      <c r="AC587" s="36">
        <v>3.2941771709187799E-5</v>
      </c>
      <c r="AD587" s="36">
        <v>3.8335498484007E-5</v>
      </c>
      <c r="AE587" s="36">
        <v>4.4210150273904802E-5</v>
      </c>
      <c r="AF587" s="36">
        <v>5.0564126703653699E-5</v>
      </c>
      <c r="AG587" s="36">
        <v>5.73930433526764E-5</v>
      </c>
      <c r="AH587" s="36">
        <v>6.46900183684721E-5</v>
      </c>
      <c r="AI587" s="36">
        <v>7.2445959709266906E-5</v>
      </c>
      <c r="AJ587" s="35"/>
      <c r="AK587" s="35"/>
      <c r="AL587" s="35"/>
      <c r="AM587" s="35"/>
      <c r="AN587" s="35"/>
      <c r="AV587">
        <v>0.1278</v>
      </c>
      <c r="AW587">
        <v>879.68709999999999</v>
      </c>
      <c r="AX587">
        <v>-113.7</v>
      </c>
      <c r="AZ587">
        <v>0.2107</v>
      </c>
      <c r="BA587">
        <v>1050.8023000000001</v>
      </c>
      <c r="BB587">
        <v>-128.69</v>
      </c>
      <c r="BG587">
        <v>0.28360000000000002</v>
      </c>
      <c r="BH587">
        <v>0.84179999999999999</v>
      </c>
      <c r="BP587" t="s">
        <v>173</v>
      </c>
      <c r="BQ587" t="s">
        <v>148</v>
      </c>
      <c r="BR587">
        <v>40</v>
      </c>
      <c r="BS587">
        <v>120</v>
      </c>
      <c r="BT587" t="s">
        <v>84</v>
      </c>
      <c r="BV587" t="s">
        <v>569</v>
      </c>
      <c r="BW587" t="s">
        <v>699</v>
      </c>
    </row>
    <row r="588" spans="1:75" x14ac:dyDescent="0.75">
      <c r="A588" t="s">
        <v>577</v>
      </c>
      <c r="B588" t="s">
        <v>566</v>
      </c>
      <c r="C588" t="s">
        <v>567</v>
      </c>
      <c r="D588" s="30" t="s">
        <v>568</v>
      </c>
      <c r="E588" s="30" t="s">
        <v>568</v>
      </c>
      <c r="F588">
        <v>100</v>
      </c>
      <c r="G588">
        <v>6</v>
      </c>
      <c r="H588" t="s">
        <v>78</v>
      </c>
      <c r="I588" s="34">
        <v>0.02</v>
      </c>
      <c r="L588" s="15">
        <v>-79</v>
      </c>
      <c r="M588">
        <v>-80</v>
      </c>
      <c r="R588" t="s">
        <v>79</v>
      </c>
      <c r="S588" s="35"/>
      <c r="T588" s="35"/>
      <c r="U588" s="35"/>
      <c r="V588" s="35"/>
      <c r="W588" s="36">
        <v>2.1794898989170498E-5</v>
      </c>
      <c r="X588" s="35"/>
      <c r="Y588" s="36">
        <v>2.6929730743480299E-5</v>
      </c>
      <c r="Z588" s="36">
        <v>3.2827214932273798E-5</v>
      </c>
      <c r="AA588" s="36">
        <v>3.95271542262097E-5</v>
      </c>
      <c r="AB588" s="36">
        <v>4.7063958655340203E-5</v>
      </c>
      <c r="AC588" s="36">
        <v>5.54665169288686E-5</v>
      </c>
      <c r="AD588" s="36">
        <v>6.4758185788937693E-5</v>
      </c>
      <c r="AE588" s="36">
        <v>7.4956878391245705E-5</v>
      </c>
      <c r="AF588" s="36">
        <v>8.6075233353504805E-5</v>
      </c>
      <c r="AG588" s="36">
        <v>9.8120847372809605E-5</v>
      </c>
      <c r="AH588" s="35">
        <v>1.1109655594079499E-4</v>
      </c>
      <c r="AI588" s="35">
        <v>1.25000748495382E-4</v>
      </c>
      <c r="AJ588" s="35"/>
      <c r="AK588" s="35"/>
      <c r="AL588" s="35"/>
      <c r="AM588" s="35"/>
      <c r="AN588" s="35"/>
      <c r="AV588">
        <v>0.3574</v>
      </c>
      <c r="AW588">
        <v>1034.6679999999999</v>
      </c>
      <c r="AX588">
        <v>-125.9</v>
      </c>
      <c r="BG588">
        <v>0.28860000000000002</v>
      </c>
      <c r="BH588">
        <v>1.7004999999999999</v>
      </c>
      <c r="BP588" t="s">
        <v>173</v>
      </c>
      <c r="BQ588" t="s">
        <v>148</v>
      </c>
      <c r="BR588">
        <v>40</v>
      </c>
      <c r="BS588">
        <v>120</v>
      </c>
      <c r="BT588" t="s">
        <v>84</v>
      </c>
      <c r="BV588" t="s">
        <v>569</v>
      </c>
      <c r="BW588" t="s">
        <v>699</v>
      </c>
    </row>
    <row r="589" spans="1:75" x14ac:dyDescent="0.75">
      <c r="A589" t="s">
        <v>578</v>
      </c>
      <c r="B589" t="s">
        <v>566</v>
      </c>
      <c r="C589" t="s">
        <v>567</v>
      </c>
      <c r="D589" s="30" t="s">
        <v>568</v>
      </c>
      <c r="E589" s="30" t="s">
        <v>568</v>
      </c>
      <c r="F589">
        <v>100</v>
      </c>
      <c r="G589">
        <v>6</v>
      </c>
      <c r="H589" t="s">
        <v>78</v>
      </c>
      <c r="I589" s="34">
        <v>0.04</v>
      </c>
      <c r="L589">
        <v>-77.8</v>
      </c>
      <c r="M589">
        <v>-80</v>
      </c>
      <c r="R589" t="s">
        <v>79</v>
      </c>
      <c r="S589" s="35"/>
      <c r="T589" s="35"/>
      <c r="U589" s="35"/>
      <c r="V589" s="35"/>
      <c r="W589" s="36">
        <v>3.3724758345262303E-5</v>
      </c>
      <c r="X589" s="35"/>
      <c r="Y589" s="36">
        <v>4.2289533341665002E-5</v>
      </c>
      <c r="Z589" s="36">
        <v>5.2231907324146501E-5</v>
      </c>
      <c r="AA589" s="36">
        <v>6.3633309045573494E-5</v>
      </c>
      <c r="AB589" s="36">
        <v>7.6564706780781695E-5</v>
      </c>
      <c r="AC589" s="36">
        <v>9.1086220223334104E-5</v>
      </c>
      <c r="AD589" s="35">
        <v>1.07246999062263E-4</v>
      </c>
      <c r="AE589" s="35">
        <v>1.2508532685763499E-4</v>
      </c>
      <c r="AF589" s="35">
        <v>1.44628909526853E-4</v>
      </c>
      <c r="AG589" s="35">
        <v>1.65895310130341E-4</v>
      </c>
      <c r="AH589" s="35">
        <v>1.88892495064118E-4</v>
      </c>
      <c r="AI589" s="35">
        <v>2.1361946073702499E-4</v>
      </c>
      <c r="AJ589" s="35"/>
      <c r="AK589" s="35"/>
      <c r="AL589" s="35"/>
      <c r="AM589" s="35"/>
      <c r="AN589" s="35"/>
      <c r="AV589">
        <v>0.61729999999999996</v>
      </c>
      <c r="AW589">
        <v>999.31910000000005</v>
      </c>
      <c r="AX589">
        <v>-118.5</v>
      </c>
      <c r="AZ589">
        <v>0.86180000000000001</v>
      </c>
      <c r="BA589">
        <v>1114.7755999999999</v>
      </c>
      <c r="BB589">
        <v>-127.8</v>
      </c>
      <c r="BG589">
        <v>0.30499999999999999</v>
      </c>
      <c r="BH589">
        <v>5.0115999999999996</v>
      </c>
      <c r="BP589" t="s">
        <v>173</v>
      </c>
      <c r="BQ589" t="s">
        <v>148</v>
      </c>
      <c r="BR589">
        <v>40</v>
      </c>
      <c r="BS589">
        <v>120</v>
      </c>
      <c r="BT589" t="s">
        <v>84</v>
      </c>
      <c r="BV589" t="s">
        <v>569</v>
      </c>
      <c r="BW589" t="s">
        <v>699</v>
      </c>
    </row>
    <row r="590" spans="1:75" x14ac:dyDescent="0.75">
      <c r="A590" t="s">
        <v>579</v>
      </c>
      <c r="B590" t="s">
        <v>566</v>
      </c>
      <c r="C590" t="s">
        <v>567</v>
      </c>
      <c r="D590" s="30" t="s">
        <v>568</v>
      </c>
      <c r="E590" s="30" t="s">
        <v>568</v>
      </c>
      <c r="F590">
        <v>100</v>
      </c>
      <c r="G590">
        <v>6</v>
      </c>
      <c r="H590" t="s">
        <v>78</v>
      </c>
      <c r="I590" s="34">
        <v>0.08</v>
      </c>
      <c r="L590">
        <v>-74.040000000000006</v>
      </c>
      <c r="M590">
        <v>-80</v>
      </c>
      <c r="R590" t="s">
        <v>79</v>
      </c>
      <c r="S590" s="35"/>
      <c r="T590" s="35"/>
      <c r="U590" s="35"/>
      <c r="V590" s="35"/>
      <c r="W590" s="36">
        <v>7.07819115514572E-5</v>
      </c>
      <c r="X590" s="35"/>
      <c r="Y590" s="36">
        <v>9.0458432984150399E-5</v>
      </c>
      <c r="Z590" s="35">
        <v>1.13650167965283E-4</v>
      </c>
      <c r="AA590" s="35">
        <v>1.4061041512480901E-4</v>
      </c>
      <c r="AB590" s="35">
        <v>1.7156564525889199E-4</v>
      </c>
      <c r="AC590" s="35">
        <v>2.0671351321132399E-4</v>
      </c>
      <c r="AD590" s="35">
        <v>2.4622172887524101E-4</v>
      </c>
      <c r="AE590" s="35">
        <v>2.9022767738554598E-4</v>
      </c>
      <c r="AF590" s="35">
        <v>3.3883867304672198E-4</v>
      </c>
      <c r="AG590" s="35">
        <v>3.9213273315000301E-4</v>
      </c>
      <c r="AH590" s="35">
        <v>4.5015976428785598E-4</v>
      </c>
      <c r="AI590" s="35">
        <v>5.1294306323930504E-4</v>
      </c>
      <c r="AJ590" s="35"/>
      <c r="AK590" s="35"/>
      <c r="AL590" s="35"/>
      <c r="AM590" s="35"/>
      <c r="AN590" s="35"/>
      <c r="AV590">
        <v>1.6866000000000001</v>
      </c>
      <c r="AW590">
        <v>994.41160000000002</v>
      </c>
      <c r="AX590">
        <v>-112.5</v>
      </c>
      <c r="AZ590">
        <v>2.617</v>
      </c>
      <c r="BA590">
        <v>1142.1601000000001</v>
      </c>
      <c r="BB590">
        <v>-124.04</v>
      </c>
      <c r="BG590">
        <v>0.32719999999999999</v>
      </c>
      <c r="BH590">
        <v>25.129300000000001</v>
      </c>
      <c r="BP590" t="s">
        <v>173</v>
      </c>
      <c r="BQ590" t="s">
        <v>148</v>
      </c>
      <c r="BR590">
        <v>40</v>
      </c>
      <c r="BS590">
        <v>120</v>
      </c>
      <c r="BT590" t="s">
        <v>84</v>
      </c>
      <c r="BV590" t="s">
        <v>569</v>
      </c>
      <c r="BW590" t="s">
        <v>699</v>
      </c>
    </row>
    <row r="591" spans="1:75" x14ac:dyDescent="0.75">
      <c r="A591" t="s">
        <v>580</v>
      </c>
      <c r="B591" t="s">
        <v>566</v>
      </c>
      <c r="C591" t="s">
        <v>567</v>
      </c>
      <c r="D591" s="30" t="s">
        <v>568</v>
      </c>
      <c r="E591" s="30" t="s">
        <v>568</v>
      </c>
      <c r="F591">
        <v>100</v>
      </c>
      <c r="G591">
        <v>6</v>
      </c>
      <c r="H591" t="s">
        <v>78</v>
      </c>
      <c r="I591" s="34">
        <v>0.12470000000000002</v>
      </c>
      <c r="L591" s="15">
        <v>-70</v>
      </c>
      <c r="M591">
        <v>-80</v>
      </c>
      <c r="R591" t="s">
        <v>79</v>
      </c>
      <c r="S591" s="35"/>
      <c r="T591" s="35"/>
      <c r="U591" s="35"/>
      <c r="V591" s="35"/>
      <c r="W591" s="36">
        <v>7.9487590694358898E-5</v>
      </c>
      <c r="X591" s="35"/>
      <c r="Y591" s="35">
        <v>1.0328069407994401E-4</v>
      </c>
      <c r="Z591" s="35">
        <v>1.3172972878329001E-4</v>
      </c>
      <c r="AA591" s="35">
        <v>1.65236116830069E-4</v>
      </c>
      <c r="AB591" s="35">
        <v>2.0416873139965001E-4</v>
      </c>
      <c r="AC591" s="35">
        <v>2.4885960180746197E-4</v>
      </c>
      <c r="AD591" s="35">
        <v>2.9960092143229799E-4</v>
      </c>
      <c r="AE591" s="35">
        <v>3.5664324031318398E-4</v>
      </c>
      <c r="AF591" s="35">
        <v>4.2019470102983399E-4</v>
      </c>
      <c r="AG591" s="35">
        <v>4.90421166667563E-4</v>
      </c>
      <c r="AH591" s="35">
        <v>5.6744708967392801E-4</v>
      </c>
      <c r="AI591" s="35">
        <v>6.5135697726071296E-4</v>
      </c>
      <c r="AJ591" s="35"/>
      <c r="AK591" s="35"/>
      <c r="AL591" s="35"/>
      <c r="AM591" s="35"/>
      <c r="AN591" s="35"/>
      <c r="AV591">
        <v>2.5905</v>
      </c>
      <c r="AW591">
        <v>1015.2747000000001</v>
      </c>
      <c r="AX591">
        <v>-109.6</v>
      </c>
      <c r="BG591">
        <v>0.34749999999999998</v>
      </c>
      <c r="BH591">
        <v>62.436799999999998</v>
      </c>
      <c r="BP591" t="s">
        <v>173</v>
      </c>
      <c r="BQ591" t="s">
        <v>148</v>
      </c>
      <c r="BR591">
        <v>40</v>
      </c>
      <c r="BS591">
        <v>120</v>
      </c>
      <c r="BT591" t="s">
        <v>84</v>
      </c>
      <c r="BV591" t="s">
        <v>569</v>
      </c>
      <c r="BW591" t="s">
        <v>699</v>
      </c>
    </row>
    <row r="592" spans="1:75" x14ac:dyDescent="0.75">
      <c r="A592" t="s">
        <v>581</v>
      </c>
      <c r="B592" t="s">
        <v>566</v>
      </c>
      <c r="C592" t="s">
        <v>567</v>
      </c>
      <c r="D592" s="30" t="s">
        <v>568</v>
      </c>
      <c r="E592" s="30" t="s">
        <v>568</v>
      </c>
      <c r="F592">
        <v>100</v>
      </c>
      <c r="G592">
        <v>6</v>
      </c>
      <c r="H592" t="s">
        <v>78</v>
      </c>
      <c r="I592" s="34">
        <v>0.25</v>
      </c>
      <c r="L592">
        <v>-61.36</v>
      </c>
      <c r="M592">
        <v>-80</v>
      </c>
      <c r="R592" t="s">
        <v>79</v>
      </c>
      <c r="S592" s="35"/>
      <c r="T592" s="35"/>
      <c r="U592" s="35"/>
      <c r="V592" s="35"/>
      <c r="W592" s="35">
        <v>1.04765740109701E-4</v>
      </c>
      <c r="X592" s="35"/>
      <c r="Y592" s="35">
        <v>1.4031916586396199E-4</v>
      </c>
      <c r="Z592" s="35">
        <v>1.8443016722329201E-4</v>
      </c>
      <c r="AA592" s="35">
        <v>2.3829729163458101E-4</v>
      </c>
      <c r="AB592" s="35">
        <v>3.03140202703319E-4</v>
      </c>
      <c r="AC592" s="35">
        <v>3.8018370126058002E-4</v>
      </c>
      <c r="AD592" s="35">
        <v>4.7064250178028102E-4</v>
      </c>
      <c r="AE592" s="35">
        <v>5.7570710115374798E-4</v>
      </c>
      <c r="AF592" s="35">
        <v>6.9653098249923702E-4</v>
      </c>
      <c r="AG592" s="35">
        <v>8.3421931140172404E-4</v>
      </c>
      <c r="AH592" s="35">
        <v>9.8981920804524603E-4</v>
      </c>
      <c r="AI592" s="35">
        <v>1.1643116170171801E-3</v>
      </c>
      <c r="AJ592" s="35"/>
      <c r="AK592" s="35"/>
      <c r="AL592" s="35"/>
      <c r="AM592" s="35"/>
      <c r="AN592" s="35"/>
      <c r="AV592">
        <v>18.203099999999999</v>
      </c>
      <c r="AW592">
        <v>1367.2771</v>
      </c>
      <c r="AX592">
        <v>-123.35</v>
      </c>
      <c r="AZ592">
        <v>10.468400000000001</v>
      </c>
      <c r="BA592">
        <v>1182.3164999999999</v>
      </c>
      <c r="BB592">
        <v>-111.36</v>
      </c>
      <c r="BG592">
        <v>0.39779999999999999</v>
      </c>
      <c r="BH592">
        <v>582.65409999999997</v>
      </c>
      <c r="BP592" t="s">
        <v>173</v>
      </c>
      <c r="BQ592" t="s">
        <v>148</v>
      </c>
      <c r="BR592">
        <v>40</v>
      </c>
      <c r="BS592">
        <v>120</v>
      </c>
      <c r="BT592" t="s">
        <v>84</v>
      </c>
      <c r="BV592" t="s">
        <v>569</v>
      </c>
      <c r="BW592" t="s">
        <v>699</v>
      </c>
    </row>
    <row r="593" spans="1:75" x14ac:dyDescent="0.75">
      <c r="A593" s="1" t="s">
        <v>582</v>
      </c>
      <c r="B593" s="1" t="s">
        <v>566</v>
      </c>
      <c r="C593" s="1" t="s">
        <v>567</v>
      </c>
      <c r="D593" s="37" t="s">
        <v>568</v>
      </c>
      <c r="E593" s="37" t="s">
        <v>568</v>
      </c>
      <c r="F593">
        <v>100</v>
      </c>
      <c r="G593" s="1">
        <v>6</v>
      </c>
      <c r="H593" s="1" t="s">
        <v>78</v>
      </c>
      <c r="I593" s="38">
        <v>0.5</v>
      </c>
      <c r="J593" s="1"/>
      <c r="K593" s="1"/>
      <c r="L593" s="1">
        <v>-35.71</v>
      </c>
      <c r="M593" s="1">
        <v>-80</v>
      </c>
      <c r="N593" s="1"/>
      <c r="O593" s="1"/>
      <c r="P593" s="1"/>
      <c r="Q593" s="1"/>
      <c r="R593" s="1" t="s">
        <v>79</v>
      </c>
      <c r="S593" s="39"/>
      <c r="T593" s="39"/>
      <c r="U593" s="39"/>
      <c r="V593" s="39"/>
      <c r="W593" s="40">
        <v>5.8272645358370796E-7</v>
      </c>
      <c r="X593" s="39"/>
      <c r="Y593" s="40">
        <v>1.1462245895722299E-6</v>
      </c>
      <c r="Z593" s="40">
        <v>2.0906955438620701E-6</v>
      </c>
      <c r="AA593" s="40">
        <v>3.5783396196893899E-6</v>
      </c>
      <c r="AB593" s="40">
        <v>5.8019010432059501E-6</v>
      </c>
      <c r="AC593" s="40">
        <v>8.9805498351892402E-6</v>
      </c>
      <c r="AD593" s="40">
        <v>1.33542571617851E-5</v>
      </c>
      <c r="AE593" s="40">
        <v>1.91772616575496E-5</v>
      </c>
      <c r="AF593" s="40">
        <v>2.67111919542554E-5</v>
      </c>
      <c r="AG593" s="40">
        <v>3.6218322313917897E-5</v>
      </c>
      <c r="AH593" s="40">
        <v>4.7955324835219403E-5</v>
      </c>
      <c r="AI593" s="40">
        <v>6.2167765656561796E-5</v>
      </c>
      <c r="AJ593" s="39"/>
      <c r="AK593" s="39"/>
      <c r="AL593" s="39"/>
      <c r="AM593" s="39"/>
      <c r="AN593" s="39"/>
      <c r="AO593" s="1"/>
      <c r="AP593" s="1"/>
      <c r="AQ593" s="1"/>
      <c r="AR593" s="1"/>
      <c r="AS593" s="1"/>
      <c r="AT593" s="1"/>
      <c r="AU593" s="1"/>
      <c r="AV593" s="1">
        <v>1.2356</v>
      </c>
      <c r="AW593" s="1">
        <v>943.99480000000005</v>
      </c>
      <c r="AX593" s="1">
        <v>-55.6</v>
      </c>
      <c r="AY593" s="1"/>
      <c r="AZ593" s="1">
        <v>18.063600000000001</v>
      </c>
      <c r="BA593" s="1">
        <v>1586.4701</v>
      </c>
      <c r="BB593" s="1">
        <v>-85.71</v>
      </c>
      <c r="BC593" s="1"/>
      <c r="BD593" s="1"/>
      <c r="BE593" s="1"/>
      <c r="BF593" s="1"/>
      <c r="BG593" s="1">
        <v>0.76990000000000003</v>
      </c>
      <c r="BH593" s="1">
        <v>7482830.8304000003</v>
      </c>
      <c r="BI593" s="1"/>
      <c r="BJ593" s="1"/>
      <c r="BK593" s="1"/>
      <c r="BL593" s="1"/>
      <c r="BM593" s="1"/>
      <c r="BN593" s="1"/>
      <c r="BO593" s="1"/>
      <c r="BP593" s="1" t="s">
        <v>173</v>
      </c>
      <c r="BQ593" s="1" t="s">
        <v>148</v>
      </c>
      <c r="BR593" s="1">
        <v>40</v>
      </c>
      <c r="BS593" s="1">
        <v>120</v>
      </c>
      <c r="BT593" s="1" t="s">
        <v>84</v>
      </c>
      <c r="BU593" s="1"/>
      <c r="BV593" s="1" t="s">
        <v>569</v>
      </c>
      <c r="BW593" t="s">
        <v>699</v>
      </c>
    </row>
    <row r="594" spans="1:75" x14ac:dyDescent="0.75">
      <c r="A594" t="s">
        <v>583</v>
      </c>
      <c r="B594" t="s">
        <v>74</v>
      </c>
      <c r="C594" t="s">
        <v>584</v>
      </c>
      <c r="D594" t="s">
        <v>585</v>
      </c>
      <c r="E594" t="s">
        <v>586</v>
      </c>
      <c r="F594">
        <v>50</v>
      </c>
      <c r="G594">
        <v>4</v>
      </c>
      <c r="H594" t="s">
        <v>78</v>
      </c>
      <c r="J594">
        <v>0.125</v>
      </c>
      <c r="L594" s="31">
        <v>40.799999999999997</v>
      </c>
      <c r="M594">
        <v>11</v>
      </c>
      <c r="R594" t="s">
        <v>79</v>
      </c>
      <c r="S594" s="35"/>
      <c r="T594" s="35"/>
      <c r="U594" s="35"/>
      <c r="V594" s="35"/>
      <c r="W594" s="35"/>
      <c r="X594" s="35"/>
      <c r="Y594" s="35"/>
      <c r="Z594" s="35"/>
      <c r="AA594" s="36">
        <v>2.3200823093252798E-9</v>
      </c>
      <c r="AB594" s="36">
        <v>7.3271206775860396E-9</v>
      </c>
      <c r="AC594" s="36">
        <v>2.04121615078699E-8</v>
      </c>
      <c r="AD594" s="36">
        <v>5.11424544827704E-8</v>
      </c>
      <c r="AE594" s="36">
        <v>1.17051332033781E-7</v>
      </c>
      <c r="AF594" s="36">
        <v>2.4784292967398799E-7</v>
      </c>
      <c r="AG594" s="36">
        <v>4.9057372841619102E-7</v>
      </c>
      <c r="AH594" s="36">
        <v>9.1560904669065199E-7</v>
      </c>
      <c r="AI594" s="36">
        <v>1.62304469418941E-6</v>
      </c>
      <c r="AJ594" s="36">
        <v>2.74921587045122E-6</v>
      </c>
      <c r="AK594" s="36">
        <v>4.4728932776226904E-6</v>
      </c>
      <c r="AL594" s="36">
        <v>1.0672039669928801E-5</v>
      </c>
      <c r="AM594" s="36">
        <v>2.2681300924182002E-5</v>
      </c>
      <c r="AN594" s="36">
        <v>5.9205389371768497E-5</v>
      </c>
      <c r="AO594" s="41"/>
      <c r="AP594" s="35"/>
      <c r="AQ594" s="35"/>
      <c r="AV594">
        <v>24.304099999999998</v>
      </c>
      <c r="AW594">
        <v>1660.8073999999999</v>
      </c>
      <c r="AX594">
        <v>-42.2</v>
      </c>
      <c r="AZ594">
        <v>0.35320000000000001</v>
      </c>
      <c r="BA594">
        <v>807.19280000000003</v>
      </c>
      <c r="BB594">
        <v>-9</v>
      </c>
      <c r="BG594">
        <v>1.2302999999999999</v>
      </c>
      <c r="BH594">
        <v>351676698599.14099</v>
      </c>
      <c r="BM594">
        <v>2.2000000000000002</v>
      </c>
      <c r="BN594">
        <v>37</v>
      </c>
      <c r="BO594">
        <f>BN594*BM594</f>
        <v>81.400000000000006</v>
      </c>
      <c r="BP594" t="s">
        <v>173</v>
      </c>
      <c r="BQ594" t="s">
        <v>83</v>
      </c>
      <c r="BR594">
        <v>90</v>
      </c>
      <c r="BS594">
        <v>24</v>
      </c>
      <c r="BT594" t="s">
        <v>125</v>
      </c>
      <c r="BV594" t="s">
        <v>587</v>
      </c>
      <c r="BW594" t="s">
        <v>588</v>
      </c>
    </row>
    <row r="595" spans="1:75" x14ac:dyDescent="0.75">
      <c r="A595" t="s">
        <v>583</v>
      </c>
      <c r="B595" t="s">
        <v>74</v>
      </c>
      <c r="C595" t="s">
        <v>584</v>
      </c>
      <c r="D595" t="s">
        <v>585</v>
      </c>
      <c r="E595" t="s">
        <v>586</v>
      </c>
      <c r="F595">
        <v>50</v>
      </c>
      <c r="G595">
        <v>4</v>
      </c>
      <c r="H595" t="s">
        <v>78</v>
      </c>
      <c r="J595">
        <f>1/12</f>
        <v>8.3333333333333329E-2</v>
      </c>
      <c r="L595" s="31">
        <v>34.1</v>
      </c>
      <c r="M595">
        <v>11</v>
      </c>
      <c r="R595" t="s">
        <v>79</v>
      </c>
      <c r="S595" s="35"/>
      <c r="T595" s="35"/>
      <c r="U595" s="35"/>
      <c r="V595" s="35"/>
      <c r="W595" s="35"/>
      <c r="X595" s="35"/>
      <c r="Y595" s="35"/>
      <c r="Z595" s="35"/>
      <c r="AA595" s="36">
        <v>1.5670505036806499E-8</v>
      </c>
      <c r="AB595" s="36">
        <v>3.9435325164852401E-8</v>
      </c>
      <c r="AC595" s="36">
        <v>9.0322124759330606E-8</v>
      </c>
      <c r="AD595" s="36">
        <v>1.9086626600050099E-7</v>
      </c>
      <c r="AE595" s="36">
        <v>3.7628880928112601E-7</v>
      </c>
      <c r="AF595" s="36">
        <v>6.9847605534225195E-7</v>
      </c>
      <c r="AG595" s="36">
        <v>1.23007052064823E-6</v>
      </c>
      <c r="AH595" s="36">
        <v>2.0683864010694102E-6</v>
      </c>
      <c r="AI595" s="36">
        <v>3.33887468142663E-6</v>
      </c>
      <c r="AJ595" s="36">
        <v>5.1979044656221603E-6</v>
      </c>
      <c r="AK595" s="36">
        <v>7.8346876306565894E-6</v>
      </c>
      <c r="AL595" s="36">
        <v>1.6367364589325199E-5</v>
      </c>
      <c r="AM595" s="36">
        <v>3.11194566883778E-5</v>
      </c>
      <c r="AN595" s="36">
        <v>7.0861520319162198E-5</v>
      </c>
      <c r="AO595" s="41"/>
      <c r="AP595" s="35"/>
      <c r="AQ595" s="35"/>
      <c r="AV595">
        <v>10.4778</v>
      </c>
      <c r="AW595">
        <v>1547.9760000000001</v>
      </c>
      <c r="AX595">
        <v>-48.72</v>
      </c>
      <c r="AZ595">
        <v>0.34089999999999998</v>
      </c>
      <c r="BA595">
        <v>805.61180000000002</v>
      </c>
      <c r="BB595">
        <v>-16</v>
      </c>
      <c r="BG595">
        <v>1.0241</v>
      </c>
      <c r="BH595">
        <v>931262739.90639997</v>
      </c>
      <c r="BM595">
        <v>2.2000000000000002</v>
      </c>
      <c r="BN595">
        <v>37</v>
      </c>
      <c r="BO595">
        <f t="shared" ref="BO595:BO625" si="24">BN595*BM595</f>
        <v>81.400000000000006</v>
      </c>
      <c r="BP595" t="s">
        <v>173</v>
      </c>
      <c r="BQ595" t="s">
        <v>83</v>
      </c>
      <c r="BR595">
        <v>90</v>
      </c>
      <c r="BS595">
        <v>24</v>
      </c>
      <c r="BT595" t="s">
        <v>125</v>
      </c>
      <c r="BV595" t="s">
        <v>587</v>
      </c>
      <c r="BW595" t="s">
        <v>588</v>
      </c>
    </row>
    <row r="596" spans="1:75" x14ac:dyDescent="0.75">
      <c r="A596" t="s">
        <v>583</v>
      </c>
      <c r="B596" t="s">
        <v>74</v>
      </c>
      <c r="C596" t="s">
        <v>584</v>
      </c>
      <c r="D596" t="s">
        <v>585</v>
      </c>
      <c r="E596" t="s">
        <v>586</v>
      </c>
      <c r="F596">
        <v>50</v>
      </c>
      <c r="G596">
        <v>4</v>
      </c>
      <c r="H596" t="s">
        <v>78</v>
      </c>
      <c r="J596">
        <f>1/16</f>
        <v>6.25E-2</v>
      </c>
      <c r="L596" s="31">
        <v>31.7</v>
      </c>
      <c r="M596">
        <v>11</v>
      </c>
      <c r="R596" t="s">
        <v>79</v>
      </c>
      <c r="S596" s="35"/>
      <c r="T596" s="35"/>
      <c r="U596" s="35"/>
      <c r="V596" s="35"/>
      <c r="W596" s="35"/>
      <c r="X596" s="35"/>
      <c r="Y596" s="35"/>
      <c r="Z596" s="35"/>
      <c r="AA596" s="35"/>
      <c r="AB596" s="35"/>
      <c r="AC596" s="36">
        <v>1.6248460290562399E-8</v>
      </c>
      <c r="AD596" s="36">
        <v>3.8102273664017897E-8</v>
      </c>
      <c r="AE596" s="36">
        <v>8.2352709662526698E-8</v>
      </c>
      <c r="AF596" s="36">
        <v>1.6588747689215499E-7</v>
      </c>
      <c r="AG596" s="36">
        <v>3.14298404542912E-7</v>
      </c>
      <c r="AH596" s="36">
        <v>5.6439780822253E-7</v>
      </c>
      <c r="AI596" s="36">
        <v>9.6679509130536309E-7</v>
      </c>
      <c r="AJ596" s="36">
        <v>1.58837260198619E-6</v>
      </c>
      <c r="AK596" s="36">
        <v>2.5145058921809102E-6</v>
      </c>
      <c r="AL596" s="36">
        <v>5.7249003263857699E-6</v>
      </c>
      <c r="AM596" s="36">
        <v>1.1707610296009801E-5</v>
      </c>
      <c r="AN596" s="36">
        <v>2.9182316859242301E-5</v>
      </c>
      <c r="AO596" s="41"/>
      <c r="AP596" s="35"/>
      <c r="AQ596" s="35"/>
      <c r="AV596">
        <v>9.0902999999999992</v>
      </c>
      <c r="AW596">
        <v>1644.5274999999999</v>
      </c>
      <c r="AX596">
        <v>-45.3</v>
      </c>
      <c r="AZ596">
        <v>0.5383</v>
      </c>
      <c r="BA596">
        <v>994.96600000000001</v>
      </c>
      <c r="BB596">
        <v>-18</v>
      </c>
      <c r="BG596">
        <v>1.0728</v>
      </c>
      <c r="BH596">
        <v>1443755766.6134</v>
      </c>
      <c r="BM596">
        <v>2.2000000000000002</v>
      </c>
      <c r="BN596">
        <v>37</v>
      </c>
      <c r="BO596">
        <f t="shared" si="24"/>
        <v>81.400000000000006</v>
      </c>
      <c r="BP596" t="s">
        <v>173</v>
      </c>
      <c r="BQ596" t="s">
        <v>83</v>
      </c>
      <c r="BR596">
        <v>90</v>
      </c>
      <c r="BS596">
        <v>24</v>
      </c>
      <c r="BT596" t="s">
        <v>125</v>
      </c>
      <c r="BV596" t="s">
        <v>587</v>
      </c>
      <c r="BW596" t="s">
        <v>588</v>
      </c>
    </row>
    <row r="597" spans="1:75" x14ac:dyDescent="0.75">
      <c r="A597" t="s">
        <v>583</v>
      </c>
      <c r="B597" t="s">
        <v>74</v>
      </c>
      <c r="C597" t="s">
        <v>584</v>
      </c>
      <c r="D597" t="s">
        <v>585</v>
      </c>
      <c r="E597" t="s">
        <v>586</v>
      </c>
      <c r="F597">
        <v>50</v>
      </c>
      <c r="G597">
        <v>4</v>
      </c>
      <c r="H597" t="s">
        <v>78</v>
      </c>
      <c r="J597">
        <f>1/20</f>
        <v>0.05</v>
      </c>
      <c r="L597" s="31">
        <v>29.4</v>
      </c>
      <c r="M597">
        <v>11</v>
      </c>
      <c r="R597" t="s">
        <v>79</v>
      </c>
      <c r="S597" s="35"/>
      <c r="T597" s="35"/>
      <c r="U597" s="35"/>
      <c r="V597" s="35"/>
      <c r="W597" s="35"/>
      <c r="X597" s="35"/>
      <c r="Y597" s="35"/>
      <c r="Z597" s="35"/>
      <c r="AA597" s="36">
        <v>7.6760685678894201E-9</v>
      </c>
      <c r="AB597" s="36">
        <v>2.0499051888642902E-8</v>
      </c>
      <c r="AC597" s="36">
        <v>4.9296913957070597E-8</v>
      </c>
      <c r="AD597" s="36">
        <v>1.0846056870380401E-7</v>
      </c>
      <c r="AE597" s="36">
        <v>2.2113008535605201E-7</v>
      </c>
      <c r="AF597" s="36">
        <v>4.2217142532793199E-7</v>
      </c>
      <c r="AG597" s="36">
        <v>7.6127554574755595E-7</v>
      </c>
      <c r="AH597" s="36">
        <v>1.30594853136872E-6</v>
      </c>
      <c r="AI597" s="36">
        <v>2.14416786676553E-6</v>
      </c>
      <c r="AJ597" s="36">
        <v>3.3865126542864399E-6</v>
      </c>
      <c r="AK597" s="36">
        <v>5.1676255517843901E-6</v>
      </c>
      <c r="AL597" s="36">
        <v>1.10085193045084E-5</v>
      </c>
      <c r="AM597" s="36">
        <v>2.1232945218061102E-5</v>
      </c>
      <c r="AN597" s="36">
        <v>4.9065598451006902E-5</v>
      </c>
      <c r="AO597" s="41"/>
      <c r="AP597" s="35"/>
      <c r="AQ597" s="35"/>
      <c r="AV597">
        <v>6.6159999999999997</v>
      </c>
      <c r="AW597">
        <v>1493.6934000000001</v>
      </c>
      <c r="AX597">
        <v>-44.4</v>
      </c>
      <c r="AZ597">
        <v>0.52359999999999995</v>
      </c>
      <c r="BA597">
        <v>941.25250000000005</v>
      </c>
      <c r="BB597">
        <v>-21</v>
      </c>
      <c r="BG597">
        <v>1.0637000000000001</v>
      </c>
      <c r="BH597">
        <v>2112956587.2967</v>
      </c>
      <c r="BM597">
        <v>2.2000000000000002</v>
      </c>
      <c r="BN597">
        <v>37</v>
      </c>
      <c r="BO597">
        <f t="shared" si="24"/>
        <v>81.400000000000006</v>
      </c>
      <c r="BP597" t="s">
        <v>173</v>
      </c>
      <c r="BQ597" t="s">
        <v>83</v>
      </c>
      <c r="BR597">
        <v>90</v>
      </c>
      <c r="BS597">
        <v>24</v>
      </c>
      <c r="BT597" t="s">
        <v>125</v>
      </c>
      <c r="BV597" t="s">
        <v>587</v>
      </c>
      <c r="BW597" t="s">
        <v>588</v>
      </c>
    </row>
    <row r="598" spans="1:75" x14ac:dyDescent="0.75">
      <c r="A598" t="s">
        <v>589</v>
      </c>
      <c r="B598" t="s">
        <v>74</v>
      </c>
      <c r="C598" t="s">
        <v>584</v>
      </c>
      <c r="D598" t="s">
        <v>590</v>
      </c>
      <c r="E598" t="s">
        <v>586</v>
      </c>
      <c r="F598">
        <v>50</v>
      </c>
      <c r="G598">
        <v>5</v>
      </c>
      <c r="H598" t="s">
        <v>78</v>
      </c>
      <c r="J598">
        <v>0.125</v>
      </c>
      <c r="L598" s="31">
        <v>21.5</v>
      </c>
      <c r="M598">
        <v>-12</v>
      </c>
      <c r="R598" t="s">
        <v>79</v>
      </c>
      <c r="S598" s="35"/>
      <c r="T598" s="35"/>
      <c r="U598" s="36">
        <v>3.1766714956258402E-10</v>
      </c>
      <c r="V598" s="35"/>
      <c r="W598" s="36">
        <v>1.41856504786816E-9</v>
      </c>
      <c r="X598" s="35"/>
      <c r="Y598" s="36">
        <v>5.2082097236979702E-9</v>
      </c>
      <c r="Z598" s="36">
        <v>1.62964521490128E-8</v>
      </c>
      <c r="AA598" s="36">
        <v>4.4675620247879798E-8</v>
      </c>
      <c r="AB598" s="36">
        <v>1.0965089825211899E-7</v>
      </c>
      <c r="AC598" s="36">
        <v>2.4511415767649202E-7</v>
      </c>
      <c r="AD598" s="36">
        <v>5.0597107316129297E-7</v>
      </c>
      <c r="AE598" s="36">
        <v>9.753247560798729E-7</v>
      </c>
      <c r="AF598" s="36">
        <v>1.77187751485796E-6</v>
      </c>
      <c r="AG598" s="36">
        <v>3.0569578478186698E-6</v>
      </c>
      <c r="AH598" s="36">
        <v>5.0406107531055903E-6</v>
      </c>
      <c r="AI598" s="36">
        <v>7.9862875304150499E-6</v>
      </c>
      <c r="AJ598" s="36">
        <v>1.2213810374184E-5</v>
      </c>
      <c r="AK598" s="36">
        <v>1.81004410418521E-5</v>
      </c>
      <c r="AL598" s="36">
        <v>3.6640350559662003E-5</v>
      </c>
      <c r="AM598" s="36">
        <v>6.7696826590499305E-5</v>
      </c>
      <c r="AN598" s="35">
        <v>1.4835698267138601E-4</v>
      </c>
      <c r="AO598" s="35"/>
      <c r="AP598" s="35"/>
      <c r="AQ598" s="35"/>
      <c r="AV598">
        <v>13.1929</v>
      </c>
      <c r="AW598">
        <v>1443.4807000000001</v>
      </c>
      <c r="AX598">
        <v>-46.8</v>
      </c>
      <c r="AZ598">
        <v>1.0161</v>
      </c>
      <c r="BA598">
        <v>938.38019999999995</v>
      </c>
      <c r="BB598">
        <v>-28</v>
      </c>
      <c r="BG598">
        <v>1.1735</v>
      </c>
      <c r="BH598">
        <v>238408129257.94699</v>
      </c>
      <c r="BM598">
        <v>3</v>
      </c>
      <c r="BN598">
        <v>19</v>
      </c>
      <c r="BO598">
        <f t="shared" si="24"/>
        <v>57</v>
      </c>
      <c r="BP598" t="s">
        <v>173</v>
      </c>
      <c r="BQ598" t="s">
        <v>83</v>
      </c>
      <c r="BR598">
        <v>90</v>
      </c>
      <c r="BS598">
        <v>24</v>
      </c>
      <c r="BT598" t="s">
        <v>125</v>
      </c>
      <c r="BV598" t="s">
        <v>587</v>
      </c>
      <c r="BW598" t="s">
        <v>588</v>
      </c>
    </row>
    <row r="599" spans="1:75" x14ac:dyDescent="0.75">
      <c r="A599" t="s">
        <v>589</v>
      </c>
      <c r="B599" t="s">
        <v>74</v>
      </c>
      <c r="C599" t="s">
        <v>584</v>
      </c>
      <c r="D599" t="s">
        <v>590</v>
      </c>
      <c r="E599" t="s">
        <v>586</v>
      </c>
      <c r="F599">
        <v>50</v>
      </c>
      <c r="G599">
        <v>5</v>
      </c>
      <c r="H599" t="s">
        <v>78</v>
      </c>
      <c r="J599">
        <f>1/12</f>
        <v>8.3333333333333329E-2</v>
      </c>
      <c r="L599" s="31">
        <v>8.7200000000000006</v>
      </c>
      <c r="M599">
        <v>-12</v>
      </c>
      <c r="R599" t="s">
        <v>79</v>
      </c>
      <c r="S599" s="35"/>
      <c r="T599" s="35"/>
      <c r="U599" s="36">
        <v>1.7197278144128799E-9</v>
      </c>
      <c r="V599" s="35"/>
      <c r="W599" s="36">
        <v>6.2302422807153102E-9</v>
      </c>
      <c r="X599" s="35"/>
      <c r="Y599" s="36">
        <v>1.9098886616214201E-8</v>
      </c>
      <c r="Z599" s="36">
        <v>5.1070098127676702E-8</v>
      </c>
      <c r="AA599" s="36">
        <v>1.21944364917583E-7</v>
      </c>
      <c r="AB599" s="36">
        <v>2.6483330906716898E-7</v>
      </c>
      <c r="AC599" s="36">
        <v>5.3081322791531299E-7</v>
      </c>
      <c r="AD599" s="36">
        <v>9.9351361909412596E-7</v>
      </c>
      <c r="AE599" s="36">
        <v>1.7531685787268E-6</v>
      </c>
      <c r="AF599" s="36">
        <v>2.9397290412268898E-6</v>
      </c>
      <c r="AG599" s="36">
        <v>4.7147546231427602E-6</v>
      </c>
      <c r="AH599" s="36">
        <v>7.2719443032954799E-6</v>
      </c>
      <c r="AI599" s="36">
        <v>1.08362995142158E-5</v>
      </c>
      <c r="AJ599" s="36">
        <v>1.56620244318422E-5</v>
      </c>
      <c r="AK599" s="36">
        <v>2.2029348187425901E-5</v>
      </c>
      <c r="AL599" s="36">
        <v>4.0615097094223601E-5</v>
      </c>
      <c r="AM599" s="36">
        <v>6.9190062252794601E-5</v>
      </c>
      <c r="AN599" s="35">
        <v>1.3671358738683801E-4</v>
      </c>
      <c r="AO599" s="35"/>
      <c r="AP599" s="35"/>
      <c r="AQ599" s="35"/>
      <c r="AV599">
        <v>4.2567000000000004</v>
      </c>
      <c r="AW599">
        <v>1268.3865000000001</v>
      </c>
      <c r="AX599">
        <v>-47.5</v>
      </c>
      <c r="AZ599">
        <v>2.0112999999999999</v>
      </c>
      <c r="BA599">
        <v>1108.3911000000001</v>
      </c>
      <c r="BB599">
        <v>-41</v>
      </c>
      <c r="BG599">
        <v>1.0154000000000001</v>
      </c>
      <c r="BH599">
        <v>1954390413.5011001</v>
      </c>
      <c r="BM599">
        <v>3</v>
      </c>
      <c r="BN599">
        <v>19</v>
      </c>
      <c r="BO599">
        <f t="shared" si="24"/>
        <v>57</v>
      </c>
      <c r="BP599" t="s">
        <v>173</v>
      </c>
      <c r="BQ599" t="s">
        <v>83</v>
      </c>
      <c r="BR599">
        <v>90</v>
      </c>
      <c r="BS599">
        <v>24</v>
      </c>
      <c r="BT599" t="s">
        <v>125</v>
      </c>
      <c r="BV599" t="s">
        <v>587</v>
      </c>
      <c r="BW599" t="s">
        <v>588</v>
      </c>
    </row>
    <row r="600" spans="1:75" x14ac:dyDescent="0.75">
      <c r="A600" t="s">
        <v>589</v>
      </c>
      <c r="B600" t="s">
        <v>74</v>
      </c>
      <c r="C600" t="s">
        <v>584</v>
      </c>
      <c r="D600" t="s">
        <v>590</v>
      </c>
      <c r="E600" t="s">
        <v>586</v>
      </c>
      <c r="F600">
        <v>50</v>
      </c>
      <c r="G600">
        <v>5</v>
      </c>
      <c r="H600" t="s">
        <v>78</v>
      </c>
      <c r="J600">
        <f>1/16</f>
        <v>6.25E-2</v>
      </c>
      <c r="L600" s="31">
        <v>8.06</v>
      </c>
      <c r="M600">
        <v>-12</v>
      </c>
      <c r="R600" t="s">
        <v>79</v>
      </c>
      <c r="S600" s="35"/>
      <c r="T600" s="35"/>
      <c r="U600" s="35"/>
      <c r="V600" s="35"/>
      <c r="W600" s="35"/>
      <c r="X600" s="35"/>
      <c r="Y600" s="36">
        <v>2.4201620566198498E-9</v>
      </c>
      <c r="Z600" s="36">
        <v>7.5806495141656096E-9</v>
      </c>
      <c r="AA600" s="36">
        <v>2.10952572264703E-8</v>
      </c>
      <c r="AB600" s="36">
        <v>5.3068443299129098E-8</v>
      </c>
      <c r="AC600" s="36">
        <v>1.2240694912287999E-7</v>
      </c>
      <c r="AD600" s="36">
        <v>2.6190413711019799E-7</v>
      </c>
      <c r="AE600" s="36">
        <v>5.2484494172692803E-7</v>
      </c>
      <c r="AF600" s="36">
        <v>9.9305191160426802E-7</v>
      </c>
      <c r="AG600" s="36">
        <v>1.78613428098505E-6</v>
      </c>
      <c r="AH600" s="36">
        <v>3.07156523053648E-6</v>
      </c>
      <c r="AI600" s="36">
        <v>5.0751153628378303E-6</v>
      </c>
      <c r="AJ600" s="36">
        <v>8.0911219505267195E-6</v>
      </c>
      <c r="AK600" s="36">
        <v>1.2492074222081601E-5</v>
      </c>
      <c r="AL600" s="36">
        <v>2.7378525452760199E-5</v>
      </c>
      <c r="AM600" s="36">
        <v>5.4556299080904903E-5</v>
      </c>
      <c r="AN600" s="35">
        <v>1.3286841515697099E-4</v>
      </c>
      <c r="AO600" s="41">
        <v>0.3</v>
      </c>
      <c r="AP600" s="35">
        <v>100</v>
      </c>
      <c r="AQ600" s="35" t="s">
        <v>465</v>
      </c>
      <c r="AV600">
        <v>66.438800000000001</v>
      </c>
      <c r="AW600">
        <v>1844.3458000000001</v>
      </c>
      <c r="AX600">
        <v>-57</v>
      </c>
      <c r="AZ600">
        <v>10.8126</v>
      </c>
      <c r="BA600">
        <v>1408.6882000000001</v>
      </c>
      <c r="BB600">
        <v>-42</v>
      </c>
      <c r="BG600">
        <v>1.1466000000000001</v>
      </c>
      <c r="BH600">
        <v>72210291721.147507</v>
      </c>
      <c r="BM600">
        <v>3</v>
      </c>
      <c r="BN600">
        <v>19</v>
      </c>
      <c r="BO600">
        <f t="shared" si="24"/>
        <v>57</v>
      </c>
      <c r="BP600" t="s">
        <v>173</v>
      </c>
      <c r="BQ600" t="s">
        <v>83</v>
      </c>
      <c r="BR600">
        <v>90</v>
      </c>
      <c r="BS600">
        <v>24</v>
      </c>
      <c r="BT600" t="s">
        <v>125</v>
      </c>
      <c r="BV600" t="s">
        <v>587</v>
      </c>
      <c r="BW600" t="s">
        <v>588</v>
      </c>
    </row>
    <row r="601" spans="1:75" x14ac:dyDescent="0.75">
      <c r="A601" t="s">
        <v>589</v>
      </c>
      <c r="B601" t="s">
        <v>74</v>
      </c>
      <c r="C601" t="s">
        <v>584</v>
      </c>
      <c r="D601" t="s">
        <v>590</v>
      </c>
      <c r="E601" t="s">
        <v>586</v>
      </c>
      <c r="F601">
        <v>50</v>
      </c>
      <c r="G601">
        <v>5</v>
      </c>
      <c r="H601" t="s">
        <v>78</v>
      </c>
      <c r="J601">
        <f>1/20</f>
        <v>0.05</v>
      </c>
      <c r="L601" s="31">
        <v>0.54300000000000004</v>
      </c>
      <c r="M601">
        <v>-12</v>
      </c>
      <c r="R601" t="s">
        <v>79</v>
      </c>
      <c r="S601" s="35"/>
      <c r="T601" s="35"/>
      <c r="U601" s="35"/>
      <c r="V601" s="35"/>
      <c r="W601" s="35"/>
      <c r="X601" s="35"/>
      <c r="Y601" s="36">
        <v>5.4984943337245401E-9</v>
      </c>
      <c r="Z601" s="36">
        <v>1.56184140113205E-8</v>
      </c>
      <c r="AA601" s="36">
        <v>3.9923493434374597E-8</v>
      </c>
      <c r="AB601" s="36">
        <v>9.3237462658687798E-8</v>
      </c>
      <c r="AC601" s="36">
        <v>2.0141670140804E-7</v>
      </c>
      <c r="AD601" s="36">
        <v>4.0661080176199E-7</v>
      </c>
      <c r="AE601" s="36">
        <v>7.7363194451624904E-7</v>
      </c>
      <c r="AF601" s="36">
        <v>1.39721330967772E-6</v>
      </c>
      <c r="AG601" s="36">
        <v>2.4098284720432098E-6</v>
      </c>
      <c r="AH601" s="36">
        <v>3.9896724241426404E-6</v>
      </c>
      <c r="AI601" s="36">
        <v>6.3683765255762104E-6</v>
      </c>
      <c r="AJ601" s="36">
        <v>9.8380428302097002E-6</v>
      </c>
      <c r="AK601" s="36">
        <v>1.47572310056746E-5</v>
      </c>
      <c r="AL601" s="36">
        <v>3.0737021740161802E-5</v>
      </c>
      <c r="AM601" s="36">
        <v>5.86423151270136E-5</v>
      </c>
      <c r="AN601" s="35">
        <v>1.35258790750344E-4</v>
      </c>
      <c r="AO601" s="35"/>
      <c r="AP601" s="35"/>
      <c r="AQ601" s="35"/>
      <c r="AV601">
        <v>46.6892</v>
      </c>
      <c r="AW601">
        <v>1785.2763</v>
      </c>
      <c r="AX601">
        <v>-59.6</v>
      </c>
      <c r="AZ601">
        <v>13.119899999999999</v>
      </c>
      <c r="BA601">
        <v>1489.7517</v>
      </c>
      <c r="BB601">
        <v>-49</v>
      </c>
      <c r="BG601">
        <v>1.0644</v>
      </c>
      <c r="BH601">
        <v>6370356151.3513002</v>
      </c>
      <c r="BM601">
        <v>3</v>
      </c>
      <c r="BN601">
        <v>19</v>
      </c>
      <c r="BO601">
        <f t="shared" si="24"/>
        <v>57</v>
      </c>
      <c r="BP601" t="s">
        <v>173</v>
      </c>
      <c r="BQ601" t="s">
        <v>83</v>
      </c>
      <c r="BR601">
        <v>90</v>
      </c>
      <c r="BS601">
        <v>24</v>
      </c>
      <c r="BT601" t="s">
        <v>125</v>
      </c>
      <c r="BV601" t="s">
        <v>587</v>
      </c>
      <c r="BW601" t="s">
        <v>588</v>
      </c>
    </row>
    <row r="602" spans="1:75" x14ac:dyDescent="0.75">
      <c r="A602" t="s">
        <v>591</v>
      </c>
      <c r="B602" t="s">
        <v>74</v>
      </c>
      <c r="C602" t="s">
        <v>584</v>
      </c>
      <c r="D602" t="s">
        <v>592</v>
      </c>
      <c r="E602" t="s">
        <v>586</v>
      </c>
      <c r="F602">
        <v>50</v>
      </c>
      <c r="G602">
        <v>7</v>
      </c>
      <c r="H602" t="s">
        <v>78</v>
      </c>
      <c r="J602">
        <v>0.125</v>
      </c>
      <c r="L602" s="31">
        <v>-17.8</v>
      </c>
      <c r="M602">
        <v>-31</v>
      </c>
      <c r="R602" t="s">
        <v>79</v>
      </c>
      <c r="S602" s="35"/>
      <c r="T602" s="36">
        <v>3.5490507463642802E-8</v>
      </c>
      <c r="U602" s="36">
        <v>9.3370878084200399E-8</v>
      </c>
      <c r="V602" s="35"/>
      <c r="W602" s="36">
        <v>2.20043296239908E-7</v>
      </c>
      <c r="X602" s="35"/>
      <c r="Y602" s="36">
        <v>4.7279771264365002E-7</v>
      </c>
      <c r="Z602" s="36">
        <v>9.3935253180605596E-7</v>
      </c>
      <c r="AA602" s="36">
        <v>1.7454277262093201E-6</v>
      </c>
      <c r="AB602" s="36">
        <v>3.0613979261102502E-6</v>
      </c>
      <c r="AC602" s="36">
        <v>5.1073762899681598E-6</v>
      </c>
      <c r="AD602" s="36">
        <v>8.1562780596985907E-6</v>
      </c>
      <c r="AE602" s="36">
        <v>1.2534640760180801E-5</v>
      </c>
      <c r="AF602" s="36">
        <v>1.8621195203535001E-5</v>
      </c>
      <c r="AG602" s="36">
        <v>2.6843361007986699E-5</v>
      </c>
      <c r="AH602" s="36">
        <v>3.76719694466906E-5</v>
      </c>
      <c r="AI602" s="36">
        <v>5.1614593413072997E-5</v>
      </c>
      <c r="AJ602" s="36">
        <v>6.9207894729588396E-5</v>
      </c>
      <c r="AK602" s="36">
        <v>9.1009392330909604E-5</v>
      </c>
      <c r="AL602" s="35">
        <v>1.4952080463770501E-4</v>
      </c>
      <c r="AM602" s="35">
        <v>2.31710193265293E-4</v>
      </c>
      <c r="AN602" s="35">
        <v>4.0888939972776701E-4</v>
      </c>
      <c r="AO602" s="35"/>
      <c r="AP602" s="35"/>
      <c r="AQ602" s="35"/>
      <c r="AV602">
        <v>7.2763999999999998</v>
      </c>
      <c r="AW602">
        <v>1280.8524</v>
      </c>
      <c r="AX602">
        <v>-63.5</v>
      </c>
      <c r="AZ602">
        <v>11.1678</v>
      </c>
      <c r="BA602">
        <v>1386.306</v>
      </c>
      <c r="BB602">
        <v>-68</v>
      </c>
      <c r="BG602">
        <v>0.83179999999999998</v>
      </c>
      <c r="BH602">
        <v>25878435.427000001</v>
      </c>
      <c r="BM602">
        <v>3.2</v>
      </c>
      <c r="BN602">
        <v>18</v>
      </c>
      <c r="BO602">
        <f t="shared" si="24"/>
        <v>57.6</v>
      </c>
      <c r="BP602" t="s">
        <v>173</v>
      </c>
      <c r="BQ602" t="s">
        <v>83</v>
      </c>
      <c r="BR602">
        <v>90</v>
      </c>
      <c r="BS602">
        <v>24</v>
      </c>
      <c r="BT602" t="s">
        <v>125</v>
      </c>
      <c r="BV602" t="s">
        <v>587</v>
      </c>
      <c r="BW602" t="s">
        <v>588</v>
      </c>
    </row>
    <row r="603" spans="1:75" x14ac:dyDescent="0.75">
      <c r="A603" t="s">
        <v>591</v>
      </c>
      <c r="B603" t="s">
        <v>74</v>
      </c>
      <c r="C603" t="s">
        <v>584</v>
      </c>
      <c r="D603" t="s">
        <v>592</v>
      </c>
      <c r="E603" t="s">
        <v>586</v>
      </c>
      <c r="F603">
        <v>50</v>
      </c>
      <c r="G603">
        <v>7</v>
      </c>
      <c r="H603" t="s">
        <v>78</v>
      </c>
      <c r="J603">
        <f>1/12</f>
        <v>8.3333333333333329E-2</v>
      </c>
      <c r="L603" s="31">
        <v>-20.8</v>
      </c>
      <c r="M603">
        <v>-31</v>
      </c>
      <c r="R603" t="s">
        <v>79</v>
      </c>
      <c r="S603" s="35"/>
      <c r="T603" s="36">
        <v>1.8176443300073401E-8</v>
      </c>
      <c r="U603" s="36">
        <v>5.0023154690892403E-8</v>
      </c>
      <c r="V603" s="35"/>
      <c r="W603" s="36">
        <v>1.23363343267539E-7</v>
      </c>
      <c r="X603" s="35"/>
      <c r="Y603" s="36">
        <v>2.7724222474776898E-7</v>
      </c>
      <c r="Z603" s="36">
        <v>5.7554119903066999E-7</v>
      </c>
      <c r="AA603" s="36">
        <v>1.11591730059138E-6</v>
      </c>
      <c r="AB603" s="36">
        <v>2.0392550626264998E-6</v>
      </c>
      <c r="AC603" s="36">
        <v>3.53892311025464E-6</v>
      </c>
      <c r="AD603" s="36">
        <v>5.8691290499131702E-6</v>
      </c>
      <c r="AE603" s="36">
        <v>9.3517541395408396E-6</v>
      </c>
      <c r="AF603" s="36">
        <v>1.4381196886816101E-5</v>
      </c>
      <c r="AG603" s="36">
        <v>2.1426932082269898E-5</v>
      </c>
      <c r="AH603" s="36">
        <v>3.1033672039163602E-5</v>
      </c>
      <c r="AI603" s="36">
        <v>4.38191798458018E-5</v>
      </c>
      <c r="AJ603" s="36">
        <v>6.0469917679111798E-5</v>
      </c>
      <c r="AK603" s="36">
        <v>8.17348110001056E-5</v>
      </c>
      <c r="AL603" s="35">
        <v>1.4136725069686601E-4</v>
      </c>
      <c r="AM603" s="35">
        <v>2.2963539345580199E-4</v>
      </c>
      <c r="AN603" s="35">
        <v>4.3179925113928999E-4</v>
      </c>
      <c r="AO603" s="35"/>
      <c r="AP603" s="35"/>
      <c r="AQ603" s="35"/>
      <c r="AV603">
        <v>19.381900000000002</v>
      </c>
      <c r="AW603">
        <v>1489.1672000000001</v>
      </c>
      <c r="AX603">
        <v>-67.900000000000006</v>
      </c>
      <c r="AZ603">
        <v>26.566500000000001</v>
      </c>
      <c r="BA603">
        <v>1569.3233</v>
      </c>
      <c r="BB603">
        <v>-71</v>
      </c>
      <c r="BG603">
        <v>0.89710000000000001</v>
      </c>
      <c r="BH603">
        <v>185961639.0959</v>
      </c>
      <c r="BM603">
        <v>3.2</v>
      </c>
      <c r="BN603">
        <v>18</v>
      </c>
      <c r="BO603">
        <f t="shared" si="24"/>
        <v>57.6</v>
      </c>
      <c r="BP603" t="s">
        <v>173</v>
      </c>
      <c r="BQ603" t="s">
        <v>83</v>
      </c>
      <c r="BR603">
        <v>90</v>
      </c>
      <c r="BS603">
        <v>24</v>
      </c>
      <c r="BT603" t="s">
        <v>125</v>
      </c>
      <c r="BV603" t="s">
        <v>587</v>
      </c>
      <c r="BW603" t="s">
        <v>588</v>
      </c>
    </row>
    <row r="604" spans="1:75" x14ac:dyDescent="0.75">
      <c r="A604" t="s">
        <v>591</v>
      </c>
      <c r="B604" t="s">
        <v>74</v>
      </c>
      <c r="C604" t="s">
        <v>584</v>
      </c>
      <c r="D604" t="s">
        <v>592</v>
      </c>
      <c r="E604" t="s">
        <v>586</v>
      </c>
      <c r="F604">
        <v>50</v>
      </c>
      <c r="G604">
        <v>7</v>
      </c>
      <c r="H604" t="s">
        <v>78</v>
      </c>
      <c r="J604">
        <f>1/16</f>
        <v>6.25E-2</v>
      </c>
      <c r="L604" s="31">
        <v>-22.8</v>
      </c>
      <c r="M604">
        <v>-31</v>
      </c>
      <c r="R604" t="s">
        <v>79</v>
      </c>
      <c r="S604" s="35"/>
      <c r="T604" s="36">
        <v>1.87037257561074E-8</v>
      </c>
      <c r="U604" s="36">
        <v>5.1675442970314701E-8</v>
      </c>
      <c r="V604" s="35"/>
      <c r="W604" s="36">
        <v>1.2752535506641399E-7</v>
      </c>
      <c r="X604" s="35"/>
      <c r="Y604" s="36">
        <v>2.8613111336167502E-7</v>
      </c>
      <c r="Z604" s="36">
        <v>5.9205116822362497E-7</v>
      </c>
      <c r="AA604" s="36">
        <v>1.1428259703465401E-6</v>
      </c>
      <c r="AB604" s="36">
        <v>2.0774206426965498E-6</v>
      </c>
      <c r="AC604" s="36">
        <v>3.58410119881256E-6</v>
      </c>
      <c r="AD604" s="36">
        <v>5.9070911168467696E-6</v>
      </c>
      <c r="AE604" s="36">
        <v>9.3514874768651392E-6</v>
      </c>
      <c r="AF604" s="36">
        <v>1.4286092170942601E-5</v>
      </c>
      <c r="AG604" s="36">
        <v>2.11440016029481E-5</v>
      </c>
      <c r="AH604" s="36">
        <v>3.0420972491622801E-5</v>
      </c>
      <c r="AI604" s="36">
        <v>4.2671725525179301E-5</v>
      </c>
      <c r="AJ604" s="36">
        <v>5.8504454836797201E-5</v>
      </c>
      <c r="AK604" s="36">
        <v>7.8573878471781505E-5</v>
      </c>
      <c r="AL604" s="35">
        <v>1.34225327103738E-4</v>
      </c>
      <c r="AM604" s="35">
        <v>2.1547338645308599E-4</v>
      </c>
      <c r="AN604" s="35">
        <v>3.9851307309110898E-4</v>
      </c>
      <c r="AO604" s="41">
        <v>0.11</v>
      </c>
      <c r="AP604" s="35">
        <v>100</v>
      </c>
      <c r="AQ604" s="35" t="s">
        <v>465</v>
      </c>
      <c r="AV604">
        <v>13.336</v>
      </c>
      <c r="AW604">
        <v>1415.4472000000001</v>
      </c>
      <c r="AX604">
        <v>-65.599999999999994</v>
      </c>
      <c r="AZ604">
        <v>28.197500000000002</v>
      </c>
      <c r="BA604">
        <v>1605.6895999999999</v>
      </c>
      <c r="BB604">
        <v>-73</v>
      </c>
      <c r="BG604">
        <v>0.88690000000000002</v>
      </c>
      <c r="BH604">
        <v>128840837.6169</v>
      </c>
      <c r="BM604">
        <v>3.2</v>
      </c>
      <c r="BN604">
        <v>18</v>
      </c>
      <c r="BO604">
        <f t="shared" si="24"/>
        <v>57.6</v>
      </c>
      <c r="BP604" t="s">
        <v>173</v>
      </c>
      <c r="BQ604" t="s">
        <v>83</v>
      </c>
      <c r="BR604">
        <v>90</v>
      </c>
      <c r="BS604">
        <v>24</v>
      </c>
      <c r="BT604" t="s">
        <v>125</v>
      </c>
      <c r="BV604" t="s">
        <v>587</v>
      </c>
      <c r="BW604" t="s">
        <v>588</v>
      </c>
    </row>
    <row r="605" spans="1:75" x14ac:dyDescent="0.75">
      <c r="A605" t="s">
        <v>591</v>
      </c>
      <c r="B605" t="s">
        <v>74</v>
      </c>
      <c r="C605" t="s">
        <v>584</v>
      </c>
      <c r="D605" t="s">
        <v>592</v>
      </c>
      <c r="E605" t="s">
        <v>586</v>
      </c>
      <c r="F605">
        <v>50</v>
      </c>
      <c r="G605">
        <v>7</v>
      </c>
      <c r="H605" t="s">
        <v>78</v>
      </c>
      <c r="J605">
        <f>1/20</f>
        <v>0.05</v>
      </c>
      <c r="L605" s="31">
        <v>-25.6</v>
      </c>
      <c r="M605">
        <v>-31</v>
      </c>
      <c r="R605" t="s">
        <v>79</v>
      </c>
      <c r="S605" s="35"/>
      <c r="T605" s="36">
        <v>2.8811111970716001E-8</v>
      </c>
      <c r="U605" s="36">
        <v>7.7004750248161595E-8</v>
      </c>
      <c r="V605" s="35"/>
      <c r="W605" s="36">
        <v>1.8367923673703399E-7</v>
      </c>
      <c r="X605" s="35"/>
      <c r="Y605" s="36">
        <v>3.98335046158082E-7</v>
      </c>
      <c r="Z605" s="36">
        <v>7.9704376582593197E-7</v>
      </c>
      <c r="AA605" s="36">
        <v>1.4890381930176001E-6</v>
      </c>
      <c r="AB605" s="36">
        <v>2.6224236358231301E-6</v>
      </c>
      <c r="AC605" s="36">
        <v>4.3884341926853502E-6</v>
      </c>
      <c r="AD605" s="36">
        <v>7.0238470095618998E-6</v>
      </c>
      <c r="AE605" s="36">
        <v>1.08113800751059E-5</v>
      </c>
      <c r="AF605" s="36">
        <v>1.6078097089481898E-5</v>
      </c>
      <c r="AG605" s="36">
        <v>2.3192002473045099E-5</v>
      </c>
      <c r="AH605" s="36">
        <v>3.2557120311200503E-5</v>
      </c>
      <c r="AI605" s="36">
        <v>4.4607412924559198E-5</v>
      </c>
      <c r="AJ605" s="36">
        <v>5.97999142485404E-5</v>
      </c>
      <c r="AK605" s="36">
        <v>7.8607439839322693E-5</v>
      </c>
      <c r="AL605" s="35">
        <v>1.28993587028992E-4</v>
      </c>
      <c r="AM605" s="35">
        <v>1.99589457846093E-4</v>
      </c>
      <c r="AN605" s="35">
        <v>3.5124480478712899E-4</v>
      </c>
      <c r="AO605" s="35"/>
      <c r="AP605" s="35"/>
      <c r="AQ605" s="35"/>
      <c r="AV605">
        <v>5.7122000000000002</v>
      </c>
      <c r="AW605">
        <v>1253.8166000000001</v>
      </c>
      <c r="AX605">
        <v>-62</v>
      </c>
      <c r="AZ605">
        <v>21.818200000000001</v>
      </c>
      <c r="BA605">
        <v>1593.6205</v>
      </c>
      <c r="BB605">
        <v>-76</v>
      </c>
      <c r="BG605">
        <v>0.8367</v>
      </c>
      <c r="BH605">
        <v>26014112.6776</v>
      </c>
      <c r="BM605">
        <v>3.2</v>
      </c>
      <c r="BN605">
        <v>18</v>
      </c>
      <c r="BO605">
        <f t="shared" si="24"/>
        <v>57.6</v>
      </c>
      <c r="BP605" t="s">
        <v>173</v>
      </c>
      <c r="BQ605" t="s">
        <v>83</v>
      </c>
      <c r="BR605">
        <v>90</v>
      </c>
      <c r="BS605">
        <v>24</v>
      </c>
      <c r="BT605" t="s">
        <v>125</v>
      </c>
      <c r="BV605" t="s">
        <v>587</v>
      </c>
      <c r="BW605" t="s">
        <v>588</v>
      </c>
    </row>
    <row r="606" spans="1:75" x14ac:dyDescent="0.75">
      <c r="A606" t="s">
        <v>593</v>
      </c>
      <c r="B606" t="s">
        <v>74</v>
      </c>
      <c r="C606" t="s">
        <v>584</v>
      </c>
      <c r="D606" t="s">
        <v>594</v>
      </c>
      <c r="E606" t="s">
        <v>586</v>
      </c>
      <c r="F606">
        <v>50</v>
      </c>
      <c r="G606">
        <v>9.5</v>
      </c>
      <c r="H606" t="s">
        <v>78</v>
      </c>
      <c r="J606">
        <v>0.125</v>
      </c>
      <c r="L606" s="31">
        <v>-26.6</v>
      </c>
      <c r="M606">
        <v>-52</v>
      </c>
      <c r="R606" t="s">
        <v>79</v>
      </c>
      <c r="S606" s="35"/>
      <c r="T606" s="36">
        <v>2.1745669557025399E-7</v>
      </c>
      <c r="U606" s="36">
        <v>4.9806238887345898E-7</v>
      </c>
      <c r="V606" s="35"/>
      <c r="W606" s="36">
        <v>1.04468881296809E-6</v>
      </c>
      <c r="X606" s="35"/>
      <c r="Y606" s="36">
        <v>2.0333859858025499E-6</v>
      </c>
      <c r="Z606" s="36">
        <v>3.7121617966139101E-6</v>
      </c>
      <c r="AA606" s="36">
        <v>6.4122151239331899E-6</v>
      </c>
      <c r="AB606" s="36">
        <v>1.0556071586711201E-5</v>
      </c>
      <c r="AC606" s="36">
        <v>1.6661928752664299E-5</v>
      </c>
      <c r="AD606" s="36">
        <v>2.53439284811209E-5</v>
      </c>
      <c r="AE606" s="36">
        <v>3.7308448664526202E-5</v>
      </c>
      <c r="AF606" s="36">
        <v>5.3346804392865197E-5</v>
      </c>
      <c r="AG606" s="36">
        <v>7.4324952960565306E-5</v>
      </c>
      <c r="AH606" s="35">
        <v>1.01170909650391E-4</v>
      </c>
      <c r="AI606" s="35">
        <v>1.3486061451954901E-4</v>
      </c>
      <c r="AJ606" s="35">
        <v>1.7640296238806701E-4</v>
      </c>
      <c r="AK606" s="35">
        <v>2.26824637746168E-4</v>
      </c>
      <c r="AL606" s="35">
        <v>3.5841356135275603E-4</v>
      </c>
      <c r="AM606" s="35">
        <v>5.37656003052914E-4</v>
      </c>
      <c r="AN606" s="35">
        <v>9.1198875953802695E-4</v>
      </c>
      <c r="AO606" s="35"/>
      <c r="AP606" s="35"/>
      <c r="AQ606" s="35"/>
      <c r="AV606">
        <v>13.0077</v>
      </c>
      <c r="AW606">
        <v>1281.6668</v>
      </c>
      <c r="AX606">
        <v>-70</v>
      </c>
      <c r="AZ606">
        <v>23.506399999999999</v>
      </c>
      <c r="BA606">
        <v>1437.4549</v>
      </c>
      <c r="BB606">
        <v>-77</v>
      </c>
      <c r="BG606">
        <v>0.74360000000000004</v>
      </c>
      <c r="BH606">
        <v>3987951.8574999999</v>
      </c>
      <c r="BM606">
        <v>1.6</v>
      </c>
      <c r="BN606">
        <v>7.9</v>
      </c>
      <c r="BO606">
        <f t="shared" si="24"/>
        <v>12.64</v>
      </c>
      <c r="BP606" t="s">
        <v>173</v>
      </c>
      <c r="BQ606" t="s">
        <v>83</v>
      </c>
      <c r="BR606">
        <v>90</v>
      </c>
      <c r="BS606">
        <v>24</v>
      </c>
      <c r="BT606" t="s">
        <v>125</v>
      </c>
      <c r="BV606" t="s">
        <v>587</v>
      </c>
      <c r="BW606" t="s">
        <v>588</v>
      </c>
    </row>
    <row r="607" spans="1:75" x14ac:dyDescent="0.75">
      <c r="A607" t="s">
        <v>593</v>
      </c>
      <c r="B607" t="s">
        <v>74</v>
      </c>
      <c r="C607" t="s">
        <v>584</v>
      </c>
      <c r="D607" t="s">
        <v>594</v>
      </c>
      <c r="E607" t="s">
        <v>586</v>
      </c>
      <c r="F607">
        <v>50</v>
      </c>
      <c r="G607">
        <v>9.5</v>
      </c>
      <c r="H607" t="s">
        <v>78</v>
      </c>
      <c r="J607">
        <f>1/12</f>
        <v>8.3333333333333329E-2</v>
      </c>
      <c r="L607" s="31">
        <v>-27.8</v>
      </c>
      <c r="M607">
        <v>-52</v>
      </c>
      <c r="R607" t="s">
        <v>79</v>
      </c>
      <c r="S607" s="35"/>
      <c r="T607" s="36">
        <v>2.49487788669591E-7</v>
      </c>
      <c r="U607" s="36">
        <v>5.8526442478443705E-7</v>
      </c>
      <c r="V607" s="35"/>
      <c r="W607" s="36">
        <v>1.2267059872003401E-6</v>
      </c>
      <c r="X607" s="35"/>
      <c r="Y607" s="36">
        <v>2.3455303086636398E-6</v>
      </c>
      <c r="Z607" s="36">
        <v>4.1570941586616002E-6</v>
      </c>
      <c r="AA607" s="36">
        <v>6.9151941513459197E-6</v>
      </c>
      <c r="AB607" s="36">
        <v>1.0903788974942099E-5</v>
      </c>
      <c r="AC607" s="36">
        <v>1.6426863065007501E-5</v>
      </c>
      <c r="AD607" s="36">
        <v>2.3797616936810001E-5</v>
      </c>
      <c r="AE607" s="36">
        <v>3.3327967364864802E-5</v>
      </c>
      <c r="AF607" s="36">
        <v>4.5319069698897103E-5</v>
      </c>
      <c r="AG607" s="36">
        <v>6.0053303241995298E-5</v>
      </c>
      <c r="AH607" s="36">
        <v>7.7787927285672705E-5</v>
      </c>
      <c r="AI607" s="36">
        <v>9.8750435723540204E-5</v>
      </c>
      <c r="AJ607" s="35">
        <v>1.23135513141383E-4</v>
      </c>
      <c r="AK607" s="35">
        <v>1.51103418080904E-4</v>
      </c>
      <c r="AL607" s="35">
        <v>2.1825518386597799E-4</v>
      </c>
      <c r="AM607" s="35">
        <v>3.0080694426973302E-4</v>
      </c>
      <c r="AN607" s="35">
        <v>4.5363196110769302E-4</v>
      </c>
      <c r="AO607" s="35"/>
      <c r="AP607" s="35"/>
      <c r="AQ607" s="35"/>
      <c r="AV607">
        <v>0.92430000000000001</v>
      </c>
      <c r="AW607">
        <v>815.90480000000002</v>
      </c>
      <c r="AX607">
        <f>221.7808-273.15</f>
        <v>-51.369199999999978</v>
      </c>
      <c r="AZ607">
        <v>7.2587999999999999</v>
      </c>
      <c r="BA607">
        <v>1319.1954000000001</v>
      </c>
      <c r="BB607">
        <v>-78</v>
      </c>
      <c r="BG607">
        <v>0.66490000000000005</v>
      </c>
      <c r="BH607">
        <v>212963.24230000001</v>
      </c>
      <c r="BM607">
        <v>1.6</v>
      </c>
      <c r="BN607">
        <v>7.9</v>
      </c>
      <c r="BO607">
        <f t="shared" si="24"/>
        <v>12.64</v>
      </c>
      <c r="BP607" t="s">
        <v>173</v>
      </c>
      <c r="BQ607" t="s">
        <v>83</v>
      </c>
      <c r="BR607">
        <v>90</v>
      </c>
      <c r="BS607">
        <v>24</v>
      </c>
      <c r="BT607" t="s">
        <v>125</v>
      </c>
      <c r="BV607" t="s">
        <v>587</v>
      </c>
      <c r="BW607" t="s">
        <v>588</v>
      </c>
    </row>
    <row r="608" spans="1:75" x14ac:dyDescent="0.75">
      <c r="A608" t="s">
        <v>593</v>
      </c>
      <c r="B608" t="s">
        <v>74</v>
      </c>
      <c r="C608" t="s">
        <v>584</v>
      </c>
      <c r="D608" t="s">
        <v>594</v>
      </c>
      <c r="E608" t="s">
        <v>586</v>
      </c>
      <c r="F608">
        <v>50</v>
      </c>
      <c r="G608">
        <v>9.5</v>
      </c>
      <c r="H608" t="s">
        <v>78</v>
      </c>
      <c r="J608">
        <f>1/16</f>
        <v>6.25E-2</v>
      </c>
      <c r="L608" s="31">
        <v>-31.8</v>
      </c>
      <c r="M608">
        <v>-52</v>
      </c>
      <c r="R608" t="s">
        <v>79</v>
      </c>
      <c r="S608" s="35"/>
      <c r="T608" s="36">
        <v>5.9676958041200098E-7</v>
      </c>
      <c r="U608" s="36">
        <v>1.21475472104394E-6</v>
      </c>
      <c r="V608" s="35"/>
      <c r="W608" s="36">
        <v>2.29400238442195E-6</v>
      </c>
      <c r="X608" s="35"/>
      <c r="Y608" s="36">
        <v>4.06426034809986E-6</v>
      </c>
      <c r="Z608" s="36">
        <v>6.8169647013767999E-6</v>
      </c>
      <c r="AA608" s="36">
        <v>1.09056115954006E-5</v>
      </c>
      <c r="AB608" s="36">
        <v>1.6742795316954899E-5</v>
      </c>
      <c r="AC608" s="36">
        <v>2.47943018404809E-5</v>
      </c>
      <c r="AD608" s="36">
        <v>3.5570854763691698E-5</v>
      </c>
      <c r="AE608" s="36">
        <v>4.9618207235172902E-5</v>
      </c>
      <c r="AF608" s="36">
        <v>6.7506279432311098E-5</v>
      </c>
      <c r="AG608" s="36">
        <v>8.9817982578846504E-5</v>
      </c>
      <c r="AH608" s="35">
        <v>1.1713827292392301E-4</v>
      </c>
      <c r="AI608" s="35">
        <v>1.5004386382145199E-4</v>
      </c>
      <c r="AJ608" s="35">
        <v>1.8909390685081101E-4</v>
      </c>
      <c r="AK608" s="35">
        <v>2.34821844278549E-4</v>
      </c>
      <c r="AL608" s="35">
        <v>3.4827672767885501E-4</v>
      </c>
      <c r="AM608" s="35">
        <v>4.9393338204717005E-4</v>
      </c>
      <c r="AN608" s="35">
        <v>7.7872544964801204E-4</v>
      </c>
      <c r="AO608" s="41">
        <v>0.17</v>
      </c>
      <c r="AP608" s="35">
        <v>100</v>
      </c>
      <c r="AQ608" s="35" t="s">
        <v>465</v>
      </c>
      <c r="AV608">
        <v>4.7196999999999996</v>
      </c>
      <c r="AW608">
        <v>1118.7511</v>
      </c>
      <c r="AX608">
        <v>-70.7</v>
      </c>
      <c r="AZ608">
        <v>10.729799999999999</v>
      </c>
      <c r="BA608">
        <v>1340.1286</v>
      </c>
      <c r="BB608">
        <v>-82</v>
      </c>
      <c r="BG608">
        <v>0.63939999999999997</v>
      </c>
      <c r="BH608">
        <v>151441.04209999999</v>
      </c>
      <c r="BM608">
        <v>1.6</v>
      </c>
      <c r="BN608">
        <v>7.9</v>
      </c>
      <c r="BO608">
        <f t="shared" si="24"/>
        <v>12.64</v>
      </c>
      <c r="BP608" t="s">
        <v>173</v>
      </c>
      <c r="BQ608" t="s">
        <v>83</v>
      </c>
      <c r="BR608">
        <v>90</v>
      </c>
      <c r="BS608">
        <v>24</v>
      </c>
      <c r="BT608" t="s">
        <v>125</v>
      </c>
      <c r="BV608" t="s">
        <v>587</v>
      </c>
      <c r="BW608" t="s">
        <v>588</v>
      </c>
    </row>
    <row r="609" spans="1:75" x14ac:dyDescent="0.75">
      <c r="A609" t="s">
        <v>593</v>
      </c>
      <c r="B609" t="s">
        <v>74</v>
      </c>
      <c r="C609" t="s">
        <v>584</v>
      </c>
      <c r="D609" t="s">
        <v>594</v>
      </c>
      <c r="E609" t="s">
        <v>586</v>
      </c>
      <c r="F609">
        <v>50</v>
      </c>
      <c r="G609">
        <v>9.5</v>
      </c>
      <c r="H609" t="s">
        <v>78</v>
      </c>
      <c r="J609">
        <f>1/20</f>
        <v>0.05</v>
      </c>
      <c r="L609" s="31">
        <v>-37.200000000000003</v>
      </c>
      <c r="M609">
        <v>-52</v>
      </c>
      <c r="R609" t="s">
        <v>79</v>
      </c>
      <c r="S609" s="35"/>
      <c r="T609" s="36">
        <v>7.1157836469337097E-7</v>
      </c>
      <c r="U609" s="36">
        <v>1.3554467507368599E-6</v>
      </c>
      <c r="V609" s="35"/>
      <c r="W609" s="36">
        <v>2.42130171568857E-6</v>
      </c>
      <c r="X609" s="35"/>
      <c r="Y609" s="36">
        <v>4.0931688637996197E-6</v>
      </c>
      <c r="Z609" s="36">
        <v>6.5969829538877303E-6</v>
      </c>
      <c r="AA609" s="36">
        <v>1.01995617994413E-5</v>
      </c>
      <c r="AB609" s="36">
        <v>1.52055724578281E-5</v>
      </c>
      <c r="AC609" s="36">
        <v>2.19528107668254E-5</v>
      </c>
      <c r="AD609" s="36">
        <v>3.0806203935629502E-5</v>
      </c>
      <c r="AE609" s="36">
        <v>4.2150974662797398E-5</v>
      </c>
      <c r="AF609" s="36">
        <v>5.6385388104459801E-5</v>
      </c>
      <c r="AG609" s="36">
        <v>7.3913455143681298E-5</v>
      </c>
      <c r="AH609" s="36">
        <v>9.5137900489827298E-5</v>
      </c>
      <c r="AI609" s="35">
        <v>1.20453633040295E-4</v>
      </c>
      <c r="AJ609" s="35">
        <v>1.5024188644956901E-4</v>
      </c>
      <c r="AK609" s="35">
        <v>1.84865134939223E-4</v>
      </c>
      <c r="AL609" s="35">
        <v>2.6994800606956E-4</v>
      </c>
      <c r="AM609" s="35">
        <v>3.7808570205105201E-4</v>
      </c>
      <c r="AN609" s="35">
        <v>5.8752276172361598E-4</v>
      </c>
      <c r="AO609" s="35"/>
      <c r="AP609" s="35"/>
      <c r="AQ609" s="35"/>
      <c r="AV609">
        <v>3.5655000000000001</v>
      </c>
      <c r="AW609">
        <v>1151.7415000000001</v>
      </c>
      <c r="AX609">
        <v>-76.400000000000006</v>
      </c>
      <c r="AZ609">
        <v>7.2934000000000001</v>
      </c>
      <c r="BA609">
        <v>1352.9369999999999</v>
      </c>
      <c r="BB609">
        <v>-87</v>
      </c>
      <c r="BG609">
        <v>0.59930000000000005</v>
      </c>
      <c r="BH609">
        <v>33558.225299999998</v>
      </c>
      <c r="BM609">
        <v>1.6</v>
      </c>
      <c r="BN609">
        <v>7.9</v>
      </c>
      <c r="BO609">
        <f t="shared" si="24"/>
        <v>12.64</v>
      </c>
      <c r="BP609" t="s">
        <v>173</v>
      </c>
      <c r="BQ609" t="s">
        <v>83</v>
      </c>
      <c r="BR609">
        <v>90</v>
      </c>
      <c r="BS609">
        <v>24</v>
      </c>
      <c r="BT609" t="s">
        <v>125</v>
      </c>
      <c r="BV609" t="s">
        <v>587</v>
      </c>
      <c r="BW609" t="s">
        <v>588</v>
      </c>
    </row>
    <row r="610" spans="1:75" x14ac:dyDescent="0.75">
      <c r="A610" t="s">
        <v>595</v>
      </c>
      <c r="B610" t="s">
        <v>74</v>
      </c>
      <c r="C610" t="s">
        <v>584</v>
      </c>
      <c r="D610" t="s">
        <v>596</v>
      </c>
      <c r="E610" t="s">
        <v>586</v>
      </c>
      <c r="F610">
        <v>50</v>
      </c>
      <c r="G610">
        <v>12</v>
      </c>
      <c r="H610" t="s">
        <v>78</v>
      </c>
      <c r="J610">
        <v>0.125</v>
      </c>
      <c r="L610" s="31">
        <v>-18.899999999999999</v>
      </c>
      <c r="M610">
        <v>-60</v>
      </c>
      <c r="R610" t="s">
        <v>79</v>
      </c>
      <c r="S610" s="36">
        <v>1.7629266629354E-8</v>
      </c>
      <c r="T610" s="36">
        <v>3.97507682774987E-7</v>
      </c>
      <c r="U610" s="36">
        <v>8.9514681858338199E-7</v>
      </c>
      <c r="V610" s="35"/>
      <c r="W610" s="36">
        <v>1.8529817505175E-6</v>
      </c>
      <c r="X610" s="35"/>
      <c r="Y610" s="36">
        <v>3.56983586489017E-6</v>
      </c>
      <c r="Z610" s="36">
        <v>6.4654036565970596E-6</v>
      </c>
      <c r="AA610" s="36">
        <v>1.1099528002778999E-5</v>
      </c>
      <c r="AB610" s="36">
        <v>1.81866722094357E-5</v>
      </c>
      <c r="AC610" s="36">
        <v>2.86043942237889E-5</v>
      </c>
      <c r="AD610" s="36">
        <v>4.3395260323282801E-5</v>
      </c>
      <c r="AE610" s="36">
        <v>6.3762226649720602E-5</v>
      </c>
      <c r="AF610" s="36">
        <v>9.1058003034723102E-5</v>
      </c>
      <c r="AG610" s="35">
        <v>1.26769263619368E-4</v>
      </c>
      <c r="AH610" s="35">
        <v>1.72496779371755E-4</v>
      </c>
      <c r="AI610" s="35">
        <v>2.29932633521984E-4</v>
      </c>
      <c r="AJ610" s="35">
        <v>3.0083566653636902E-4</v>
      </c>
      <c r="AK610" s="35">
        <v>3.87006209919835E-4</v>
      </c>
      <c r="AL610" s="35">
        <v>6.1240927503759303E-4</v>
      </c>
      <c r="AM610" s="35">
        <v>9.2045145221723401E-4</v>
      </c>
      <c r="AN610" s="35">
        <v>1.56668213933249E-3</v>
      </c>
      <c r="AO610" s="35"/>
      <c r="AP610" s="35"/>
      <c r="AQ610" s="35"/>
      <c r="AV610">
        <v>25.279399999999999</v>
      </c>
      <c r="AW610">
        <v>1320.6771000000001</v>
      </c>
      <c r="AX610">
        <v>-72.3</v>
      </c>
      <c r="AZ610">
        <v>18.3779</v>
      </c>
      <c r="BA610">
        <v>1243.7565999999999</v>
      </c>
      <c r="BB610">
        <v>-69</v>
      </c>
      <c r="BG610">
        <v>0.79949999999999999</v>
      </c>
      <c r="BH610">
        <v>41880325.474399999</v>
      </c>
      <c r="BM610">
        <v>1.4</v>
      </c>
      <c r="BN610">
        <v>8.1</v>
      </c>
      <c r="BO610">
        <f t="shared" si="24"/>
        <v>11.339999999999998</v>
      </c>
      <c r="BP610" t="s">
        <v>173</v>
      </c>
      <c r="BQ610" t="s">
        <v>83</v>
      </c>
      <c r="BR610">
        <v>90</v>
      </c>
      <c r="BS610">
        <v>24</v>
      </c>
      <c r="BT610" t="s">
        <v>125</v>
      </c>
      <c r="BV610" t="s">
        <v>587</v>
      </c>
      <c r="BW610" t="s">
        <v>588</v>
      </c>
    </row>
    <row r="611" spans="1:75" x14ac:dyDescent="0.75">
      <c r="A611" t="s">
        <v>595</v>
      </c>
      <c r="B611" t="s">
        <v>74</v>
      </c>
      <c r="C611" t="s">
        <v>584</v>
      </c>
      <c r="D611" t="s">
        <v>596</v>
      </c>
      <c r="E611" t="s">
        <v>586</v>
      </c>
      <c r="F611">
        <v>50</v>
      </c>
      <c r="G611">
        <v>12</v>
      </c>
      <c r="H611" t="s">
        <v>78</v>
      </c>
      <c r="J611">
        <f>1/12</f>
        <v>8.3333333333333329E-2</v>
      </c>
      <c r="L611" s="31">
        <v>-31.1</v>
      </c>
      <c r="M611">
        <v>-60</v>
      </c>
      <c r="R611" t="s">
        <v>79</v>
      </c>
      <c r="S611" s="36">
        <v>1.41194824709213E-7</v>
      </c>
      <c r="T611" s="36">
        <v>2.02275051291471E-6</v>
      </c>
      <c r="U611" s="36">
        <v>4.0738252549940501E-6</v>
      </c>
      <c r="V611" s="35"/>
      <c r="W611" s="36">
        <v>7.6475750273794602E-6</v>
      </c>
      <c r="X611" s="35"/>
      <c r="Y611" s="36">
        <v>1.35161166257475E-5</v>
      </c>
      <c r="Z611" s="36">
        <v>2.2674946859905901E-5</v>
      </c>
      <c r="AA611" s="36">
        <v>3.6353812617224198E-5</v>
      </c>
      <c r="AB611" s="36">
        <v>5.6016732542165802E-5</v>
      </c>
      <c r="AC611" s="36">
        <v>8.3351483365671404E-5</v>
      </c>
      <c r="AD611" s="35">
        <v>1.20249705190285E-4</v>
      </c>
      <c r="AE611" s="35">
        <v>1.68779337984552E-4</v>
      </c>
      <c r="AF611" s="35">
        <v>2.311513859622E-4</v>
      </c>
      <c r="AG611" s="35">
        <v>3.0968306099946101E-4</v>
      </c>
      <c r="AH611" s="35">
        <v>4.0675923868081499E-4</v>
      </c>
      <c r="AI611" s="35">
        <v>5.2479392960641405E-4</v>
      </c>
      <c r="AJ611" s="35">
        <v>6.6619317569782005E-4</v>
      </c>
      <c r="AK611" s="35">
        <v>8.3332046711668596E-4</v>
      </c>
      <c r="AL611" s="35">
        <v>1.25381657192811E-3</v>
      </c>
      <c r="AM611" s="35">
        <v>1.8032482537373501E-3</v>
      </c>
      <c r="AN611" s="35">
        <v>2.9005700888806202E-3</v>
      </c>
      <c r="AO611" s="35"/>
      <c r="AP611" s="35"/>
      <c r="AQ611" s="35"/>
      <c r="AV611">
        <v>26.279</v>
      </c>
      <c r="AW611">
        <v>1227.1931</v>
      </c>
      <c r="AX611">
        <v>-75.599999999999994</v>
      </c>
      <c r="AZ611">
        <v>41.503399999999999</v>
      </c>
      <c r="BA611">
        <v>1345.4599000000001</v>
      </c>
      <c r="BB611">
        <v>-81</v>
      </c>
      <c r="BG611">
        <v>0.69930000000000003</v>
      </c>
      <c r="BH611">
        <v>3737359.2348000002</v>
      </c>
      <c r="BM611">
        <v>1.4</v>
      </c>
      <c r="BN611">
        <v>8.1</v>
      </c>
      <c r="BO611">
        <f t="shared" si="24"/>
        <v>11.339999999999998</v>
      </c>
      <c r="BP611" t="s">
        <v>173</v>
      </c>
      <c r="BQ611" t="s">
        <v>83</v>
      </c>
      <c r="BR611">
        <v>90</v>
      </c>
      <c r="BS611">
        <v>24</v>
      </c>
      <c r="BT611" t="s">
        <v>125</v>
      </c>
      <c r="BV611" t="s">
        <v>587</v>
      </c>
      <c r="BW611" t="s">
        <v>588</v>
      </c>
    </row>
    <row r="612" spans="1:75" x14ac:dyDescent="0.75">
      <c r="A612" t="s">
        <v>595</v>
      </c>
      <c r="B612" t="s">
        <v>74</v>
      </c>
      <c r="C612" t="s">
        <v>584</v>
      </c>
      <c r="D612" t="s">
        <v>596</v>
      </c>
      <c r="E612" t="s">
        <v>586</v>
      </c>
      <c r="F612">
        <v>50</v>
      </c>
      <c r="G612">
        <v>12</v>
      </c>
      <c r="H612" t="s">
        <v>78</v>
      </c>
      <c r="J612">
        <f>1/16</f>
        <v>6.25E-2</v>
      </c>
      <c r="L612" s="31">
        <v>-35.6</v>
      </c>
      <c r="M612">
        <v>-60</v>
      </c>
      <c r="R612" t="s">
        <v>79</v>
      </c>
      <c r="S612" s="36">
        <v>4.8540157067325802E-7</v>
      </c>
      <c r="T612" s="36">
        <v>4.7156139090881996E-6</v>
      </c>
      <c r="U612" s="36">
        <v>8.6567681128794906E-6</v>
      </c>
      <c r="V612" s="35"/>
      <c r="W612" s="36">
        <v>1.5002765623104399E-5</v>
      </c>
      <c r="X612" s="35"/>
      <c r="Y612" s="36">
        <v>2.47370225937744E-5</v>
      </c>
      <c r="Z612" s="36">
        <v>3.9054432578812E-5</v>
      </c>
      <c r="AA612" s="36">
        <v>5.9356506438145698E-5</v>
      </c>
      <c r="AB612" s="36">
        <v>8.7237276380384797E-5</v>
      </c>
      <c r="AC612" s="35">
        <v>1.2446133767815299E-4</v>
      </c>
      <c r="AD612" s="35">
        <v>1.72935790927532E-4</v>
      </c>
      <c r="AE612" s="35">
        <v>2.34677995064261E-4</v>
      </c>
      <c r="AF612" s="35">
        <v>3.1178099800994199E-4</v>
      </c>
      <c r="AG612" s="35">
        <v>4.0637833534602497E-4</v>
      </c>
      <c r="AH612" s="35">
        <v>5.2060963125533696E-4</v>
      </c>
      <c r="AI612" s="35">
        <v>6.5658814419731202E-4</v>
      </c>
      <c r="AJ612" s="35">
        <v>8.1637110536139298E-4</v>
      </c>
      <c r="AK612" s="35">
        <v>1.0019334232279199E-3</v>
      </c>
      <c r="AL612" s="35">
        <v>1.45775239073884E-3</v>
      </c>
      <c r="AM612" s="35">
        <v>2.0374344512713001E-3</v>
      </c>
      <c r="AN612" s="35">
        <v>3.1625952841884699E-3</v>
      </c>
      <c r="AO612" s="41">
        <v>0.15</v>
      </c>
      <c r="AP612" s="35">
        <v>80</v>
      </c>
      <c r="AQ612" s="35" t="s">
        <v>465</v>
      </c>
      <c r="AV612">
        <v>22.267800000000001</v>
      </c>
      <c r="AW612">
        <v>1212.7729999999999</v>
      </c>
      <c r="AX612">
        <v>-81.7</v>
      </c>
      <c r="AZ612">
        <v>30.563199999999998</v>
      </c>
      <c r="BA612">
        <v>1298.6368</v>
      </c>
      <c r="BB612">
        <v>-86</v>
      </c>
      <c r="BG612">
        <v>0.62229999999999996</v>
      </c>
      <c r="BH612">
        <v>389661.52409999998</v>
      </c>
      <c r="BM612">
        <v>1.4</v>
      </c>
      <c r="BN612">
        <v>8.1</v>
      </c>
      <c r="BO612">
        <f t="shared" si="24"/>
        <v>11.339999999999998</v>
      </c>
      <c r="BP612" t="s">
        <v>173</v>
      </c>
      <c r="BQ612" t="s">
        <v>83</v>
      </c>
      <c r="BR612">
        <v>90</v>
      </c>
      <c r="BS612">
        <v>24</v>
      </c>
      <c r="BT612" t="s">
        <v>125</v>
      </c>
      <c r="BV612" t="s">
        <v>587</v>
      </c>
      <c r="BW612" t="s">
        <v>588</v>
      </c>
    </row>
    <row r="613" spans="1:75" x14ac:dyDescent="0.75">
      <c r="A613" t="s">
        <v>595</v>
      </c>
      <c r="B613" t="s">
        <v>74</v>
      </c>
      <c r="C613" t="s">
        <v>584</v>
      </c>
      <c r="D613" t="s">
        <v>596</v>
      </c>
      <c r="E613" t="s">
        <v>586</v>
      </c>
      <c r="F613">
        <v>50</v>
      </c>
      <c r="G613">
        <v>12</v>
      </c>
      <c r="H613" t="s">
        <v>78</v>
      </c>
      <c r="J613">
        <f>1/20</f>
        <v>0.05</v>
      </c>
      <c r="L613" s="31">
        <v>-39.799999999999997</v>
      </c>
      <c r="M613">
        <v>-60</v>
      </c>
      <c r="R613" t="s">
        <v>79</v>
      </c>
      <c r="S613" s="36">
        <v>4.1816582771556898E-7</v>
      </c>
      <c r="T613" s="36">
        <v>3.5960267262348299E-6</v>
      </c>
      <c r="U613" s="36">
        <v>6.4225743170373703E-6</v>
      </c>
      <c r="V613" s="35"/>
      <c r="W613" s="36">
        <v>1.0877821808125201E-5</v>
      </c>
      <c r="X613" s="35"/>
      <c r="Y613" s="36">
        <v>1.7592165870781202E-5</v>
      </c>
      <c r="Z613" s="36">
        <v>2.7323840087754101E-5</v>
      </c>
      <c r="AA613" s="36">
        <v>4.0955406605540602E-5</v>
      </c>
      <c r="AB613" s="36">
        <v>5.9485033033540601E-5</v>
      </c>
      <c r="AC613" s="36">
        <v>8.4013342639823995E-5</v>
      </c>
      <c r="AD613" s="35">
        <v>1.1572682579281E-4</v>
      </c>
      <c r="AE613" s="35">
        <v>1.55878874800511E-4</v>
      </c>
      <c r="AF613" s="35">
        <v>2.05769479340179E-4</v>
      </c>
      <c r="AG613" s="35">
        <v>2.6672452493811899E-4</v>
      </c>
      <c r="AH613" s="35">
        <v>3.4007549977392999E-4</v>
      </c>
      <c r="AI613" s="35">
        <v>4.2714025813999501E-4</v>
      </c>
      <c r="AJ613" s="35">
        <v>5.2920532938137801E-4</v>
      </c>
      <c r="AK613" s="35">
        <v>6.4751011095823697E-4</v>
      </c>
      <c r="AL613" s="35">
        <v>9.3748061039994996E-4</v>
      </c>
      <c r="AM613" s="35">
        <v>1.30555748420297E-3</v>
      </c>
      <c r="AN613" s="35">
        <v>2.0192266062557199E-3</v>
      </c>
      <c r="AO613" s="35"/>
      <c r="AP613" s="35"/>
      <c r="AQ613" s="35"/>
      <c r="AV613">
        <v>15.2514</v>
      </c>
      <c r="AW613">
        <v>1250.0613000000001</v>
      </c>
      <c r="AX613">
        <v>-85.6</v>
      </c>
      <c r="AZ613">
        <v>20.943000000000001</v>
      </c>
      <c r="BA613">
        <v>1338.7518</v>
      </c>
      <c r="BB613">
        <v>-90</v>
      </c>
      <c r="BG613">
        <v>0.6038</v>
      </c>
      <c r="BH613">
        <v>140374.34179999999</v>
      </c>
      <c r="BM613">
        <v>1.4</v>
      </c>
      <c r="BN613">
        <v>8.1</v>
      </c>
      <c r="BO613">
        <f t="shared" si="24"/>
        <v>11.339999999999998</v>
      </c>
      <c r="BP613" t="s">
        <v>173</v>
      </c>
      <c r="BQ613" t="s">
        <v>83</v>
      </c>
      <c r="BR613">
        <v>90</v>
      </c>
      <c r="BS613">
        <v>24</v>
      </c>
      <c r="BT613" t="s">
        <v>125</v>
      </c>
      <c r="BV613" t="s">
        <v>587</v>
      </c>
      <c r="BW613" t="s">
        <v>588</v>
      </c>
    </row>
    <row r="614" spans="1:75" x14ac:dyDescent="0.75">
      <c r="A614" t="s">
        <v>597</v>
      </c>
      <c r="B614" t="s">
        <v>74</v>
      </c>
      <c r="C614" t="s">
        <v>584</v>
      </c>
      <c r="D614" t="s">
        <v>598</v>
      </c>
      <c r="E614" t="s">
        <v>586</v>
      </c>
      <c r="F614">
        <v>50</v>
      </c>
      <c r="G614">
        <v>17</v>
      </c>
      <c r="H614" t="s">
        <v>78</v>
      </c>
      <c r="J614">
        <v>0.125</v>
      </c>
      <c r="L614" s="31">
        <v>-29.1</v>
      </c>
      <c r="M614">
        <v>-58</v>
      </c>
      <c r="R614" t="s">
        <v>79</v>
      </c>
      <c r="S614" s="36">
        <v>1.2582843298638399E-7</v>
      </c>
      <c r="T614" s="36">
        <v>1.43762540969192E-6</v>
      </c>
      <c r="U614" s="36">
        <v>2.7807785714271998E-6</v>
      </c>
      <c r="V614" s="35"/>
      <c r="W614" s="36">
        <v>5.0697038513361404E-6</v>
      </c>
      <c r="X614" s="35"/>
      <c r="Y614" s="36">
        <v>8.7776378658145798E-6</v>
      </c>
      <c r="Z614" s="36">
        <v>1.4524437224964099E-5</v>
      </c>
      <c r="AA614" s="36">
        <v>2.3092157444247999E-5</v>
      </c>
      <c r="AB614" s="36">
        <v>3.5435670644297497E-5</v>
      </c>
      <c r="AC614" s="36">
        <v>5.2687684679564603E-5</v>
      </c>
      <c r="AD614" s="36">
        <v>7.6157966309658195E-5</v>
      </c>
      <c r="AE614" s="35">
        <v>1.07326960959523E-4</v>
      </c>
      <c r="AF614" s="35">
        <v>1.4783431333666199E-4</v>
      </c>
      <c r="AG614" s="35">
        <v>1.99463015374246E-4</v>
      </c>
      <c r="AH614" s="35">
        <v>2.6412004211094799E-4</v>
      </c>
      <c r="AI614" s="35">
        <v>3.4381439203034499E-4</v>
      </c>
      <c r="AJ614" s="35">
        <v>4.4063344037215699E-4</v>
      </c>
      <c r="AK614" s="35">
        <v>5.56718457780098E-4</v>
      </c>
      <c r="AL614" s="35">
        <v>8.5537422631266501E-4</v>
      </c>
      <c r="AM614" s="35">
        <v>1.25707553255757E-3</v>
      </c>
      <c r="AN614" s="35">
        <v>2.0890300198109198E-3</v>
      </c>
      <c r="AO614" s="35"/>
      <c r="AP614" s="35"/>
      <c r="AQ614" s="35"/>
      <c r="AV614">
        <v>43.281599999999997</v>
      </c>
      <c r="AW614">
        <v>1476.8880999999999</v>
      </c>
      <c r="AX614">
        <v>-87.6</v>
      </c>
      <c r="AZ614">
        <v>16.4419</v>
      </c>
      <c r="BA614">
        <v>1247.8024</v>
      </c>
      <c r="BB614">
        <v>-79</v>
      </c>
      <c r="BG614">
        <v>0.80989999999999995</v>
      </c>
      <c r="BH614">
        <v>98747833.717899993</v>
      </c>
      <c r="BM614">
        <v>1.5</v>
      </c>
      <c r="BN614">
        <v>7.8</v>
      </c>
      <c r="BO614">
        <f t="shared" si="24"/>
        <v>11.7</v>
      </c>
      <c r="BP614" t="s">
        <v>173</v>
      </c>
      <c r="BQ614" t="s">
        <v>83</v>
      </c>
      <c r="BR614">
        <v>90</v>
      </c>
      <c r="BS614">
        <v>24</v>
      </c>
      <c r="BT614" t="s">
        <v>125</v>
      </c>
      <c r="BV614" t="s">
        <v>587</v>
      </c>
      <c r="BW614" t="s">
        <v>588</v>
      </c>
    </row>
    <row r="615" spans="1:75" x14ac:dyDescent="0.75">
      <c r="A615" t="s">
        <v>597</v>
      </c>
      <c r="B615" t="s">
        <v>74</v>
      </c>
      <c r="C615" t="s">
        <v>584</v>
      </c>
      <c r="D615" t="s">
        <v>598</v>
      </c>
      <c r="E615" t="s">
        <v>586</v>
      </c>
      <c r="F615">
        <v>50</v>
      </c>
      <c r="G615">
        <v>17</v>
      </c>
      <c r="H615" t="s">
        <v>78</v>
      </c>
      <c r="J615">
        <f>1/12</f>
        <v>8.3333333333333329E-2</v>
      </c>
      <c r="L615" s="31">
        <v>-36.9</v>
      </c>
      <c r="M615">
        <v>-58</v>
      </c>
      <c r="R615" t="s">
        <v>79</v>
      </c>
      <c r="S615" s="36">
        <v>3.3038853684877399E-7</v>
      </c>
      <c r="T615" s="36">
        <v>3.4130312211620999E-6</v>
      </c>
      <c r="U615" s="36">
        <v>6.3597650260871102E-6</v>
      </c>
      <c r="V615" s="35"/>
      <c r="W615" s="36">
        <v>1.11658505683077E-5</v>
      </c>
      <c r="X615" s="35"/>
      <c r="Y615" s="36">
        <v>1.8620872706590998E-5</v>
      </c>
      <c r="Z615" s="36">
        <v>2.96938812962719E-5</v>
      </c>
      <c r="AA615" s="36">
        <v>4.5531619242003E-5</v>
      </c>
      <c r="AB615" s="36">
        <v>6.7448720148974303E-5</v>
      </c>
      <c r="AC615" s="36">
        <v>9.6910895333040501E-5</v>
      </c>
      <c r="AD615" s="35">
        <v>1.35512519827318E-4</v>
      </c>
      <c r="AE615" s="35">
        <v>1.84950205428726E-4</v>
      </c>
      <c r="AF615" s="35">
        <v>2.4699395460239901E-4</v>
      </c>
      <c r="AG615" s="35">
        <v>3.23457369612873E-4</v>
      </c>
      <c r="AH615" s="35">
        <v>4.1616819264163801E-4</v>
      </c>
      <c r="AI615" s="35">
        <v>5.2694021411742696E-4</v>
      </c>
      <c r="AJ615" s="35">
        <v>6.5754733826423203E-4</v>
      </c>
      <c r="AK615" s="35">
        <v>8.0970035815385098E-4</v>
      </c>
      <c r="AL615" s="35">
        <v>1.18505386101751E-3</v>
      </c>
      <c r="AM615" s="35">
        <v>1.66473843699906E-3</v>
      </c>
      <c r="AN615" s="35">
        <v>2.6006594873296302E-3</v>
      </c>
      <c r="AO615" s="35"/>
      <c r="AP615" s="35"/>
      <c r="AQ615" s="35"/>
      <c r="AV615">
        <v>19.269300000000001</v>
      </c>
      <c r="AW615">
        <v>1217.4495999999999</v>
      </c>
      <c r="AX615">
        <v>-80.75</v>
      </c>
      <c r="AZ615">
        <v>37.0077</v>
      </c>
      <c r="BA615">
        <v>1373.3313000000001</v>
      </c>
      <c r="BB615">
        <v>-87</v>
      </c>
      <c r="BG615">
        <v>0.7591</v>
      </c>
      <c r="BH615">
        <v>28756038.0504</v>
      </c>
      <c r="BM615">
        <v>1.5</v>
      </c>
      <c r="BN615">
        <v>7.8</v>
      </c>
      <c r="BO615">
        <f t="shared" si="24"/>
        <v>11.7</v>
      </c>
      <c r="BP615" t="s">
        <v>173</v>
      </c>
      <c r="BQ615" t="s">
        <v>83</v>
      </c>
      <c r="BR615">
        <v>90</v>
      </c>
      <c r="BS615">
        <v>24</v>
      </c>
      <c r="BT615" t="s">
        <v>125</v>
      </c>
      <c r="BV615" t="s">
        <v>587</v>
      </c>
      <c r="BW615" t="s">
        <v>588</v>
      </c>
    </row>
    <row r="616" spans="1:75" x14ac:dyDescent="0.75">
      <c r="A616" t="s">
        <v>597</v>
      </c>
      <c r="B616" t="s">
        <v>74</v>
      </c>
      <c r="C616" t="s">
        <v>584</v>
      </c>
      <c r="D616" t="s">
        <v>598</v>
      </c>
      <c r="E616" t="s">
        <v>586</v>
      </c>
      <c r="F616">
        <v>50</v>
      </c>
      <c r="G616">
        <v>17</v>
      </c>
      <c r="H616" t="s">
        <v>78</v>
      </c>
      <c r="J616">
        <f>1/16</f>
        <v>6.25E-2</v>
      </c>
      <c r="L616" s="31">
        <v>-43.5</v>
      </c>
      <c r="M616">
        <v>-58</v>
      </c>
      <c r="R616" t="s">
        <v>79</v>
      </c>
      <c r="S616" s="36">
        <v>8.0407776132085403E-7</v>
      </c>
      <c r="T616" s="36">
        <v>5.9385127997412304E-6</v>
      </c>
      <c r="U616" s="36">
        <v>1.01962667113807E-5</v>
      </c>
      <c r="V616" s="35"/>
      <c r="W616" s="36">
        <v>1.6671412813155601E-5</v>
      </c>
      <c r="X616" s="35"/>
      <c r="Y616" s="36">
        <v>2.6121586203303499E-5</v>
      </c>
      <c r="Z616" s="36">
        <v>3.94278682691319E-5</v>
      </c>
      <c r="AA616" s="36">
        <v>5.7584414402730003E-5</v>
      </c>
      <c r="AB616" s="36">
        <v>8.1683530487651701E-5</v>
      </c>
      <c r="AC616" s="35">
        <v>1.12897356769383E-4</v>
      </c>
      <c r="AD616" s="35">
        <v>1.5245736591726599E-4</v>
      </c>
      <c r="AE616" s="35">
        <v>2.01632820051866E-4</v>
      </c>
      <c r="AF616" s="35">
        <v>2.6170919648216598E-4</v>
      </c>
      <c r="AG616" s="35">
        <v>3.3396741681634501E-4</v>
      </c>
      <c r="AH616" s="35">
        <v>4.1966452507583197E-4</v>
      </c>
      <c r="AI616" s="35">
        <v>5.2001627620821298E-4</v>
      </c>
      <c r="AJ616" s="35">
        <v>6.3618192905892396E-4</v>
      </c>
      <c r="AK616" s="35">
        <v>7.6925139409863804E-4</v>
      </c>
      <c r="AL616" s="35">
        <v>1.0900542005050601E-3</v>
      </c>
      <c r="AM616" s="35">
        <v>1.4894165046335599E-3</v>
      </c>
      <c r="AN616" s="35">
        <v>2.2472262630241499E-3</v>
      </c>
      <c r="AO616" s="41">
        <v>0.2</v>
      </c>
      <c r="AP616" s="35">
        <v>80</v>
      </c>
      <c r="AQ616" s="35" t="s">
        <v>465</v>
      </c>
      <c r="AV616">
        <v>12.7981</v>
      </c>
      <c r="AW616">
        <v>1198.6093000000001</v>
      </c>
      <c r="AX616">
        <v>-87</v>
      </c>
      <c r="AZ616">
        <v>23.968</v>
      </c>
      <c r="BA616">
        <v>1358.1098</v>
      </c>
      <c r="BB616">
        <v>-94</v>
      </c>
      <c r="BG616">
        <v>0.66320000000000001</v>
      </c>
      <c r="BH616">
        <v>1257811.3285999999</v>
      </c>
      <c r="BM616">
        <v>1.5</v>
      </c>
      <c r="BN616">
        <v>7.8</v>
      </c>
      <c r="BO616">
        <f t="shared" si="24"/>
        <v>11.7</v>
      </c>
      <c r="BP616" t="s">
        <v>173</v>
      </c>
      <c r="BQ616" t="s">
        <v>83</v>
      </c>
      <c r="BR616">
        <v>90</v>
      </c>
      <c r="BS616">
        <v>24</v>
      </c>
      <c r="BT616" t="s">
        <v>125</v>
      </c>
      <c r="BV616" t="s">
        <v>587</v>
      </c>
      <c r="BW616" t="s">
        <v>588</v>
      </c>
    </row>
    <row r="617" spans="1:75" x14ac:dyDescent="0.75">
      <c r="A617" t="s">
        <v>597</v>
      </c>
      <c r="B617" t="s">
        <v>74</v>
      </c>
      <c r="C617" t="s">
        <v>584</v>
      </c>
      <c r="D617" t="s">
        <v>598</v>
      </c>
      <c r="E617" t="s">
        <v>586</v>
      </c>
      <c r="F617">
        <v>50</v>
      </c>
      <c r="G617">
        <v>17</v>
      </c>
      <c r="H617" t="s">
        <v>78</v>
      </c>
      <c r="J617">
        <f>1/20</f>
        <v>0.05</v>
      </c>
      <c r="L617" s="31">
        <v>-47.5</v>
      </c>
      <c r="M617">
        <v>-58</v>
      </c>
      <c r="R617" t="s">
        <v>79</v>
      </c>
      <c r="S617" s="36">
        <v>1.16162876585894E-6</v>
      </c>
      <c r="T617" s="36">
        <v>7.7280054894454608E-6</v>
      </c>
      <c r="U617" s="36">
        <v>1.2897381905499301E-5</v>
      </c>
      <c r="V617" s="35"/>
      <c r="W617" s="36">
        <v>2.0549111687438699E-5</v>
      </c>
      <c r="X617" s="35"/>
      <c r="Y617" s="36">
        <v>3.1443564596647501E-5</v>
      </c>
      <c r="Z617" s="36">
        <v>4.6438967297868301E-5</v>
      </c>
      <c r="AA617" s="36">
        <v>6.6476616095223495E-5</v>
      </c>
      <c r="AB617" s="36">
        <v>9.2563061639321497E-5</v>
      </c>
      <c r="AC617" s="35">
        <v>1.2575050733312101E-4</v>
      </c>
      <c r="AD617" s="35">
        <v>1.6711656667723701E-4</v>
      </c>
      <c r="AE617" s="35">
        <v>2.1774435783454099E-4</v>
      </c>
      <c r="AF617" s="35">
        <v>2.7870371333223501E-4</v>
      </c>
      <c r="AG617" s="35">
        <v>3.5103407693987002E-4</v>
      </c>
      <c r="AH617" s="35">
        <v>4.3572946715103301E-4</v>
      </c>
      <c r="AI617" s="35">
        <v>5.33725718385036E-4</v>
      </c>
      <c r="AJ617" s="35">
        <v>6.4589007207435504E-4</v>
      </c>
      <c r="AK617" s="35">
        <v>7.7301308107165603E-4</v>
      </c>
      <c r="AL617" s="35">
        <v>1.07488046254089E-3</v>
      </c>
      <c r="AM617" s="35">
        <v>1.4439432794223601E-3</v>
      </c>
      <c r="AN617" s="35">
        <v>2.13015772368983E-3</v>
      </c>
      <c r="AO617" s="35"/>
      <c r="AP617" s="35"/>
      <c r="AQ617" s="35"/>
      <c r="AV617">
        <v>9.0131999999999994</v>
      </c>
      <c r="AW617">
        <v>1135.2891</v>
      </c>
      <c r="AX617">
        <v>-86.9</v>
      </c>
      <c r="AZ617">
        <v>22.937899999999999</v>
      </c>
      <c r="BA617">
        <v>1377.1419000000001</v>
      </c>
      <c r="BB617">
        <v>-98</v>
      </c>
      <c r="BG617">
        <v>0.62819999999999998</v>
      </c>
      <c r="BH617">
        <v>412140.75530000002</v>
      </c>
      <c r="BM617">
        <v>1.5</v>
      </c>
      <c r="BN617">
        <v>7.8</v>
      </c>
      <c r="BO617">
        <f t="shared" si="24"/>
        <v>11.7</v>
      </c>
      <c r="BP617" t="s">
        <v>173</v>
      </c>
      <c r="BQ617" t="s">
        <v>83</v>
      </c>
      <c r="BR617">
        <v>90</v>
      </c>
      <c r="BS617">
        <v>24</v>
      </c>
      <c r="BT617" t="s">
        <v>125</v>
      </c>
      <c r="BV617" t="s">
        <v>587</v>
      </c>
      <c r="BW617" t="s">
        <v>588</v>
      </c>
    </row>
    <row r="618" spans="1:75" x14ac:dyDescent="0.75">
      <c r="A618" t="s">
        <v>599</v>
      </c>
      <c r="B618" t="s">
        <v>74</v>
      </c>
      <c r="C618" t="s">
        <v>584</v>
      </c>
      <c r="D618" t="s">
        <v>600</v>
      </c>
      <c r="E618" t="s">
        <v>586</v>
      </c>
      <c r="F618">
        <v>50</v>
      </c>
      <c r="G618">
        <v>25.5</v>
      </c>
      <c r="H618" t="s">
        <v>78</v>
      </c>
      <c r="J618">
        <v>0.125</v>
      </c>
      <c r="L618" s="31">
        <v>-27.3</v>
      </c>
      <c r="M618">
        <v>-55</v>
      </c>
      <c r="R618" t="s">
        <v>79</v>
      </c>
      <c r="S618" s="36">
        <v>1.91357627931747E-7</v>
      </c>
      <c r="T618" s="36">
        <v>2.63211468316391E-6</v>
      </c>
      <c r="U618" s="36">
        <v>5.2239337786541098E-6</v>
      </c>
      <c r="V618" s="35"/>
      <c r="W618" s="36">
        <v>9.6644686243520507E-6</v>
      </c>
      <c r="X618" s="35"/>
      <c r="Y618" s="36">
        <v>1.6837256072099599E-5</v>
      </c>
      <c r="Z618" s="36">
        <v>2.78540151490402E-5</v>
      </c>
      <c r="AA618" s="36">
        <v>4.4055654373124701E-5</v>
      </c>
      <c r="AB618" s="36">
        <v>6.7001606977181994E-5</v>
      </c>
      <c r="AC618" s="36">
        <v>9.8448824290637202E-5</v>
      </c>
      <c r="AD618" s="35">
        <v>1.4032245231604301E-4</v>
      </c>
      <c r="AE618" s="35">
        <v>1.94680550586575E-4</v>
      </c>
      <c r="AF618" s="35">
        <v>2.6367524866563902E-4</v>
      </c>
      <c r="AG618" s="35">
        <v>3.49512556512332E-4</v>
      </c>
      <c r="AH618" s="35">
        <v>4.5441273165253002E-4</v>
      </c>
      <c r="AI618" s="35">
        <v>5.80572727604289E-4</v>
      </c>
      <c r="AJ618" s="35">
        <v>7.3013185659420395E-4</v>
      </c>
      <c r="AK618" s="35">
        <v>9.0514143092976999E-4</v>
      </c>
      <c r="AL618" s="35">
        <v>1.33912611214621E-3</v>
      </c>
      <c r="AM618" s="35">
        <v>1.8963057308868699E-3</v>
      </c>
      <c r="AN618" s="35">
        <v>2.9867480549852798E-3</v>
      </c>
      <c r="AO618" s="35"/>
      <c r="AP618" s="35"/>
      <c r="AQ618" s="35"/>
      <c r="AV618">
        <v>19.584299999999999</v>
      </c>
      <c r="AW618">
        <v>1150.7726</v>
      </c>
      <c r="AX618">
        <v>-73.599999999999994</v>
      </c>
      <c r="AZ618">
        <v>27.305900000000001</v>
      </c>
      <c r="BA618">
        <v>1229.1114</v>
      </c>
      <c r="BB618">
        <v>-77</v>
      </c>
      <c r="BG618">
        <v>0.74490000000000001</v>
      </c>
      <c r="BH618">
        <v>18566118.4727</v>
      </c>
      <c r="BM618">
        <v>1.2</v>
      </c>
      <c r="BN618">
        <v>7.4</v>
      </c>
      <c r="BO618">
        <f t="shared" si="24"/>
        <v>8.8800000000000008</v>
      </c>
      <c r="BP618" t="s">
        <v>173</v>
      </c>
      <c r="BQ618" t="s">
        <v>83</v>
      </c>
      <c r="BR618">
        <v>90</v>
      </c>
      <c r="BS618">
        <v>24</v>
      </c>
      <c r="BT618" t="s">
        <v>125</v>
      </c>
      <c r="BV618" t="s">
        <v>587</v>
      </c>
      <c r="BW618" t="s">
        <v>588</v>
      </c>
    </row>
    <row r="619" spans="1:75" x14ac:dyDescent="0.75">
      <c r="A619" t="s">
        <v>599</v>
      </c>
      <c r="B619" t="s">
        <v>74</v>
      </c>
      <c r="C619" t="s">
        <v>584</v>
      </c>
      <c r="D619" t="s">
        <v>600</v>
      </c>
      <c r="E619" t="s">
        <v>586</v>
      </c>
      <c r="F619">
        <v>50</v>
      </c>
      <c r="G619">
        <v>25.5</v>
      </c>
      <c r="H619" t="s">
        <v>78</v>
      </c>
      <c r="J619">
        <f>1/12</f>
        <v>8.3333333333333329E-2</v>
      </c>
      <c r="L619" s="31">
        <v>-40.799999999999997</v>
      </c>
      <c r="M619">
        <v>-55</v>
      </c>
      <c r="R619" t="s">
        <v>79</v>
      </c>
      <c r="S619" s="36">
        <v>9.9306212488352705E-7</v>
      </c>
      <c r="T619" s="36">
        <v>8.3045882468226401E-6</v>
      </c>
      <c r="U619" s="36">
        <v>1.46504683051023E-5</v>
      </c>
      <c r="V619" s="35"/>
      <c r="W619" s="36">
        <v>2.44938211648659E-5</v>
      </c>
      <c r="X619" s="35"/>
      <c r="Y619" s="36">
        <v>3.9089863226358902E-5</v>
      </c>
      <c r="Z619" s="36">
        <v>5.9905924170367698E-5</v>
      </c>
      <c r="AA619" s="36">
        <v>8.8601914075831195E-5</v>
      </c>
      <c r="AB619" s="35">
        <v>1.2700239921742301E-4</v>
      </c>
      <c r="AC619" s="35">
        <v>1.77062613894703E-4</v>
      </c>
      <c r="AD619" s="35">
        <v>2.40830795192635E-4</v>
      </c>
      <c r="AE619" s="35">
        <v>3.20409061526003E-4</v>
      </c>
      <c r="AF619" s="35">
        <v>4.1791474799143601E-4</v>
      </c>
      <c r="AG619" s="35">
        <v>5.3544373362695099E-4</v>
      </c>
      <c r="AH619" s="35">
        <v>6.7503690226305101E-4</v>
      </c>
      <c r="AI619" s="35">
        <v>8.3865050707214201E-4</v>
      </c>
      <c r="AJ619" s="35">
        <v>1.0281308815777101E-3</v>
      </c>
      <c r="AK619" s="35">
        <v>1.24519366753082E-3</v>
      </c>
      <c r="AL619" s="35">
        <v>1.76818205095818E-3</v>
      </c>
      <c r="AM619" s="35">
        <v>2.4182116485117699E-3</v>
      </c>
      <c r="AN619" s="35">
        <v>3.6479359555712898E-3</v>
      </c>
      <c r="AO619" s="35"/>
      <c r="AP619" s="35"/>
      <c r="AQ619" s="35"/>
      <c r="AV619">
        <v>17.954599999999999</v>
      </c>
      <c r="AW619">
        <v>1140.1135999999999</v>
      </c>
      <c r="AX619">
        <v>-82</v>
      </c>
      <c r="AZ619">
        <v>36.937899999999999</v>
      </c>
      <c r="BA619">
        <v>1328.7438999999999</v>
      </c>
      <c r="BB619">
        <v>-91</v>
      </c>
      <c r="BG619">
        <v>0.63090000000000002</v>
      </c>
      <c r="BH619">
        <v>673559.82640000002</v>
      </c>
      <c r="BM619">
        <v>1.2</v>
      </c>
      <c r="BN619">
        <v>7.4</v>
      </c>
      <c r="BO619">
        <f t="shared" si="24"/>
        <v>8.8800000000000008</v>
      </c>
      <c r="BP619" t="s">
        <v>173</v>
      </c>
      <c r="BQ619" t="s">
        <v>83</v>
      </c>
      <c r="BR619">
        <v>90</v>
      </c>
      <c r="BS619">
        <v>24</v>
      </c>
      <c r="BT619" t="s">
        <v>125</v>
      </c>
      <c r="BV619" t="s">
        <v>587</v>
      </c>
      <c r="BW619" t="s">
        <v>588</v>
      </c>
    </row>
    <row r="620" spans="1:75" x14ac:dyDescent="0.75">
      <c r="A620" t="s">
        <v>599</v>
      </c>
      <c r="B620" t="s">
        <v>74</v>
      </c>
      <c r="C620" t="s">
        <v>584</v>
      </c>
      <c r="D620" t="s">
        <v>600</v>
      </c>
      <c r="E620" t="s">
        <v>586</v>
      </c>
      <c r="F620">
        <v>50</v>
      </c>
      <c r="G620">
        <v>25.5</v>
      </c>
      <c r="H620" t="s">
        <v>78</v>
      </c>
      <c r="J620">
        <f>1/16</f>
        <v>6.25E-2</v>
      </c>
      <c r="L620" s="31">
        <v>-44.5</v>
      </c>
      <c r="M620">
        <v>-55</v>
      </c>
      <c r="R620" t="s">
        <v>79</v>
      </c>
      <c r="S620" s="36">
        <v>4.8142465917140197E-6</v>
      </c>
      <c r="T620" s="36">
        <v>3.04040269240761E-5</v>
      </c>
      <c r="U620" s="36">
        <v>4.9835322340068801E-5</v>
      </c>
      <c r="V620" s="35"/>
      <c r="W620" s="36">
        <v>7.7996244365759497E-5</v>
      </c>
      <c r="X620" s="35"/>
      <c r="Y620" s="35">
        <v>1.17273577621961E-4</v>
      </c>
      <c r="Z620" s="35">
        <v>1.7026570232726499E-4</v>
      </c>
      <c r="AA620" s="35">
        <v>2.3972139960282501E-4</v>
      </c>
      <c r="AB620" s="35">
        <v>3.2847520690433302E-4</v>
      </c>
      <c r="AC620" s="35">
        <v>4.3938331702210399E-4</v>
      </c>
      <c r="AD620" s="35">
        <v>5.7526317342694404E-4</v>
      </c>
      <c r="AE620" s="35">
        <v>7.3883902925306799E-4</v>
      </c>
      <c r="AF620" s="35">
        <v>9.3269491019216098E-4</v>
      </c>
      <c r="AG620" s="35">
        <v>1.15923571108899E-3</v>
      </c>
      <c r="AH620" s="35">
        <v>1.42065658616645E-3</v>
      </c>
      <c r="AI620" s="35">
        <v>1.7189203647574999E-3</v>
      </c>
      <c r="AJ620" s="35">
        <v>2.0557424256818801E-3</v>
      </c>
      <c r="AK620" s="35">
        <v>2.4325822746366099E-3</v>
      </c>
      <c r="AL620" s="35">
        <v>3.3108634989267301E-3</v>
      </c>
      <c r="AM620" s="35">
        <v>4.3603417819509504E-3</v>
      </c>
      <c r="AN620" s="35">
        <v>6.2606467224787903E-3</v>
      </c>
      <c r="AO620" s="41">
        <v>0.16</v>
      </c>
      <c r="AP620" s="35">
        <v>80</v>
      </c>
      <c r="AQ620" s="35" t="s">
        <v>465</v>
      </c>
      <c r="AV620">
        <v>16.991700000000002</v>
      </c>
      <c r="AW620">
        <v>1024.0705</v>
      </c>
      <c r="AX620">
        <v>-83.45</v>
      </c>
      <c r="AZ620">
        <v>43.795099999999998</v>
      </c>
      <c r="BA620">
        <v>1262.1322</v>
      </c>
      <c r="BB620">
        <v>-95</v>
      </c>
      <c r="BG620">
        <v>0.60370000000000001</v>
      </c>
      <c r="BH620">
        <v>594873.022</v>
      </c>
      <c r="BM620">
        <v>1.2</v>
      </c>
      <c r="BN620">
        <v>7.4</v>
      </c>
      <c r="BO620">
        <f t="shared" si="24"/>
        <v>8.8800000000000008</v>
      </c>
      <c r="BP620" t="s">
        <v>173</v>
      </c>
      <c r="BQ620" t="s">
        <v>83</v>
      </c>
      <c r="BR620">
        <v>90</v>
      </c>
      <c r="BS620">
        <v>24</v>
      </c>
      <c r="BT620" t="s">
        <v>125</v>
      </c>
      <c r="BV620" t="s">
        <v>587</v>
      </c>
      <c r="BW620" t="s">
        <v>588</v>
      </c>
    </row>
    <row r="621" spans="1:75" x14ac:dyDescent="0.75">
      <c r="A621" s="1" t="s">
        <v>599</v>
      </c>
      <c r="B621" s="1" t="s">
        <v>74</v>
      </c>
      <c r="C621" s="1" t="s">
        <v>584</v>
      </c>
      <c r="D621" s="1" t="s">
        <v>600</v>
      </c>
      <c r="E621" s="1" t="s">
        <v>586</v>
      </c>
      <c r="F621" s="1">
        <v>50</v>
      </c>
      <c r="G621" s="1">
        <v>25.5</v>
      </c>
      <c r="H621" s="1" t="s">
        <v>78</v>
      </c>
      <c r="I621" s="1"/>
      <c r="J621" s="1">
        <f>1/20</f>
        <v>0.05</v>
      </c>
      <c r="K621" s="1"/>
      <c r="L621" s="32">
        <v>-48.3</v>
      </c>
      <c r="M621" s="1">
        <v>-55</v>
      </c>
      <c r="N621" s="1"/>
      <c r="O621" s="1"/>
      <c r="P621" s="1"/>
      <c r="Q621" s="1"/>
      <c r="R621" s="1" t="s">
        <v>79</v>
      </c>
      <c r="S621" s="40">
        <v>4.1347989637897603E-6</v>
      </c>
      <c r="T621" s="40">
        <v>2.3384655491895201E-5</v>
      </c>
      <c r="U621" s="40">
        <v>3.7374934194633602E-5</v>
      </c>
      <c r="V621" s="39"/>
      <c r="W621" s="40">
        <v>5.7264672206837203E-5</v>
      </c>
      <c r="X621" s="39"/>
      <c r="Y621" s="40">
        <v>8.4565696997686402E-5</v>
      </c>
      <c r="Z621" s="39">
        <v>1.20910659150607E-4</v>
      </c>
      <c r="AA621" s="39">
        <v>1.6801656493806199E-4</v>
      </c>
      <c r="AB621" s="39">
        <v>2.2764674824121001E-4</v>
      </c>
      <c r="AC621" s="39">
        <v>3.01573430423629E-4</v>
      </c>
      <c r="AD621" s="39">
        <v>3.9154255574412697E-4</v>
      </c>
      <c r="AE621" s="39">
        <v>4.99242113702285E-4</v>
      </c>
      <c r="AF621" s="39">
        <v>6.2627471810794899E-4</v>
      </c>
      <c r="AG621" s="39">
        <v>7.7413483352729796E-4</v>
      </c>
      <c r="AH621" s="39">
        <v>9.4419073454617803E-4</v>
      </c>
      <c r="AI621" s="39">
        <v>1.13767105235455E-3</v>
      </c>
      <c r="AJ621" s="39">
        <v>1.35565560012498E-3</v>
      </c>
      <c r="AK621" s="39">
        <v>1.59907006374145E-3</v>
      </c>
      <c r="AL621" s="39">
        <v>2.1651122566196399E-3</v>
      </c>
      <c r="AM621" s="39">
        <v>2.8401164702356201E-3</v>
      </c>
      <c r="AN621" s="39">
        <v>4.0606996148937896E-3</v>
      </c>
      <c r="AO621" s="39"/>
      <c r="AP621" s="39"/>
      <c r="AQ621" s="39"/>
      <c r="AR621" s="1"/>
      <c r="AS621" s="1"/>
      <c r="AT621" s="1"/>
      <c r="AU621" s="1"/>
      <c r="AV621" s="1">
        <v>11.6038</v>
      </c>
      <c r="AW621" s="1">
        <v>1055.7655999999999</v>
      </c>
      <c r="AX621" s="1">
        <v>-87.7</v>
      </c>
      <c r="AY621" s="1"/>
      <c r="AZ621" s="1">
        <v>25.811599999999999</v>
      </c>
      <c r="BA621" s="1">
        <v>1263.3992000000001</v>
      </c>
      <c r="BB621" s="1">
        <v>-98</v>
      </c>
      <c r="BC621" s="1"/>
      <c r="BD621" s="1"/>
      <c r="BE621" s="1"/>
      <c r="BF621" s="1"/>
      <c r="BG621" s="1">
        <v>0.57540000000000002</v>
      </c>
      <c r="BH621" s="1">
        <v>157425.67679999999</v>
      </c>
      <c r="BI621" s="1"/>
      <c r="BJ621" s="1"/>
      <c r="BK621" s="1"/>
      <c r="BL621" s="1"/>
      <c r="BM621" s="1">
        <v>1.2</v>
      </c>
      <c r="BN621" s="1">
        <v>7.4</v>
      </c>
      <c r="BO621">
        <f t="shared" si="24"/>
        <v>8.8800000000000008</v>
      </c>
      <c r="BP621" s="1" t="s">
        <v>173</v>
      </c>
      <c r="BQ621" s="1" t="s">
        <v>83</v>
      </c>
      <c r="BR621" s="1">
        <v>90</v>
      </c>
      <c r="BS621" s="1">
        <v>24</v>
      </c>
      <c r="BT621" t="s">
        <v>125</v>
      </c>
      <c r="BU621" s="1"/>
      <c r="BV621" s="1" t="s">
        <v>587</v>
      </c>
      <c r="BW621" t="s">
        <v>588</v>
      </c>
    </row>
    <row r="622" spans="1:75" x14ac:dyDescent="0.75">
      <c r="A622" t="s">
        <v>601</v>
      </c>
      <c r="B622" t="s">
        <v>626</v>
      </c>
      <c r="C622" t="s">
        <v>602</v>
      </c>
      <c r="D622" t="s">
        <v>603</v>
      </c>
      <c r="E622" s="33" t="s">
        <v>604</v>
      </c>
      <c r="F622">
        <v>50</v>
      </c>
      <c r="G622">
        <v>2</v>
      </c>
      <c r="H622" t="s">
        <v>78</v>
      </c>
      <c r="I622">
        <v>0.1</v>
      </c>
      <c r="L622" s="31">
        <v>41</v>
      </c>
      <c r="M622">
        <v>45</v>
      </c>
      <c r="R622" t="s">
        <v>79</v>
      </c>
      <c r="AI622">
        <v>9.311078754678283E-9</v>
      </c>
      <c r="AL622">
        <v>1.472312502432716E-7</v>
      </c>
      <c r="AO622" s="35"/>
      <c r="AP622" s="35"/>
      <c r="AQ622" s="35"/>
      <c r="AR622" s="35"/>
      <c r="AS622" s="35"/>
      <c r="AT622" s="35"/>
      <c r="AU622" s="35"/>
      <c r="AV622" s="35"/>
      <c r="AW622" s="35"/>
      <c r="AX622" s="35"/>
      <c r="AY622" s="35"/>
      <c r="AZ622" s="35"/>
      <c r="BA622" s="35"/>
      <c r="BB622" s="35"/>
      <c r="BC622" s="35"/>
      <c r="BD622" s="35"/>
      <c r="BG622" s="35"/>
      <c r="BH622" s="35"/>
      <c r="BI622" s="35"/>
      <c r="BM622">
        <v>4.5</v>
      </c>
      <c r="BN622">
        <v>15</v>
      </c>
      <c r="BO622">
        <f t="shared" si="24"/>
        <v>67.5</v>
      </c>
      <c r="BP622" t="s">
        <v>173</v>
      </c>
      <c r="BQ622" t="s">
        <v>605</v>
      </c>
      <c r="BR622">
        <v>60</v>
      </c>
      <c r="BS622">
        <v>24</v>
      </c>
      <c r="BT622" t="s">
        <v>84</v>
      </c>
      <c r="BV622" t="s">
        <v>606</v>
      </c>
      <c r="BW622" t="s">
        <v>607</v>
      </c>
    </row>
    <row r="623" spans="1:75" x14ac:dyDescent="0.75">
      <c r="A623" t="s">
        <v>608</v>
      </c>
      <c r="B623" t="s">
        <v>74</v>
      </c>
      <c r="C623" t="s">
        <v>609</v>
      </c>
      <c r="D623" t="s">
        <v>610</v>
      </c>
      <c r="E623" s="30" t="s">
        <v>604</v>
      </c>
      <c r="F623">
        <v>50</v>
      </c>
      <c r="G623">
        <v>2</v>
      </c>
      <c r="H623" t="s">
        <v>78</v>
      </c>
      <c r="I623">
        <v>0.1</v>
      </c>
      <c r="L623" s="31">
        <v>18</v>
      </c>
      <c r="M623">
        <v>9</v>
      </c>
      <c r="N623">
        <v>141</v>
      </c>
      <c r="R623" t="s">
        <v>84</v>
      </c>
      <c r="AA623" s="5">
        <v>6.4002967195511395E-10</v>
      </c>
      <c r="AB623" s="5">
        <v>2.0748906933316102E-9</v>
      </c>
      <c r="AC623" s="5">
        <v>5.7390776993808397E-9</v>
      </c>
      <c r="AD623" s="5">
        <v>1.3955785073956799E-8</v>
      </c>
      <c r="AE623" s="5">
        <v>3.0525705494798598E-8</v>
      </c>
      <c r="AF623" s="5">
        <v>6.1135131257951202E-8</v>
      </c>
      <c r="AG623" s="5">
        <v>1.1368721137161001E-7</v>
      </c>
      <c r="AH623" s="5">
        <v>1.98512340286797E-7</v>
      </c>
      <c r="AI623" s="5">
        <v>3.28433923124554E-7</v>
      </c>
      <c r="AJ623" s="5">
        <v>5.1868638447228901E-7</v>
      </c>
      <c r="AK623" s="5">
        <v>7.8669921870985304E-7</v>
      </c>
      <c r="AL623" s="5">
        <v>1.6346732040816601E-6</v>
      </c>
      <c r="AO623" s="35"/>
      <c r="AP623" s="35"/>
      <c r="AQ623" s="35"/>
      <c r="AR623" s="35"/>
      <c r="AS623" s="35"/>
      <c r="AT623" s="35"/>
      <c r="AU623" s="35"/>
      <c r="AV623">
        <v>0.16009999999999999</v>
      </c>
      <c r="AW623">
        <v>1062.3638000000001</v>
      </c>
      <c r="AX623">
        <v>-24.5</v>
      </c>
      <c r="AZ623">
        <v>0.4587</v>
      </c>
      <c r="BA623">
        <v>1258.7240999999999</v>
      </c>
      <c r="BB623">
        <v>-32</v>
      </c>
      <c r="BG623">
        <v>1.3190999999999999</v>
      </c>
      <c r="BH623">
        <v>1629760845612.23</v>
      </c>
      <c r="BM623">
        <v>1.5</v>
      </c>
      <c r="BN623">
        <v>44</v>
      </c>
      <c r="BO623">
        <f t="shared" si="24"/>
        <v>66</v>
      </c>
      <c r="BP623" t="s">
        <v>173</v>
      </c>
      <c r="BQ623" t="s">
        <v>605</v>
      </c>
      <c r="BR623">
        <v>60</v>
      </c>
      <c r="BS623">
        <v>24</v>
      </c>
      <c r="BT623" t="s">
        <v>84</v>
      </c>
      <c r="BV623" t="s">
        <v>606</v>
      </c>
      <c r="BW623" t="s">
        <v>607</v>
      </c>
    </row>
    <row r="624" spans="1:75" x14ac:dyDescent="0.75">
      <c r="A624" t="s">
        <v>611</v>
      </c>
      <c r="B624" t="s">
        <v>74</v>
      </c>
      <c r="C624" t="s">
        <v>612</v>
      </c>
      <c r="D624" t="s">
        <v>613</v>
      </c>
      <c r="E624" s="30" t="s">
        <v>604</v>
      </c>
      <c r="F624">
        <v>50</v>
      </c>
      <c r="G624">
        <v>2</v>
      </c>
      <c r="H624" t="s">
        <v>78</v>
      </c>
      <c r="I624">
        <v>0.1</v>
      </c>
      <c r="L624" s="31">
        <v>-20</v>
      </c>
      <c r="M624">
        <v>-24</v>
      </c>
      <c r="R624" t="s">
        <v>79</v>
      </c>
      <c r="Y624" s="5">
        <v>5.5621684301228201E-8</v>
      </c>
      <c r="Z624" s="5">
        <v>1.12201472288722E-7</v>
      </c>
      <c r="AA624" s="5">
        <v>2.0962658391948499E-7</v>
      </c>
      <c r="AB624" s="5">
        <v>3.6704853164086398E-7</v>
      </c>
      <c r="AC624" s="5">
        <v>6.0808263032048798E-7</v>
      </c>
      <c r="AD624" s="5">
        <v>9.6056454367746498E-7</v>
      </c>
      <c r="AE624" s="5">
        <v>1.4560613430713699E-6</v>
      </c>
      <c r="AF624" s="5">
        <v>2.1291937716862702E-6</v>
      </c>
      <c r="AG624" s="5">
        <v>3.0168343169812898E-6</v>
      </c>
      <c r="AH624" s="5">
        <v>4.1572443394272102E-6</v>
      </c>
      <c r="AI624" s="5">
        <v>5.5892060131369096E-6</v>
      </c>
      <c r="AJ624" s="5">
        <v>7.3511940735727002E-6</v>
      </c>
      <c r="AK624" s="5">
        <v>9.4806205784366195E-6</v>
      </c>
      <c r="AL624" s="5">
        <v>1.4982268885276E-5</v>
      </c>
      <c r="AO624" s="35"/>
      <c r="AP624" s="35"/>
      <c r="AQ624" s="35"/>
      <c r="AR624" s="35"/>
      <c r="AS624" s="35"/>
      <c r="AT624" s="35"/>
      <c r="AU624" s="35"/>
      <c r="AV624">
        <v>0.23749999999999999</v>
      </c>
      <c r="AW624">
        <v>1022.6917999999999</v>
      </c>
      <c r="AX624">
        <v>-52.4</v>
      </c>
      <c r="AZ624">
        <v>1.0569</v>
      </c>
      <c r="BA624">
        <v>1384.9965999999999</v>
      </c>
      <c r="BB624">
        <v>-70</v>
      </c>
      <c r="BG624">
        <v>0.77790000000000004</v>
      </c>
      <c r="BH624">
        <v>625533.027</v>
      </c>
      <c r="BM624">
        <v>2.2999999999999998</v>
      </c>
      <c r="BN624">
        <v>190</v>
      </c>
      <c r="BO624">
        <f t="shared" si="24"/>
        <v>436.99999999999994</v>
      </c>
      <c r="BP624" t="s">
        <v>173</v>
      </c>
      <c r="BQ624" t="s">
        <v>605</v>
      </c>
      <c r="BR624">
        <v>60</v>
      </c>
      <c r="BS624">
        <v>24</v>
      </c>
      <c r="BT624" t="s">
        <v>84</v>
      </c>
      <c r="BV624" t="s">
        <v>606</v>
      </c>
      <c r="BW624" t="s">
        <v>607</v>
      </c>
    </row>
    <row r="625" spans="1:75" x14ac:dyDescent="0.75">
      <c r="A625" s="1" t="s">
        <v>614</v>
      </c>
      <c r="B625" s="1" t="s">
        <v>74</v>
      </c>
      <c r="C625" s="1" t="s">
        <v>615</v>
      </c>
      <c r="D625" s="1" t="s">
        <v>616</v>
      </c>
      <c r="E625" s="37" t="s">
        <v>604</v>
      </c>
      <c r="F625" s="1">
        <v>50</v>
      </c>
      <c r="G625" s="1">
        <v>3</v>
      </c>
      <c r="H625" s="1" t="s">
        <v>78</v>
      </c>
      <c r="I625" s="1">
        <v>0.1</v>
      </c>
      <c r="J625" s="1"/>
      <c r="K625" s="1"/>
      <c r="L625" s="32">
        <v>-55</v>
      </c>
      <c r="M625" s="1">
        <v>-45</v>
      </c>
      <c r="N625" s="1"/>
      <c r="O625" s="1"/>
      <c r="P625" s="1"/>
      <c r="Q625" s="1"/>
      <c r="R625" s="1" t="s">
        <v>79</v>
      </c>
      <c r="S625" s="1"/>
      <c r="T625" s="1"/>
      <c r="U625" s="1"/>
      <c r="V625" s="1"/>
      <c r="W625" s="1"/>
      <c r="X625" s="1"/>
      <c r="Y625" s="3">
        <v>2.2099513620992201E-6</v>
      </c>
      <c r="Z625" s="3">
        <v>3.6374447438431098E-6</v>
      </c>
      <c r="AA625" s="3">
        <v>5.8134004387061902E-6</v>
      </c>
      <c r="AB625" s="3">
        <v>9.0442859415988393E-6</v>
      </c>
      <c r="AC625" s="3">
        <v>1.37277157037685E-5</v>
      </c>
      <c r="AD625" s="3">
        <v>2.0368909094648199E-5</v>
      </c>
      <c r="AE625" s="3">
        <v>2.9597685762638401E-5</v>
      </c>
      <c r="AF625" s="3">
        <v>4.2185596402954797E-5</v>
      </c>
      <c r="AG625" s="3">
        <v>5.9062773258828501E-5</v>
      </c>
      <c r="AH625" s="3">
        <v>8.1334089263828904E-5</v>
      </c>
      <c r="AI625" s="1">
        <v>1.1029423569661E-4</v>
      </c>
      <c r="AJ625" s="1">
        <v>1.47441362952009E-4</v>
      </c>
      <c r="AK625" s="1">
        <v>1.9448897450764701E-4</v>
      </c>
      <c r="AL625" s="1">
        <v>3.2627356866638202E-4</v>
      </c>
      <c r="AM625" s="1"/>
      <c r="AN625" s="1"/>
      <c r="AO625" s="39"/>
      <c r="AP625" s="39"/>
      <c r="AQ625" s="39"/>
      <c r="AR625" s="39"/>
      <c r="AS625" s="39"/>
      <c r="AT625" s="39"/>
      <c r="AU625" s="39"/>
      <c r="AV625" s="1">
        <v>800.93579999999997</v>
      </c>
      <c r="AW625" s="1">
        <v>2718.9874</v>
      </c>
      <c r="AX625" s="1">
        <v>-131.4</v>
      </c>
      <c r="AY625" s="1"/>
      <c r="AZ625" s="1">
        <v>112.3283</v>
      </c>
      <c r="BA625" s="1">
        <v>2013.9242999999999</v>
      </c>
      <c r="BB625" s="1">
        <v>-105</v>
      </c>
      <c r="BC625" s="1"/>
      <c r="BD625" s="1"/>
      <c r="BE625" s="1"/>
      <c r="BF625" s="1"/>
      <c r="BG625" s="1">
        <v>0.69650000000000001</v>
      </c>
      <c r="BH625" s="1">
        <v>916323.15720000002</v>
      </c>
      <c r="BI625" s="1"/>
      <c r="BJ625" s="1"/>
      <c r="BK625" s="1"/>
      <c r="BL625" s="1"/>
      <c r="BM625" s="1">
        <v>2.1</v>
      </c>
      <c r="BN625" s="1">
        <v>17</v>
      </c>
      <c r="BO625">
        <f t="shared" si="24"/>
        <v>35.700000000000003</v>
      </c>
      <c r="BP625" s="1" t="s">
        <v>173</v>
      </c>
      <c r="BQ625" s="1" t="s">
        <v>605</v>
      </c>
      <c r="BR625" s="1">
        <v>60</v>
      </c>
      <c r="BS625" s="1">
        <v>24</v>
      </c>
      <c r="BT625" s="1" t="s">
        <v>84</v>
      </c>
      <c r="BU625" s="1"/>
      <c r="BV625" s="1" t="s">
        <v>606</v>
      </c>
      <c r="BW625" t="s">
        <v>607</v>
      </c>
    </row>
    <row r="626" spans="1:75" x14ac:dyDescent="0.75">
      <c r="A626">
        <v>1</v>
      </c>
      <c r="B626" t="s">
        <v>426</v>
      </c>
      <c r="C626" t="s">
        <v>628</v>
      </c>
      <c r="D626" t="s">
        <v>77</v>
      </c>
      <c r="E626" t="s">
        <v>629</v>
      </c>
      <c r="F626">
        <v>77.98</v>
      </c>
      <c r="H626" t="s">
        <v>91</v>
      </c>
      <c r="J626">
        <f>1/16</f>
        <v>6.25E-2</v>
      </c>
      <c r="K626" s="43"/>
      <c r="L626" s="43"/>
      <c r="M626" s="43"/>
      <c r="N626" s="43"/>
      <c r="O626" s="43"/>
      <c r="P626" s="43"/>
      <c r="Q626" s="43"/>
      <c r="R626" s="43" t="s">
        <v>79</v>
      </c>
      <c r="S626" s="43"/>
      <c r="T626" s="5">
        <v>2.4770498400483201E-7</v>
      </c>
      <c r="U626" s="5">
        <v>3.2992601935629901E-7</v>
      </c>
      <c r="V626" s="43"/>
      <c r="W626" s="5">
        <v>4.2527929317970501E-7</v>
      </c>
      <c r="X626" s="43"/>
      <c r="Y626" s="5">
        <v>5.3329521924330096E-7</v>
      </c>
      <c r="Z626" s="5">
        <v>6.5328605327611799E-7</v>
      </c>
      <c r="AA626" s="5">
        <v>7.8440899777540295E-7</v>
      </c>
      <c r="AB626" s="5">
        <v>9.2572056145261897E-7</v>
      </c>
      <c r="AC626" s="5">
        <v>1.07622141125565E-6</v>
      </c>
      <c r="AD626" s="5">
        <v>1.23489206571793E-6</v>
      </c>
      <c r="AE626" s="5">
        <v>1.40072035793341E-6</v>
      </c>
      <c r="AF626" s="5">
        <v>1.5727218355240501E-6</v>
      </c>
      <c r="AG626" s="5">
        <v>1.7499543003639099E-6</v>
      </c>
      <c r="AH626" s="5">
        <v>1.9315276144849201E-6</v>
      </c>
      <c r="AI626" s="5">
        <v>2.1166097690767801E-6</v>
      </c>
      <c r="AV626">
        <v>5.9999999999999995E-4</v>
      </c>
      <c r="AW626">
        <v>339.0059</v>
      </c>
      <c r="AX626">
        <f>208.4079-273.15</f>
        <v>-64.742099999999965</v>
      </c>
      <c r="BG626">
        <v>0.30520000000000003</v>
      </c>
      <c r="BH626">
        <v>5.4399999999999997E-2</v>
      </c>
      <c r="BO626">
        <v>1000</v>
      </c>
      <c r="BP626" t="s">
        <v>173</v>
      </c>
      <c r="BQ626" t="s">
        <v>83</v>
      </c>
      <c r="BR626">
        <v>65</v>
      </c>
      <c r="BS626">
        <v>6</v>
      </c>
      <c r="BT626" t="s">
        <v>84</v>
      </c>
      <c r="BU626" t="s">
        <v>630</v>
      </c>
      <c r="BV626" t="s">
        <v>631</v>
      </c>
      <c r="BW626" t="s">
        <v>700</v>
      </c>
    </row>
    <row r="627" spans="1:75" x14ac:dyDescent="0.75">
      <c r="A627">
        <v>2</v>
      </c>
      <c r="B627" t="s">
        <v>426</v>
      </c>
      <c r="C627" t="s">
        <v>632</v>
      </c>
      <c r="D627" t="s">
        <v>77</v>
      </c>
      <c r="E627" t="s">
        <v>613</v>
      </c>
      <c r="F627">
        <v>85.960000000000008</v>
      </c>
      <c r="H627" t="s">
        <v>91</v>
      </c>
      <c r="J627">
        <f t="shared" ref="J627:J632" si="25">1/16</f>
        <v>6.25E-2</v>
      </c>
      <c r="K627" s="43"/>
      <c r="L627" s="43"/>
      <c r="M627" s="43"/>
      <c r="N627" s="43"/>
      <c r="O627" s="43"/>
      <c r="P627" s="43"/>
      <c r="Q627" s="43"/>
      <c r="R627" s="43" t="s">
        <v>79</v>
      </c>
      <c r="S627" s="43"/>
      <c r="T627" s="5">
        <v>5.9455676296351698E-7</v>
      </c>
      <c r="U627" s="5">
        <v>9.55266327459737E-7</v>
      </c>
      <c r="V627" s="43"/>
      <c r="W627" s="5">
        <v>1.46836117880539E-6</v>
      </c>
      <c r="X627" s="43"/>
      <c r="Y627" s="5">
        <v>2.1720032595393802E-6</v>
      </c>
      <c r="Z627" s="5">
        <v>3.1068522405607098E-6</v>
      </c>
      <c r="AA627" s="5">
        <v>4.3150395917607198E-6</v>
      </c>
      <c r="AB627" s="5">
        <v>5.8391425232057603E-6</v>
      </c>
      <c r="AC627" s="5">
        <v>7.7212135644902004E-6</v>
      </c>
      <c r="AD627" s="5">
        <v>1.0001905923897599E-5</v>
      </c>
      <c r="AE627" s="5">
        <v>1.27197200535768E-5</v>
      </c>
      <c r="AF627" s="5">
        <v>1.5910384204369401E-5</v>
      </c>
      <c r="AG627" s="5">
        <v>1.9606371667709601E-5</v>
      </c>
      <c r="AH627" s="5">
        <v>2.3836549901359599E-5</v>
      </c>
      <c r="AI627" s="5">
        <v>2.8625951582202902E-5</v>
      </c>
      <c r="AJ627" s="5">
        <v>3.3995654454357097E-5</v>
      </c>
      <c r="AK627" s="5">
        <v>3.9962755238028401E-5</v>
      </c>
      <c r="AL627" s="5">
        <v>5.3738013369773102E-5</v>
      </c>
      <c r="AV627">
        <v>0.22550000000000001</v>
      </c>
      <c r="AW627">
        <v>988.55430000000001</v>
      </c>
      <c r="AX627">
        <v>-83.7</v>
      </c>
      <c r="BG627">
        <v>0.50900000000000001</v>
      </c>
      <c r="BH627">
        <v>474.73910000000001</v>
      </c>
      <c r="BO627">
        <v>1000</v>
      </c>
      <c r="BP627" t="s">
        <v>173</v>
      </c>
      <c r="BQ627" t="s">
        <v>83</v>
      </c>
      <c r="BR627">
        <v>65</v>
      </c>
      <c r="BS627">
        <v>6</v>
      </c>
      <c r="BT627" t="s">
        <v>84</v>
      </c>
      <c r="BU627" t="s">
        <v>630</v>
      </c>
      <c r="BV627" t="s">
        <v>631</v>
      </c>
      <c r="BW627" t="s">
        <v>700</v>
      </c>
    </row>
    <row r="628" spans="1:75" x14ac:dyDescent="0.75">
      <c r="A628">
        <v>3</v>
      </c>
      <c r="B628" t="s">
        <v>426</v>
      </c>
      <c r="C628" t="s">
        <v>633</v>
      </c>
      <c r="D628" t="s">
        <v>77</v>
      </c>
      <c r="E628" t="s">
        <v>634</v>
      </c>
      <c r="F628">
        <v>78.3</v>
      </c>
      <c r="H628" t="s">
        <v>91</v>
      </c>
      <c r="J628">
        <f t="shared" si="25"/>
        <v>6.25E-2</v>
      </c>
      <c r="K628" s="43"/>
      <c r="L628" s="43"/>
      <c r="M628" s="43">
        <v>-68.599999999999994</v>
      </c>
      <c r="N628" s="43"/>
      <c r="O628" s="43"/>
      <c r="P628" s="43"/>
      <c r="Q628" s="43"/>
      <c r="R628" s="43" t="s">
        <v>79</v>
      </c>
      <c r="S628" s="43"/>
      <c r="T628" s="5">
        <v>7.80179787604111E-7</v>
      </c>
      <c r="U628" s="5">
        <v>1.2385293653228801E-6</v>
      </c>
      <c r="V628" s="43"/>
      <c r="W628" s="5">
        <v>1.89133240363517E-6</v>
      </c>
      <c r="X628" s="43"/>
      <c r="Y628" s="5">
        <v>2.7912109388824001E-6</v>
      </c>
      <c r="Z628" s="5">
        <v>3.9965579849214804E-6</v>
      </c>
      <c r="AA628" s="5">
        <v>5.5706061070951302E-6</v>
      </c>
      <c r="AB628" s="5">
        <v>7.5803496453432199E-6</v>
      </c>
      <c r="AC628" s="5">
        <v>1.0095384298759901E-5</v>
      </c>
      <c r="AD628" s="5">
        <v>1.3186722021226201E-5</v>
      </c>
      <c r="AE628" s="5">
        <v>1.6925630562775E-5</v>
      </c>
      <c r="AF628" s="5">
        <v>2.1382537066957201E-5</v>
      </c>
      <c r="AG628" s="5">
        <v>2.6626025061035701E-5</v>
      </c>
      <c r="AH628" s="5">
        <v>3.2721944744180599E-5</v>
      </c>
      <c r="AI628" s="5">
        <v>3.9732648164571398E-5</v>
      </c>
      <c r="AJ628" s="5">
        <v>4.7716353909222297E-5</v>
      </c>
      <c r="AK628" s="5">
        <v>5.6726640362950598E-5</v>
      </c>
      <c r="AL628" s="5">
        <v>7.8015883018486094E-5</v>
      </c>
      <c r="AV628">
        <v>0.72489999999999999</v>
      </c>
      <c r="AW628">
        <v>1209.731</v>
      </c>
      <c r="AX628">
        <v>-95.9</v>
      </c>
      <c r="BG628">
        <v>0.50790000000000002</v>
      </c>
      <c r="BH628">
        <v>622.27369999999996</v>
      </c>
      <c r="BO628">
        <v>1000</v>
      </c>
      <c r="BP628" t="s">
        <v>173</v>
      </c>
      <c r="BQ628" t="s">
        <v>83</v>
      </c>
      <c r="BR628">
        <v>65</v>
      </c>
      <c r="BS628">
        <v>6</v>
      </c>
      <c r="BT628" t="s">
        <v>84</v>
      </c>
      <c r="BU628" t="s">
        <v>630</v>
      </c>
      <c r="BV628" t="s">
        <v>631</v>
      </c>
      <c r="BW628" t="s">
        <v>700</v>
      </c>
    </row>
    <row r="629" spans="1:75" x14ac:dyDescent="0.75">
      <c r="A629">
        <v>4</v>
      </c>
      <c r="B629" t="s">
        <v>426</v>
      </c>
      <c r="C629" t="s">
        <v>635</v>
      </c>
      <c r="D629" t="s">
        <v>77</v>
      </c>
      <c r="E629" t="s">
        <v>636</v>
      </c>
      <c r="F629">
        <v>82.94</v>
      </c>
      <c r="H629" t="s">
        <v>91</v>
      </c>
      <c r="J629">
        <f t="shared" si="25"/>
        <v>6.25E-2</v>
      </c>
      <c r="K629" s="43"/>
      <c r="L629" s="44">
        <v>-53</v>
      </c>
      <c r="M629" s="43">
        <v>-70</v>
      </c>
      <c r="N629" s="43"/>
      <c r="O629" s="43"/>
      <c r="P629" s="43"/>
      <c r="Q629" s="43"/>
      <c r="R629" s="43" t="s">
        <v>79</v>
      </c>
      <c r="S629" s="5">
        <v>2.0289532515551899E-7</v>
      </c>
      <c r="T629" s="5">
        <v>1.1344592915462699E-6</v>
      </c>
      <c r="U629" s="5">
        <v>1.8109248359223201E-6</v>
      </c>
      <c r="V629" s="43"/>
      <c r="W629" s="5">
        <v>2.7734379171947801E-6</v>
      </c>
      <c r="X629" s="43"/>
      <c r="Y629" s="5">
        <v>4.0964379494599598E-6</v>
      </c>
      <c r="Z629" s="5">
        <v>5.8608950058382201E-6</v>
      </c>
      <c r="AA629" s="5">
        <v>8.1526231704961704E-6</v>
      </c>
      <c r="AB629" s="5">
        <v>1.10604796337794E-5</v>
      </c>
      <c r="AC629" s="5">
        <v>1.4674553174393601E-5</v>
      </c>
      <c r="AD629" s="5">
        <v>1.9084426731552301E-5</v>
      </c>
      <c r="AE629" s="5">
        <v>2.4377577997587299E-5</v>
      </c>
      <c r="AF629" s="5">
        <v>3.0637961836579199E-5</v>
      </c>
      <c r="AG629" s="5">
        <v>3.79448003840195E-5</v>
      </c>
      <c r="AH629" s="5">
        <v>4.6371591677115899E-5</v>
      </c>
      <c r="AI629" s="5">
        <v>5.5985335832031801E-5</v>
      </c>
      <c r="AJ629" s="5">
        <v>6.6845968995294094E-5</v>
      </c>
      <c r="AK629" s="5">
        <v>7.9005989219443901E-5</v>
      </c>
      <c r="AL629">
        <v>1.07395932214874E-4</v>
      </c>
      <c r="AV629">
        <v>0.65580000000000005</v>
      </c>
      <c r="AW629">
        <v>1091.1083000000001</v>
      </c>
      <c r="AX629">
        <v>-89.6</v>
      </c>
      <c r="AZ629">
        <v>1.5508999999999999</v>
      </c>
      <c r="BA629">
        <v>1334.8778</v>
      </c>
      <c r="BB629">
        <v>-103</v>
      </c>
      <c r="BG629">
        <v>0.52429999999999999</v>
      </c>
      <c r="BH629">
        <v>1613.3857</v>
      </c>
      <c r="BO629">
        <v>1000</v>
      </c>
      <c r="BP629" t="s">
        <v>173</v>
      </c>
      <c r="BQ629" t="s">
        <v>83</v>
      </c>
      <c r="BR629">
        <v>65</v>
      </c>
      <c r="BS629">
        <v>6</v>
      </c>
      <c r="BT629" t="s">
        <v>84</v>
      </c>
      <c r="BU629" t="s">
        <v>630</v>
      </c>
      <c r="BV629" t="s">
        <v>631</v>
      </c>
      <c r="BW629" t="s">
        <v>700</v>
      </c>
    </row>
    <row r="630" spans="1:75" x14ac:dyDescent="0.75">
      <c r="A630">
        <v>5</v>
      </c>
      <c r="B630" t="s">
        <v>426</v>
      </c>
      <c r="C630" t="s">
        <v>637</v>
      </c>
      <c r="D630" t="s">
        <v>77</v>
      </c>
      <c r="E630" t="s">
        <v>638</v>
      </c>
      <c r="F630">
        <v>61.9</v>
      </c>
      <c r="H630" t="s">
        <v>91</v>
      </c>
      <c r="J630">
        <f t="shared" si="25"/>
        <v>6.25E-2</v>
      </c>
      <c r="K630" s="43"/>
      <c r="L630" s="43"/>
      <c r="M630" s="43"/>
      <c r="N630" s="43"/>
      <c r="O630" s="43"/>
      <c r="P630" s="43"/>
      <c r="Q630" s="43"/>
      <c r="R630" s="43" t="s">
        <v>79</v>
      </c>
      <c r="S630" s="5">
        <v>2.5821714964891398E-7</v>
      </c>
      <c r="T630" s="5">
        <v>1.7026836107633599E-6</v>
      </c>
      <c r="U630" s="5">
        <v>2.8044721904483499E-6</v>
      </c>
      <c r="V630" s="43"/>
      <c r="W630" s="5">
        <v>4.3979017095670598E-6</v>
      </c>
      <c r="X630" s="43"/>
      <c r="Y630" s="5">
        <v>6.6112410970890899E-6</v>
      </c>
      <c r="Z630" s="5">
        <v>9.5808632549858302E-6</v>
      </c>
      <c r="AA630" s="5">
        <v>1.3447385035578499E-5</v>
      </c>
      <c r="AB630" s="5">
        <v>1.83518698285567E-5</v>
      </c>
      <c r="AC630" s="5">
        <v>2.4432309114050301E-5</v>
      </c>
      <c r="AD630" s="5">
        <v>3.1820529822838899E-5</v>
      </c>
      <c r="AE630" s="5">
        <v>4.0639611501292102E-5</v>
      </c>
      <c r="AF630" s="5">
        <v>5.1001845565619098E-5</v>
      </c>
      <c r="AG630" s="5">
        <v>6.3007229660637406E-5</v>
      </c>
      <c r="AH630" s="5">
        <v>7.6742462682453702E-5</v>
      </c>
      <c r="AV630">
        <v>0.61019999999999996</v>
      </c>
      <c r="AW630">
        <v>926.88160000000005</v>
      </c>
      <c r="AX630">
        <v>-78</v>
      </c>
      <c r="BG630">
        <v>0.61240000000000006</v>
      </c>
      <c r="BH630">
        <v>76671.489799999996</v>
      </c>
      <c r="BO630">
        <v>1000</v>
      </c>
      <c r="BP630" t="s">
        <v>173</v>
      </c>
      <c r="BQ630" t="s">
        <v>83</v>
      </c>
      <c r="BR630">
        <v>65</v>
      </c>
      <c r="BS630">
        <v>6</v>
      </c>
      <c r="BT630" t="s">
        <v>84</v>
      </c>
      <c r="BU630" t="s">
        <v>630</v>
      </c>
      <c r="BV630" t="s">
        <v>631</v>
      </c>
      <c r="BW630" t="s">
        <v>700</v>
      </c>
    </row>
    <row r="631" spans="1:75" x14ac:dyDescent="0.75">
      <c r="A631">
        <v>6</v>
      </c>
      <c r="B631" t="s">
        <v>426</v>
      </c>
      <c r="C631" t="s">
        <v>639</v>
      </c>
      <c r="D631" t="s">
        <v>77</v>
      </c>
      <c r="E631" t="s">
        <v>460</v>
      </c>
      <c r="F631">
        <v>71.150000000000006</v>
      </c>
      <c r="H631" t="s">
        <v>91</v>
      </c>
      <c r="J631">
        <f t="shared" si="25"/>
        <v>6.25E-2</v>
      </c>
      <c r="K631" s="43"/>
      <c r="L631" s="43"/>
      <c r="M631" s="43">
        <v>-77</v>
      </c>
      <c r="N631" s="43"/>
      <c r="O631" s="43"/>
      <c r="P631" s="43"/>
      <c r="Q631" s="43"/>
      <c r="R631" s="43" t="s">
        <v>79</v>
      </c>
      <c r="S631" s="5">
        <v>1.11419788019269E-6</v>
      </c>
      <c r="T631" s="5">
        <v>5.6123691868302901E-6</v>
      </c>
      <c r="U631" s="5">
        <v>8.6885400054407105E-6</v>
      </c>
      <c r="V631" s="43"/>
      <c r="W631" s="5">
        <v>1.2928842478589E-5</v>
      </c>
      <c r="X631" s="43"/>
      <c r="Y631" s="5">
        <v>1.8586205585887799E-5</v>
      </c>
      <c r="Z631" s="5">
        <v>2.5922969662229698E-5</v>
      </c>
      <c r="AA631" s="5">
        <v>3.5204329140308897E-5</v>
      </c>
      <c r="AB631" s="5">
        <v>4.66921326285021E-5</v>
      </c>
      <c r="AC631" s="5">
        <v>6.0639303551482202E-5</v>
      </c>
      <c r="AD631" s="5">
        <v>7.7285047016242194E-5</v>
      </c>
      <c r="AE631" s="5">
        <v>9.6850924957192703E-5</v>
      </c>
      <c r="AF631">
        <v>1.1953781519984E-4</v>
      </c>
      <c r="AG631">
        <v>1.45523721001808E-4</v>
      </c>
      <c r="AH631">
        <v>1.7496236421262999E-4</v>
      </c>
      <c r="AI631">
        <v>2.0798247490807299E-4</v>
      </c>
      <c r="AV631">
        <v>1.3426</v>
      </c>
      <c r="AW631">
        <v>976.25199999999995</v>
      </c>
      <c r="AX631">
        <v>-87.2</v>
      </c>
      <c r="BG631">
        <v>0.53500000000000003</v>
      </c>
      <c r="BH631">
        <v>11355.075800000001</v>
      </c>
      <c r="BO631">
        <v>1000</v>
      </c>
      <c r="BP631" t="s">
        <v>173</v>
      </c>
      <c r="BQ631" t="s">
        <v>83</v>
      </c>
      <c r="BR631">
        <v>65</v>
      </c>
      <c r="BS631">
        <v>6</v>
      </c>
      <c r="BT631" t="s">
        <v>84</v>
      </c>
      <c r="BU631" t="s">
        <v>630</v>
      </c>
      <c r="BV631" t="s">
        <v>631</v>
      </c>
      <c r="BW631" t="s">
        <v>700</v>
      </c>
    </row>
    <row r="632" spans="1:75" x14ac:dyDescent="0.75">
      <c r="A632">
        <v>7</v>
      </c>
      <c r="B632" t="s">
        <v>426</v>
      </c>
      <c r="C632" t="s">
        <v>640</v>
      </c>
      <c r="D632" t="s">
        <v>77</v>
      </c>
      <c r="E632" t="s">
        <v>641</v>
      </c>
      <c r="F632">
        <v>66.89</v>
      </c>
      <c r="H632" t="s">
        <v>91</v>
      </c>
      <c r="J632">
        <f t="shared" si="25"/>
        <v>6.25E-2</v>
      </c>
      <c r="K632" s="43"/>
      <c r="L632" s="43"/>
      <c r="M632" s="43"/>
      <c r="N632" s="43"/>
      <c r="O632" s="43"/>
      <c r="P632" s="43"/>
      <c r="Q632" s="43"/>
      <c r="R632" s="43" t="s">
        <v>79</v>
      </c>
      <c r="S632" s="5">
        <v>5.9704836776780897E-7</v>
      </c>
      <c r="T632" s="5">
        <v>3.5306086044219999E-6</v>
      </c>
      <c r="U632" s="5">
        <v>5.68357509895772E-6</v>
      </c>
      <c r="V632" s="43"/>
      <c r="W632" s="5">
        <v>8.7496327487800401E-6</v>
      </c>
      <c r="X632" s="43"/>
      <c r="Y632" s="5">
        <v>1.29578560795475E-5</v>
      </c>
      <c r="Z632" s="5">
        <v>1.8552124167749499E-5</v>
      </c>
      <c r="AA632" s="5">
        <v>2.5784885471497001E-5</v>
      </c>
      <c r="AB632" s="5">
        <v>3.49109404478226E-5</v>
      </c>
      <c r="AC632" s="5">
        <v>4.6181580276338397E-5</v>
      </c>
      <c r="AD632" s="5">
        <v>5.9839323193018999E-5</v>
      </c>
      <c r="AE632" s="5">
        <v>7.6113399366867506E-5</v>
      </c>
      <c r="AF632" s="5">
        <v>9.5216057929029796E-5</v>
      </c>
      <c r="AG632">
        <v>1.17339708489574E-4</v>
      </c>
      <c r="AH632">
        <v>1.4265486427125001E-4</v>
      </c>
      <c r="AI632">
        <v>1.7130882325696201E-4</v>
      </c>
      <c r="AJ632">
        <v>2.0342500513075701E-4</v>
      </c>
      <c r="AV632">
        <v>1.3177000000000001</v>
      </c>
      <c r="AW632">
        <v>981.18269999999995</v>
      </c>
      <c r="AX632">
        <v>-83.1</v>
      </c>
      <c r="BG632">
        <v>0.56320000000000003</v>
      </c>
      <c r="BH632">
        <v>22931.241600000001</v>
      </c>
      <c r="BO632">
        <v>1000</v>
      </c>
      <c r="BP632" t="s">
        <v>173</v>
      </c>
      <c r="BQ632" t="s">
        <v>83</v>
      </c>
      <c r="BR632">
        <v>65</v>
      </c>
      <c r="BS632">
        <v>6</v>
      </c>
      <c r="BT632" t="s">
        <v>84</v>
      </c>
      <c r="BU632" t="s">
        <v>630</v>
      </c>
      <c r="BV632" t="s">
        <v>631</v>
      </c>
      <c r="BW632" t="s">
        <v>700</v>
      </c>
    </row>
    <row r="633" spans="1:75" x14ac:dyDescent="0.75">
      <c r="A633">
        <v>4</v>
      </c>
      <c r="B633" t="s">
        <v>426</v>
      </c>
      <c r="C633" t="s">
        <v>635</v>
      </c>
      <c r="D633" t="s">
        <v>77</v>
      </c>
      <c r="E633" t="s">
        <v>636</v>
      </c>
      <c r="F633">
        <v>82.8</v>
      </c>
      <c r="H633" t="s">
        <v>91</v>
      </c>
      <c r="J633">
        <v>0.18621973929236499</v>
      </c>
      <c r="K633" s="43"/>
      <c r="L633" s="43"/>
      <c r="M633" s="43">
        <v>-70</v>
      </c>
      <c r="N633" s="43"/>
      <c r="O633" s="43"/>
      <c r="P633" s="43"/>
      <c r="Q633" s="43"/>
      <c r="R633" s="43" t="s">
        <v>79</v>
      </c>
      <c r="S633" s="43"/>
      <c r="T633" s="43"/>
      <c r="U633">
        <v>4.4874538993313135E-7</v>
      </c>
      <c r="V633" s="43"/>
      <c r="W633" s="43"/>
      <c r="X633" s="43"/>
      <c r="Y633" s="43"/>
      <c r="Z633" s="43"/>
      <c r="AA633" s="43"/>
      <c r="AB633" s="43"/>
      <c r="AC633" s="43"/>
      <c r="AD633" s="43"/>
      <c r="AE633" s="43"/>
      <c r="AF633" s="43"/>
      <c r="AG633" s="43"/>
      <c r="AH633" s="43"/>
      <c r="AI633" s="43"/>
      <c r="AJ633" s="43"/>
      <c r="AK633" s="43"/>
      <c r="AL633" s="43"/>
      <c r="BO633">
        <v>1000</v>
      </c>
      <c r="BP633" t="s">
        <v>173</v>
      </c>
      <c r="BQ633" t="s">
        <v>83</v>
      </c>
      <c r="BR633">
        <v>65</v>
      </c>
      <c r="BS633">
        <v>6</v>
      </c>
      <c r="BT633" t="s">
        <v>84</v>
      </c>
      <c r="BU633" t="s">
        <v>630</v>
      </c>
      <c r="BV633" t="s">
        <v>631</v>
      </c>
      <c r="BW633" t="s">
        <v>700</v>
      </c>
    </row>
    <row r="634" spans="1:75" x14ac:dyDescent="0.75">
      <c r="A634">
        <v>4</v>
      </c>
      <c r="B634" t="s">
        <v>426</v>
      </c>
      <c r="C634" t="s">
        <v>635</v>
      </c>
      <c r="D634" t="s">
        <v>77</v>
      </c>
      <c r="E634" t="s">
        <v>636</v>
      </c>
      <c r="F634">
        <v>82.8</v>
      </c>
      <c r="H634" t="s">
        <v>91</v>
      </c>
      <c r="J634">
        <v>0.14738393515106854</v>
      </c>
      <c r="K634" s="43"/>
      <c r="L634" s="43"/>
      <c r="M634" s="43">
        <v>-70</v>
      </c>
      <c r="N634" s="43"/>
      <c r="O634" s="43"/>
      <c r="P634" s="43"/>
      <c r="Q634" s="43"/>
      <c r="R634" s="43" t="s">
        <v>79</v>
      </c>
      <c r="S634" s="43"/>
      <c r="T634" s="43"/>
      <c r="U634">
        <v>6.4714261574858169E-7</v>
      </c>
      <c r="V634" s="43"/>
      <c r="W634" s="43"/>
      <c r="X634" s="43"/>
      <c r="Y634" s="43"/>
      <c r="Z634" s="43"/>
      <c r="AA634" s="43"/>
      <c r="AB634" s="43"/>
      <c r="AC634" s="43"/>
      <c r="AD634" s="43"/>
      <c r="AE634" s="43"/>
      <c r="AF634" s="43"/>
      <c r="AG634" s="43"/>
      <c r="AH634" s="43"/>
      <c r="AI634" s="43"/>
      <c r="AJ634" s="43"/>
      <c r="AK634" s="43"/>
      <c r="AL634" s="43"/>
      <c r="BO634">
        <v>1000</v>
      </c>
      <c r="BP634" t="s">
        <v>173</v>
      </c>
      <c r="BQ634" t="s">
        <v>83</v>
      </c>
      <c r="BR634">
        <v>65</v>
      </c>
      <c r="BS634">
        <v>6</v>
      </c>
      <c r="BT634" t="s">
        <v>84</v>
      </c>
      <c r="BU634" t="s">
        <v>630</v>
      </c>
      <c r="BV634" t="s">
        <v>631</v>
      </c>
      <c r="BW634" t="s">
        <v>700</v>
      </c>
    </row>
    <row r="635" spans="1:75" x14ac:dyDescent="0.75">
      <c r="A635">
        <v>4</v>
      </c>
      <c r="B635" t="s">
        <v>426</v>
      </c>
      <c r="C635" t="s">
        <v>635</v>
      </c>
      <c r="D635" t="s">
        <v>77</v>
      </c>
      <c r="E635" t="s">
        <v>636</v>
      </c>
      <c r="F635">
        <v>82.8</v>
      </c>
      <c r="H635" t="s">
        <v>91</v>
      </c>
      <c r="J635">
        <v>0.12081672103419114</v>
      </c>
      <c r="K635" s="43"/>
      <c r="L635" s="43"/>
      <c r="M635" s="43">
        <v>-70</v>
      </c>
      <c r="N635" s="43"/>
      <c r="O635" s="43"/>
      <c r="P635" s="43"/>
      <c r="Q635" s="43"/>
      <c r="R635" s="43" t="s">
        <v>79</v>
      </c>
      <c r="S635" s="43"/>
      <c r="T635" s="43"/>
      <c r="U635">
        <v>3.4040818970100039E-6</v>
      </c>
      <c r="V635" s="43"/>
      <c r="W635" s="43"/>
      <c r="X635" s="43"/>
      <c r="Y635" s="43"/>
      <c r="Z635" s="43"/>
      <c r="AA635" s="43"/>
      <c r="AB635" s="43"/>
      <c r="AC635" s="43"/>
      <c r="AD635" s="43"/>
      <c r="AE635" s="43"/>
      <c r="AF635" s="43"/>
      <c r="AG635" s="43"/>
      <c r="AH635" s="43"/>
      <c r="AI635" s="43"/>
      <c r="AJ635" s="43"/>
      <c r="AK635" s="43"/>
      <c r="AL635" s="43"/>
      <c r="BO635">
        <v>1000</v>
      </c>
      <c r="BP635" t="s">
        <v>173</v>
      </c>
      <c r="BQ635" t="s">
        <v>83</v>
      </c>
      <c r="BR635">
        <v>65</v>
      </c>
      <c r="BS635">
        <v>6</v>
      </c>
      <c r="BT635" t="s">
        <v>84</v>
      </c>
      <c r="BU635" t="s">
        <v>630</v>
      </c>
      <c r="BV635" t="s">
        <v>631</v>
      </c>
      <c r="BW635" t="s">
        <v>700</v>
      </c>
    </row>
    <row r="636" spans="1:75" x14ac:dyDescent="0.75">
      <c r="A636">
        <v>4</v>
      </c>
      <c r="B636" t="s">
        <v>426</v>
      </c>
      <c r="C636" t="s">
        <v>635</v>
      </c>
      <c r="D636" t="s">
        <v>77</v>
      </c>
      <c r="E636" t="s">
        <v>636</v>
      </c>
      <c r="F636">
        <v>82.8</v>
      </c>
      <c r="H636" t="s">
        <v>91</v>
      </c>
      <c r="J636">
        <v>8.4175084175084167E-2</v>
      </c>
      <c r="K636" s="43"/>
      <c r="L636" s="43"/>
      <c r="M636" s="43">
        <v>-70</v>
      </c>
      <c r="N636" s="43"/>
      <c r="O636" s="43"/>
      <c r="P636" s="43"/>
      <c r="Q636" s="43"/>
      <c r="R636" s="43" t="s">
        <v>79</v>
      </c>
      <c r="S636" s="43"/>
      <c r="T636" s="43"/>
      <c r="U636">
        <v>5.0003453497697771E-6</v>
      </c>
      <c r="V636" s="43"/>
      <c r="W636" s="43"/>
      <c r="X636" s="43"/>
      <c r="Y636" s="43"/>
      <c r="Z636" s="43"/>
      <c r="AA636" s="43"/>
      <c r="AB636" s="43"/>
      <c r="AC636" s="43"/>
      <c r="AD636" s="43"/>
      <c r="AE636" s="43"/>
      <c r="AF636" s="43"/>
      <c r="AG636" s="43"/>
      <c r="AH636" s="43"/>
      <c r="AI636" s="43"/>
      <c r="AJ636" s="43"/>
      <c r="AK636" s="43"/>
      <c r="AL636" s="43"/>
      <c r="BO636">
        <v>1000</v>
      </c>
      <c r="BP636" t="s">
        <v>173</v>
      </c>
      <c r="BQ636" t="s">
        <v>83</v>
      </c>
      <c r="BR636">
        <v>65</v>
      </c>
      <c r="BS636">
        <v>6</v>
      </c>
      <c r="BT636" t="s">
        <v>84</v>
      </c>
      <c r="BU636" t="s">
        <v>630</v>
      </c>
      <c r="BV636" t="s">
        <v>631</v>
      </c>
      <c r="BW636" t="s">
        <v>700</v>
      </c>
    </row>
    <row r="637" spans="1:75" x14ac:dyDescent="0.75">
      <c r="A637">
        <v>4</v>
      </c>
      <c r="B637" t="s">
        <v>426</v>
      </c>
      <c r="C637" t="s">
        <v>635</v>
      </c>
      <c r="D637" t="s">
        <v>77</v>
      </c>
      <c r="E637" t="s">
        <v>636</v>
      </c>
      <c r="F637">
        <v>82.8</v>
      </c>
      <c r="H637" t="s">
        <v>91</v>
      </c>
      <c r="J637">
        <v>6.1881188118811881E-2</v>
      </c>
      <c r="K637" s="43"/>
      <c r="L637" s="44">
        <v>-53</v>
      </c>
      <c r="M637" s="43">
        <v>-70</v>
      </c>
      <c r="N637" s="43"/>
      <c r="O637" s="43"/>
      <c r="P637" s="43"/>
      <c r="Q637" s="43"/>
      <c r="R637" s="43" t="s">
        <v>79</v>
      </c>
      <c r="S637" s="43"/>
      <c r="T637" s="43"/>
      <c r="U637">
        <v>5.2966344389165778E-6</v>
      </c>
      <c r="V637" s="43"/>
      <c r="W637" s="43"/>
      <c r="X637" s="43"/>
      <c r="Y637" s="43"/>
      <c r="Z637" s="43"/>
      <c r="AA637" s="43"/>
      <c r="AB637" s="43"/>
      <c r="AC637" s="43"/>
      <c r="AD637" s="43"/>
      <c r="AE637" s="43"/>
      <c r="AF637" s="43"/>
      <c r="AG637" s="43"/>
      <c r="AH637" s="43"/>
      <c r="AI637" s="43"/>
      <c r="AJ637" s="43"/>
      <c r="AK637" s="43"/>
      <c r="AL637" s="43"/>
      <c r="BO637">
        <v>1000</v>
      </c>
      <c r="BP637" t="s">
        <v>173</v>
      </c>
      <c r="BQ637" t="s">
        <v>83</v>
      </c>
      <c r="BR637">
        <v>65</v>
      </c>
      <c r="BS637">
        <v>6</v>
      </c>
      <c r="BT637" t="s">
        <v>84</v>
      </c>
      <c r="BU637" t="s">
        <v>630</v>
      </c>
      <c r="BV637" t="s">
        <v>631</v>
      </c>
      <c r="BW637" t="s">
        <v>700</v>
      </c>
    </row>
    <row r="638" spans="1:75" x14ac:dyDescent="0.75">
      <c r="A638">
        <v>4</v>
      </c>
      <c r="B638" t="s">
        <v>426</v>
      </c>
      <c r="C638" t="s">
        <v>635</v>
      </c>
      <c r="D638" t="s">
        <v>77</v>
      </c>
      <c r="E638" t="s">
        <v>636</v>
      </c>
      <c r="F638">
        <v>82.8</v>
      </c>
      <c r="H638" t="s">
        <v>91</v>
      </c>
      <c r="J638">
        <v>4.1580041580041575E-2</v>
      </c>
      <c r="K638" s="43"/>
      <c r="L638" s="44"/>
      <c r="M638" s="43">
        <v>-70</v>
      </c>
      <c r="N638" s="43"/>
      <c r="O638" s="43"/>
      <c r="P638" s="43"/>
      <c r="Q638" s="43"/>
      <c r="R638" s="43" t="s">
        <v>79</v>
      </c>
      <c r="S638" s="43"/>
      <c r="T638" s="43"/>
      <c r="U638">
        <v>6.501296903430896E-6</v>
      </c>
      <c r="V638" s="43"/>
      <c r="W638" s="43"/>
      <c r="X638" s="43"/>
      <c r="Y638" s="43"/>
      <c r="Z638" s="43"/>
      <c r="AA638" s="43"/>
      <c r="AB638" s="43"/>
      <c r="AC638" s="43"/>
      <c r="AD638" s="43"/>
      <c r="AE638" s="43"/>
      <c r="AF638" s="43"/>
      <c r="AG638" s="43"/>
      <c r="AH638" s="43"/>
      <c r="AI638" s="43"/>
      <c r="AJ638" s="43"/>
      <c r="AK638" s="43"/>
      <c r="AL638" s="43"/>
      <c r="BO638">
        <v>1000</v>
      </c>
      <c r="BP638" t="s">
        <v>173</v>
      </c>
      <c r="BQ638" t="s">
        <v>83</v>
      </c>
      <c r="BR638">
        <v>65</v>
      </c>
      <c r="BS638">
        <v>6</v>
      </c>
      <c r="BT638" t="s">
        <v>84</v>
      </c>
      <c r="BU638" t="s">
        <v>630</v>
      </c>
      <c r="BV638" t="s">
        <v>631</v>
      </c>
      <c r="BW638" t="s">
        <v>700</v>
      </c>
    </row>
    <row r="639" spans="1:75" x14ac:dyDescent="0.75">
      <c r="A639">
        <v>4</v>
      </c>
      <c r="B639" t="s">
        <v>426</v>
      </c>
      <c r="C639" t="s">
        <v>635</v>
      </c>
      <c r="D639" t="s">
        <v>77</v>
      </c>
      <c r="E639" t="s">
        <v>636</v>
      </c>
      <c r="F639">
        <v>82.8</v>
      </c>
      <c r="H639" t="s">
        <v>91</v>
      </c>
      <c r="J639">
        <v>2.4956326428749689E-2</v>
      </c>
      <c r="K639" s="43"/>
      <c r="L639" s="44"/>
      <c r="M639" s="43">
        <v>-70</v>
      </c>
      <c r="N639" s="43"/>
      <c r="O639" s="43"/>
      <c r="P639" s="43"/>
      <c r="Q639" s="43"/>
      <c r="R639" s="43" t="s">
        <v>79</v>
      </c>
      <c r="S639" s="43"/>
      <c r="T639" s="43"/>
      <c r="U639">
        <v>3.9994474976109734E-6</v>
      </c>
      <c r="V639" s="43"/>
      <c r="W639" s="43"/>
      <c r="X639" s="43"/>
      <c r="Y639" s="43"/>
      <c r="Z639" s="43"/>
      <c r="AA639" s="43"/>
      <c r="AB639" s="43"/>
      <c r="AC639" s="43"/>
      <c r="AD639" s="43"/>
      <c r="AE639" s="43"/>
      <c r="AF639" s="43"/>
      <c r="AG639" s="43"/>
      <c r="AH639" s="43"/>
      <c r="AI639" s="43"/>
      <c r="AJ639" s="43"/>
      <c r="AK639" s="43"/>
      <c r="AL639" s="43"/>
      <c r="BO639">
        <v>1000</v>
      </c>
      <c r="BP639" t="s">
        <v>173</v>
      </c>
      <c r="BQ639" t="s">
        <v>83</v>
      </c>
      <c r="BR639">
        <v>65</v>
      </c>
      <c r="BS639">
        <v>6</v>
      </c>
      <c r="BT639" t="s">
        <v>84</v>
      </c>
      <c r="BU639" t="s">
        <v>630</v>
      </c>
      <c r="BV639" t="s">
        <v>631</v>
      </c>
      <c r="BW639" t="s">
        <v>700</v>
      </c>
    </row>
    <row r="640" spans="1:75" x14ac:dyDescent="0.75">
      <c r="A640">
        <v>4</v>
      </c>
      <c r="B640" t="s">
        <v>426</v>
      </c>
      <c r="C640" t="s">
        <v>635</v>
      </c>
      <c r="D640" t="s">
        <v>77</v>
      </c>
      <c r="E640" t="s">
        <v>636</v>
      </c>
      <c r="F640">
        <v>82.8</v>
      </c>
      <c r="H640" t="s">
        <v>91</v>
      </c>
      <c r="J640">
        <v>1.3303179459890914E-2</v>
      </c>
      <c r="K640" s="43"/>
      <c r="L640" s="44"/>
      <c r="M640" s="43">
        <v>-70</v>
      </c>
      <c r="N640" s="43"/>
      <c r="O640" s="43"/>
      <c r="P640" s="43"/>
      <c r="Q640" s="43"/>
      <c r="R640" s="43" t="s">
        <v>79</v>
      </c>
      <c r="S640" s="43"/>
      <c r="T640" s="43"/>
      <c r="U640">
        <v>2.2961486481123566E-6</v>
      </c>
      <c r="V640" s="43"/>
      <c r="W640" s="43"/>
      <c r="X640" s="43"/>
      <c r="Y640" s="43"/>
      <c r="Z640" s="43"/>
      <c r="AA640" s="43"/>
      <c r="AB640" s="43"/>
      <c r="AC640" s="43"/>
      <c r="AD640" s="43"/>
      <c r="AE640" s="43"/>
      <c r="AF640" s="43"/>
      <c r="AG640" s="43"/>
      <c r="AH640" s="43"/>
      <c r="AI640" s="43"/>
      <c r="AJ640" s="43"/>
      <c r="AK640" s="43"/>
      <c r="AL640" s="43"/>
      <c r="BO640">
        <v>1000</v>
      </c>
      <c r="BP640" t="s">
        <v>173</v>
      </c>
      <c r="BQ640" t="s">
        <v>83</v>
      </c>
      <c r="BR640">
        <v>65</v>
      </c>
      <c r="BS640">
        <v>6</v>
      </c>
      <c r="BT640" t="s">
        <v>84</v>
      </c>
      <c r="BU640" t="s">
        <v>630</v>
      </c>
      <c r="BV640" t="s">
        <v>631</v>
      </c>
      <c r="BW640" t="s">
        <v>700</v>
      </c>
    </row>
    <row r="641" spans="1:75" x14ac:dyDescent="0.75">
      <c r="A641">
        <v>4</v>
      </c>
      <c r="B641" t="s">
        <v>426</v>
      </c>
      <c r="C641" t="s">
        <v>635</v>
      </c>
      <c r="D641" t="s">
        <v>77</v>
      </c>
      <c r="E641" t="s">
        <v>636</v>
      </c>
      <c r="F641">
        <v>82.8</v>
      </c>
      <c r="H641" t="s">
        <v>91</v>
      </c>
      <c r="J641">
        <v>1.0004001600640256E-2</v>
      </c>
      <c r="K641" s="43"/>
      <c r="L641" s="44"/>
      <c r="M641" s="43">
        <v>-70</v>
      </c>
      <c r="N641" s="43"/>
      <c r="O641" s="43"/>
      <c r="P641" s="43"/>
      <c r="Q641" s="43"/>
      <c r="R641" s="43" t="s">
        <v>79</v>
      </c>
      <c r="S641" s="43"/>
      <c r="T641" s="43"/>
      <c r="U641">
        <v>1.8967059212111426E-6</v>
      </c>
      <c r="V641" s="43"/>
      <c r="W641" s="43"/>
      <c r="X641" s="43"/>
      <c r="Y641" s="43"/>
      <c r="Z641" s="43"/>
      <c r="AA641" s="43"/>
      <c r="AB641" s="43"/>
      <c r="AC641" s="43"/>
      <c r="AD641" s="43"/>
      <c r="AE641" s="43"/>
      <c r="AF641" s="43"/>
      <c r="AG641" s="43"/>
      <c r="AH641" s="43"/>
      <c r="AI641" s="43"/>
      <c r="AJ641" s="43"/>
      <c r="AK641" s="43"/>
      <c r="AL641" s="43"/>
      <c r="BO641">
        <v>1000</v>
      </c>
      <c r="BP641" t="s">
        <v>173</v>
      </c>
      <c r="BQ641" t="s">
        <v>83</v>
      </c>
      <c r="BR641">
        <v>65</v>
      </c>
      <c r="BS641">
        <v>6</v>
      </c>
      <c r="BT641" t="s">
        <v>84</v>
      </c>
      <c r="BU641" t="s">
        <v>630</v>
      </c>
      <c r="BV641" t="s">
        <v>631</v>
      </c>
      <c r="BW641" t="s">
        <v>700</v>
      </c>
    </row>
    <row r="642" spans="1:75" x14ac:dyDescent="0.75">
      <c r="A642">
        <v>5</v>
      </c>
      <c r="B642" t="s">
        <v>426</v>
      </c>
      <c r="C642" t="s">
        <v>637</v>
      </c>
      <c r="D642" t="s">
        <v>77</v>
      </c>
      <c r="E642" t="s">
        <v>638</v>
      </c>
      <c r="F642">
        <v>61.8</v>
      </c>
      <c r="H642" t="s">
        <v>91</v>
      </c>
      <c r="J642">
        <v>0.12403870007442323</v>
      </c>
      <c r="K642" s="43"/>
      <c r="L642" s="44"/>
      <c r="M642" s="43"/>
      <c r="N642" s="43"/>
      <c r="O642" s="43"/>
      <c r="P642" s="43"/>
      <c r="Q642" s="43"/>
      <c r="R642" s="43" t="s">
        <v>79</v>
      </c>
      <c r="S642" s="43"/>
      <c r="T642" s="43"/>
      <c r="U642">
        <v>2.7989813196343607E-6</v>
      </c>
      <c r="V642" s="43"/>
      <c r="W642" s="43"/>
      <c r="X642" s="43"/>
      <c r="Y642" s="43"/>
      <c r="Z642" s="43"/>
      <c r="AA642" s="43"/>
      <c r="AB642" s="43"/>
      <c r="AC642" s="43"/>
      <c r="AD642" s="43"/>
      <c r="AE642" s="43"/>
      <c r="AF642" s="43"/>
      <c r="AG642" s="43"/>
      <c r="AH642" s="43"/>
      <c r="AI642" s="43"/>
      <c r="AJ642" s="43"/>
      <c r="AK642" s="43"/>
      <c r="AL642" s="43"/>
      <c r="BO642">
        <v>1000</v>
      </c>
      <c r="BP642" t="s">
        <v>173</v>
      </c>
      <c r="BQ642" t="s">
        <v>83</v>
      </c>
      <c r="BR642">
        <v>65</v>
      </c>
      <c r="BS642">
        <v>6</v>
      </c>
      <c r="BT642" t="s">
        <v>84</v>
      </c>
      <c r="BU642" t="s">
        <v>630</v>
      </c>
      <c r="BV642" t="s">
        <v>631</v>
      </c>
      <c r="BW642" t="s">
        <v>700</v>
      </c>
    </row>
    <row r="643" spans="1:75" x14ac:dyDescent="0.75">
      <c r="A643">
        <v>5</v>
      </c>
      <c r="B643" t="s">
        <v>426</v>
      </c>
      <c r="C643" t="s">
        <v>637</v>
      </c>
      <c r="D643" t="s">
        <v>77</v>
      </c>
      <c r="E643" t="s">
        <v>638</v>
      </c>
      <c r="F643">
        <v>61.8</v>
      </c>
      <c r="H643" t="s">
        <v>91</v>
      </c>
      <c r="J643">
        <v>8.2644628099173556E-2</v>
      </c>
      <c r="K643" s="43"/>
      <c r="L643" s="44"/>
      <c r="M643" s="43"/>
      <c r="N643" s="43"/>
      <c r="O643" s="43"/>
      <c r="P643" s="43"/>
      <c r="Q643" s="43"/>
      <c r="R643" s="43" t="s">
        <v>79</v>
      </c>
      <c r="S643" s="43"/>
      <c r="T643" s="43"/>
      <c r="U643">
        <v>5.7942869642688037E-6</v>
      </c>
      <c r="V643" s="43"/>
      <c r="W643" s="43"/>
      <c r="X643" s="43"/>
      <c r="Y643" s="43"/>
      <c r="Z643" s="43"/>
      <c r="AA643" s="43"/>
      <c r="AB643" s="43"/>
      <c r="AC643" s="43"/>
      <c r="AD643" s="43"/>
      <c r="AE643" s="43"/>
      <c r="AF643" s="43"/>
      <c r="AG643" s="43"/>
      <c r="AH643" s="43"/>
      <c r="AI643" s="43"/>
      <c r="AJ643" s="43"/>
      <c r="AK643" s="43"/>
      <c r="AL643" s="43"/>
      <c r="BO643">
        <v>1000</v>
      </c>
      <c r="BP643" t="s">
        <v>173</v>
      </c>
      <c r="BQ643" t="s">
        <v>83</v>
      </c>
      <c r="BR643">
        <v>65</v>
      </c>
      <c r="BS643">
        <v>6</v>
      </c>
      <c r="BT643" t="s">
        <v>84</v>
      </c>
      <c r="BU643" t="s">
        <v>630</v>
      </c>
      <c r="BV643" t="s">
        <v>631</v>
      </c>
      <c r="BW643" t="s">
        <v>700</v>
      </c>
    </row>
    <row r="644" spans="1:75" x14ac:dyDescent="0.75">
      <c r="A644">
        <v>5</v>
      </c>
      <c r="B644" t="s">
        <v>426</v>
      </c>
      <c r="C644" t="s">
        <v>637</v>
      </c>
      <c r="D644" t="s">
        <v>77</v>
      </c>
      <c r="E644" t="s">
        <v>638</v>
      </c>
      <c r="F644">
        <v>61.8</v>
      </c>
      <c r="H644" t="s">
        <v>91</v>
      </c>
      <c r="J644">
        <v>5.7971014492753624E-2</v>
      </c>
      <c r="K644" s="43"/>
      <c r="L644" s="44"/>
      <c r="M644" s="43"/>
      <c r="N644" s="43"/>
      <c r="O644" s="43"/>
      <c r="P644" s="43"/>
      <c r="Q644" s="43"/>
      <c r="R644" s="43" t="s">
        <v>79</v>
      </c>
      <c r="S644" s="43"/>
      <c r="T644" s="43"/>
      <c r="U644">
        <v>7.5162289401820541E-6</v>
      </c>
      <c r="V644" s="43"/>
      <c r="W644" s="43"/>
      <c r="X644" s="43"/>
      <c r="Y644" s="43"/>
      <c r="Z644" s="43"/>
      <c r="AA644" s="43"/>
      <c r="AB644" s="43"/>
      <c r="AC644" s="43"/>
      <c r="AD644" s="43"/>
      <c r="AE644" s="43"/>
      <c r="AF644" s="43"/>
      <c r="AG644" s="43"/>
      <c r="AH644" s="43"/>
      <c r="AI644" s="43"/>
      <c r="AJ644" s="43"/>
      <c r="AK644" s="43"/>
      <c r="AL644" s="43"/>
      <c r="BO644">
        <v>1000</v>
      </c>
      <c r="BP644" t="s">
        <v>173</v>
      </c>
      <c r="BQ644" t="s">
        <v>83</v>
      </c>
      <c r="BR644">
        <v>65</v>
      </c>
      <c r="BS644">
        <v>6</v>
      </c>
      <c r="BT644" t="s">
        <v>84</v>
      </c>
      <c r="BU644" t="s">
        <v>630</v>
      </c>
      <c r="BV644" t="s">
        <v>631</v>
      </c>
      <c r="BW644" t="s">
        <v>700</v>
      </c>
    </row>
    <row r="645" spans="1:75" x14ac:dyDescent="0.75">
      <c r="A645">
        <v>5</v>
      </c>
      <c r="B645" t="s">
        <v>426</v>
      </c>
      <c r="C645" t="s">
        <v>637</v>
      </c>
      <c r="D645" t="s">
        <v>77</v>
      </c>
      <c r="E645" t="s">
        <v>638</v>
      </c>
      <c r="F645">
        <v>61.8</v>
      </c>
      <c r="H645" t="s">
        <v>91</v>
      </c>
      <c r="J645">
        <v>3.3244680851063829E-2</v>
      </c>
      <c r="K645" s="43"/>
      <c r="L645" s="44"/>
      <c r="M645" s="43"/>
      <c r="N645" s="43"/>
      <c r="O645" s="43"/>
      <c r="P645" s="43"/>
      <c r="Q645" s="43"/>
      <c r="R645" s="43" t="s">
        <v>79</v>
      </c>
      <c r="S645" s="43"/>
      <c r="T645" s="43"/>
      <c r="U645">
        <v>5.9841159506031955E-6</v>
      </c>
      <c r="V645" s="43"/>
      <c r="W645" s="43"/>
      <c r="X645" s="43"/>
      <c r="Y645" s="43"/>
      <c r="Z645" s="43"/>
      <c r="AA645" s="43"/>
      <c r="AB645" s="43"/>
      <c r="AC645" s="43"/>
      <c r="AD645" s="43"/>
      <c r="AE645" s="43"/>
      <c r="AF645" s="43"/>
      <c r="AG645" s="43"/>
      <c r="AH645" s="43"/>
      <c r="AI645" s="43"/>
      <c r="AJ645" s="43"/>
      <c r="AK645" s="43"/>
      <c r="AL645" s="43"/>
      <c r="BO645">
        <v>1000</v>
      </c>
      <c r="BP645" t="s">
        <v>173</v>
      </c>
      <c r="BQ645" t="s">
        <v>83</v>
      </c>
      <c r="BR645">
        <v>65</v>
      </c>
      <c r="BS645">
        <v>6</v>
      </c>
      <c r="BT645" t="s">
        <v>84</v>
      </c>
      <c r="BU645" t="s">
        <v>630</v>
      </c>
      <c r="BV645" t="s">
        <v>631</v>
      </c>
      <c r="BW645" t="s">
        <v>700</v>
      </c>
    </row>
    <row r="646" spans="1:75" x14ac:dyDescent="0.75">
      <c r="A646">
        <v>5</v>
      </c>
      <c r="B646" t="s">
        <v>426</v>
      </c>
      <c r="C646" t="s">
        <v>637</v>
      </c>
      <c r="D646" t="s">
        <v>77</v>
      </c>
      <c r="E646" t="s">
        <v>638</v>
      </c>
      <c r="F646">
        <v>61.8</v>
      </c>
      <c r="H646" t="s">
        <v>91</v>
      </c>
      <c r="J646">
        <v>1.9940179461615155E-2</v>
      </c>
      <c r="K646" s="43"/>
      <c r="L646" s="44"/>
      <c r="M646" s="43"/>
      <c r="N646" s="43"/>
      <c r="O646" s="43"/>
      <c r="P646" s="43"/>
      <c r="Q646" s="43"/>
      <c r="R646" s="43" t="s">
        <v>79</v>
      </c>
      <c r="S646" s="43"/>
      <c r="T646" s="43"/>
      <c r="U646">
        <v>4.5814188671453278E-6</v>
      </c>
      <c r="V646" s="43"/>
      <c r="W646" s="43"/>
      <c r="X646" s="43"/>
      <c r="Y646" s="43"/>
      <c r="Z646" s="43"/>
      <c r="AA646" s="43"/>
      <c r="AB646" s="43"/>
      <c r="AC646" s="43"/>
      <c r="AD646" s="43"/>
      <c r="AE646" s="43"/>
      <c r="AF646" s="43"/>
      <c r="AG646" s="43"/>
      <c r="AH646" s="43"/>
      <c r="AI646" s="43"/>
      <c r="AJ646" s="43"/>
      <c r="AK646" s="43"/>
      <c r="AL646" s="43"/>
      <c r="BO646">
        <v>1000</v>
      </c>
      <c r="BP646" t="s">
        <v>173</v>
      </c>
      <c r="BQ646" t="s">
        <v>83</v>
      </c>
      <c r="BR646">
        <v>65</v>
      </c>
      <c r="BS646">
        <v>6</v>
      </c>
      <c r="BT646" t="s">
        <v>84</v>
      </c>
      <c r="BU646" t="s">
        <v>630</v>
      </c>
      <c r="BV646" t="s">
        <v>631</v>
      </c>
      <c r="BW646" t="s">
        <v>700</v>
      </c>
    </row>
    <row r="647" spans="1:75" x14ac:dyDescent="0.75">
      <c r="A647">
        <v>5</v>
      </c>
      <c r="B647" t="s">
        <v>426</v>
      </c>
      <c r="C647" t="s">
        <v>637</v>
      </c>
      <c r="D647" t="s">
        <v>77</v>
      </c>
      <c r="E647" t="s">
        <v>638</v>
      </c>
      <c r="F647">
        <v>61.8</v>
      </c>
      <c r="H647" t="s">
        <v>91</v>
      </c>
      <c r="J647">
        <v>1.42836737608913E-2</v>
      </c>
      <c r="K647" s="43"/>
      <c r="L647" s="44"/>
      <c r="M647" s="43"/>
      <c r="N647" s="43"/>
      <c r="O647" s="43"/>
      <c r="P647" s="43"/>
      <c r="Q647" s="43"/>
      <c r="R647" s="43" t="s">
        <v>79</v>
      </c>
      <c r="S647" s="43"/>
      <c r="T647" s="43"/>
      <c r="U647">
        <v>2.7989813196343607E-6</v>
      </c>
      <c r="V647" s="43"/>
      <c r="W647" s="43"/>
      <c r="X647" s="43"/>
      <c r="Y647" s="43"/>
      <c r="Z647" s="43"/>
      <c r="AA647" s="43"/>
      <c r="AB647" s="43"/>
      <c r="AC647" s="43"/>
      <c r="AD647" s="43"/>
      <c r="AE647" s="43"/>
      <c r="AF647" s="43"/>
      <c r="AG647" s="43"/>
      <c r="AH647" s="43"/>
      <c r="AI647" s="43"/>
      <c r="AJ647" s="43"/>
      <c r="AK647" s="43"/>
      <c r="AL647" s="43"/>
      <c r="BO647">
        <v>1000</v>
      </c>
      <c r="BP647" t="s">
        <v>173</v>
      </c>
      <c r="BQ647" t="s">
        <v>83</v>
      </c>
      <c r="BR647">
        <v>65</v>
      </c>
      <c r="BS647">
        <v>6</v>
      </c>
      <c r="BT647" t="s">
        <v>84</v>
      </c>
      <c r="BU647" t="s">
        <v>630</v>
      </c>
      <c r="BV647" t="s">
        <v>631</v>
      </c>
      <c r="BW647" t="s">
        <v>700</v>
      </c>
    </row>
    <row r="648" spans="1:75" x14ac:dyDescent="0.75">
      <c r="A648">
        <v>5</v>
      </c>
      <c r="B648" t="s">
        <v>426</v>
      </c>
      <c r="C648" t="s">
        <v>637</v>
      </c>
      <c r="D648" t="s">
        <v>77</v>
      </c>
      <c r="E648" t="s">
        <v>638</v>
      </c>
      <c r="F648">
        <v>61.8</v>
      </c>
      <c r="H648" t="s">
        <v>91</v>
      </c>
      <c r="J648">
        <v>9.99000999000999E-3</v>
      </c>
      <c r="K648" s="43"/>
      <c r="L648" s="44"/>
      <c r="M648" s="43"/>
      <c r="N648" s="43"/>
      <c r="O648" s="43"/>
      <c r="P648" s="43"/>
      <c r="Q648" s="43"/>
      <c r="R648" s="43" t="s">
        <v>79</v>
      </c>
      <c r="S648" s="43"/>
      <c r="T648" s="43"/>
      <c r="U648">
        <v>2.7925438412373345E-6</v>
      </c>
      <c r="V648" s="43"/>
      <c r="W648" s="43"/>
      <c r="X648" s="43"/>
      <c r="Y648" s="43"/>
      <c r="Z648" s="43"/>
      <c r="AA648" s="43"/>
      <c r="AB648" s="43"/>
      <c r="AC648" s="43"/>
      <c r="AD648" s="43"/>
      <c r="AE648" s="43"/>
      <c r="AF648" s="43"/>
      <c r="AG648" s="43"/>
      <c r="AH648" s="43"/>
      <c r="AI648" s="43"/>
      <c r="AJ648" s="43"/>
      <c r="AK648" s="43"/>
      <c r="AL648" s="43"/>
      <c r="BO648">
        <v>1000</v>
      </c>
      <c r="BP648" t="s">
        <v>173</v>
      </c>
      <c r="BQ648" t="s">
        <v>83</v>
      </c>
      <c r="BR648">
        <v>65</v>
      </c>
      <c r="BS648">
        <v>6</v>
      </c>
      <c r="BT648" t="s">
        <v>84</v>
      </c>
      <c r="BU648" t="s">
        <v>630</v>
      </c>
      <c r="BV648" t="s">
        <v>631</v>
      </c>
      <c r="BW648" t="s">
        <v>700</v>
      </c>
    </row>
    <row r="649" spans="1:75" x14ac:dyDescent="0.75">
      <c r="A649">
        <v>6</v>
      </c>
      <c r="B649" t="s">
        <v>426</v>
      </c>
      <c r="C649" t="s">
        <v>639</v>
      </c>
      <c r="D649" t="s">
        <v>77</v>
      </c>
      <c r="E649" t="s">
        <v>460</v>
      </c>
      <c r="F649">
        <v>71.400000000000006</v>
      </c>
      <c r="H649" t="s">
        <v>91</v>
      </c>
      <c r="J649">
        <v>9.940357852882703E-2</v>
      </c>
      <c r="K649" s="43"/>
      <c r="L649" s="44"/>
      <c r="M649" s="43">
        <v>-77</v>
      </c>
      <c r="N649" s="43"/>
      <c r="O649" s="43"/>
      <c r="P649" s="43"/>
      <c r="Q649" s="43"/>
      <c r="R649" s="43" t="s">
        <v>79</v>
      </c>
      <c r="S649" s="43"/>
      <c r="T649" s="43"/>
      <c r="U649">
        <v>1.2882495516931333E-6</v>
      </c>
      <c r="V649" s="43"/>
      <c r="W649" s="43"/>
      <c r="X649" s="43"/>
      <c r="Y649" s="43"/>
      <c r="Z649" s="43"/>
      <c r="AA649" s="43"/>
      <c r="AB649" s="43"/>
      <c r="AC649" s="43"/>
      <c r="AD649" s="43"/>
      <c r="AE649" s="43"/>
      <c r="AF649" s="43"/>
      <c r="AG649" s="43"/>
      <c r="AH649" s="43"/>
      <c r="AI649" s="43"/>
      <c r="AJ649" s="43"/>
      <c r="AK649" s="43"/>
      <c r="AL649" s="43"/>
      <c r="BO649">
        <v>1000</v>
      </c>
      <c r="BP649" t="s">
        <v>173</v>
      </c>
      <c r="BQ649" t="s">
        <v>83</v>
      </c>
      <c r="BR649">
        <v>65</v>
      </c>
      <c r="BS649">
        <v>6</v>
      </c>
      <c r="BT649" t="s">
        <v>84</v>
      </c>
      <c r="BU649" t="s">
        <v>630</v>
      </c>
      <c r="BV649" t="s">
        <v>631</v>
      </c>
      <c r="BW649" t="s">
        <v>700</v>
      </c>
    </row>
    <row r="650" spans="1:75" x14ac:dyDescent="0.75">
      <c r="A650">
        <v>6</v>
      </c>
      <c r="B650" t="s">
        <v>426</v>
      </c>
      <c r="C650" t="s">
        <v>639</v>
      </c>
      <c r="D650" t="s">
        <v>77</v>
      </c>
      <c r="E650" t="s">
        <v>460</v>
      </c>
      <c r="F650">
        <v>71.400000000000006</v>
      </c>
      <c r="H650" t="s">
        <v>91</v>
      </c>
      <c r="J650">
        <v>9.9601593625498017E-2</v>
      </c>
      <c r="K650" s="43"/>
      <c r="L650" s="44"/>
      <c r="M650" s="43">
        <v>-77</v>
      </c>
      <c r="N650" s="43"/>
      <c r="O650" s="43"/>
      <c r="P650" s="43"/>
      <c r="Q650" s="43"/>
      <c r="R650" s="43" t="s">
        <v>79</v>
      </c>
      <c r="S650" s="43"/>
      <c r="T650" s="43"/>
      <c r="U650">
        <v>2.864177969906579E-6</v>
      </c>
      <c r="V650" s="43"/>
      <c r="W650" s="43"/>
      <c r="X650" s="43"/>
      <c r="Y650" s="43"/>
      <c r="Z650" s="43"/>
      <c r="AA650" s="43"/>
      <c r="AB650" s="43"/>
      <c r="AC650" s="43"/>
      <c r="AD650" s="43"/>
      <c r="AE650" s="43"/>
      <c r="AF650" s="43"/>
      <c r="AG650" s="43"/>
      <c r="AH650" s="43"/>
      <c r="AI650" s="43"/>
      <c r="AJ650" s="43"/>
      <c r="AK650" s="43"/>
      <c r="AL650" s="43"/>
      <c r="BO650">
        <v>1000</v>
      </c>
      <c r="BP650" t="s">
        <v>173</v>
      </c>
      <c r="BQ650" t="s">
        <v>83</v>
      </c>
      <c r="BR650">
        <v>65</v>
      </c>
      <c r="BS650">
        <v>6</v>
      </c>
      <c r="BT650" t="s">
        <v>84</v>
      </c>
      <c r="BU650" t="s">
        <v>630</v>
      </c>
      <c r="BV650" t="s">
        <v>631</v>
      </c>
      <c r="BW650" t="s">
        <v>700</v>
      </c>
    </row>
    <row r="651" spans="1:75" x14ac:dyDescent="0.75">
      <c r="A651">
        <v>6</v>
      </c>
      <c r="B651" t="s">
        <v>426</v>
      </c>
      <c r="C651" t="s">
        <v>639</v>
      </c>
      <c r="D651" t="s">
        <v>77</v>
      </c>
      <c r="E651" t="s">
        <v>460</v>
      </c>
      <c r="F651">
        <v>71.400000000000006</v>
      </c>
      <c r="H651" t="s">
        <v>91</v>
      </c>
      <c r="J651">
        <v>8.4317032040472181E-2</v>
      </c>
      <c r="K651" s="43"/>
      <c r="L651" s="44"/>
      <c r="M651" s="43">
        <v>-77</v>
      </c>
      <c r="N651" s="43"/>
      <c r="O651" s="43"/>
      <c r="P651" s="43"/>
      <c r="Q651" s="43"/>
      <c r="R651" s="43" t="s">
        <v>79</v>
      </c>
      <c r="S651" s="43"/>
      <c r="T651" s="43"/>
      <c r="U651">
        <v>1.1939881044642718E-5</v>
      </c>
      <c r="V651" s="43"/>
      <c r="W651" s="43"/>
      <c r="X651" s="43"/>
      <c r="Y651" s="43"/>
      <c r="Z651" s="43"/>
      <c r="AA651" s="43"/>
      <c r="AB651" s="43"/>
      <c r="AC651" s="43"/>
      <c r="AD651" s="43"/>
      <c r="AE651" s="43"/>
      <c r="AF651" s="43"/>
      <c r="AG651" s="43"/>
      <c r="AH651" s="43"/>
      <c r="AI651" s="43"/>
      <c r="AJ651" s="43"/>
      <c r="AK651" s="43"/>
      <c r="AL651" s="43"/>
      <c r="BO651">
        <v>1000</v>
      </c>
      <c r="BP651" t="s">
        <v>173</v>
      </c>
      <c r="BQ651" t="s">
        <v>83</v>
      </c>
      <c r="BR651">
        <v>65</v>
      </c>
      <c r="BS651">
        <v>6</v>
      </c>
      <c r="BT651" t="s">
        <v>84</v>
      </c>
      <c r="BU651" t="s">
        <v>630</v>
      </c>
      <c r="BV651" t="s">
        <v>631</v>
      </c>
      <c r="BW651" t="s">
        <v>700</v>
      </c>
    </row>
    <row r="652" spans="1:75" x14ac:dyDescent="0.75">
      <c r="A652">
        <v>6</v>
      </c>
      <c r="B652" t="s">
        <v>426</v>
      </c>
      <c r="C652" t="s">
        <v>639</v>
      </c>
      <c r="D652" t="s">
        <v>77</v>
      </c>
      <c r="E652" t="s">
        <v>460</v>
      </c>
      <c r="F652">
        <v>71.400000000000006</v>
      </c>
      <c r="H652" t="s">
        <v>91</v>
      </c>
      <c r="J652">
        <v>6.2460961898813235E-2</v>
      </c>
      <c r="K652" s="43"/>
      <c r="L652" s="44"/>
      <c r="M652" s="43">
        <v>-77</v>
      </c>
      <c r="N652" s="43"/>
      <c r="O652" s="43"/>
      <c r="P652" s="43"/>
      <c r="Q652" s="43"/>
      <c r="R652" s="43" t="s">
        <v>79</v>
      </c>
      <c r="S652" s="43"/>
      <c r="T652" s="43"/>
      <c r="U652">
        <v>2.2750974307720698E-5</v>
      </c>
      <c r="V652" s="43"/>
      <c r="W652" s="43"/>
      <c r="X652" s="43"/>
      <c r="Y652" s="43"/>
      <c r="Z652" s="43"/>
      <c r="AA652" s="43"/>
      <c r="AB652" s="43"/>
      <c r="AC652" s="43"/>
      <c r="AD652" s="43"/>
      <c r="AE652" s="43"/>
      <c r="AF652" s="43"/>
      <c r="AG652" s="43"/>
      <c r="AH652" s="43"/>
      <c r="AI652" s="43"/>
      <c r="AJ652" s="43"/>
      <c r="AK652" s="43"/>
      <c r="AL652" s="43"/>
      <c r="BO652">
        <v>1000</v>
      </c>
      <c r="BP652" t="s">
        <v>173</v>
      </c>
      <c r="BQ652" t="s">
        <v>83</v>
      </c>
      <c r="BR652">
        <v>65</v>
      </c>
      <c r="BS652">
        <v>6</v>
      </c>
      <c r="BT652" t="s">
        <v>84</v>
      </c>
      <c r="BU652" t="s">
        <v>630</v>
      </c>
      <c r="BV652" t="s">
        <v>631</v>
      </c>
      <c r="BW652" t="s">
        <v>700</v>
      </c>
    </row>
    <row r="653" spans="1:75" x14ac:dyDescent="0.75">
      <c r="A653">
        <v>6</v>
      </c>
      <c r="B653" t="s">
        <v>426</v>
      </c>
      <c r="C653" t="s">
        <v>639</v>
      </c>
      <c r="D653" t="s">
        <v>77</v>
      </c>
      <c r="E653" t="s">
        <v>460</v>
      </c>
      <c r="F653">
        <v>71.400000000000006</v>
      </c>
      <c r="H653" t="s">
        <v>91</v>
      </c>
      <c r="J653">
        <v>3.3156498673740056E-2</v>
      </c>
      <c r="K653" s="43"/>
      <c r="L653" s="44"/>
      <c r="M653" s="43">
        <v>-77</v>
      </c>
      <c r="N653" s="43"/>
      <c r="O653" s="43"/>
      <c r="P653" s="43"/>
      <c r="Q653" s="43"/>
      <c r="R653" s="43" t="s">
        <v>79</v>
      </c>
      <c r="S653" s="43"/>
      <c r="T653" s="43"/>
      <c r="U653">
        <v>1.8281002161427402E-5</v>
      </c>
      <c r="V653" s="43"/>
      <c r="W653" s="43"/>
      <c r="X653" s="43"/>
      <c r="Y653" s="43"/>
      <c r="Z653" s="43"/>
      <c r="AA653" s="43"/>
      <c r="AB653" s="43"/>
      <c r="AC653" s="43"/>
      <c r="AD653" s="43"/>
      <c r="AE653" s="43"/>
      <c r="AF653" s="43"/>
      <c r="AG653" s="43"/>
      <c r="AH653" s="43"/>
      <c r="AI653" s="43"/>
      <c r="AJ653" s="43"/>
      <c r="AK653" s="43"/>
      <c r="AL653" s="43"/>
      <c r="BO653">
        <v>1000</v>
      </c>
      <c r="BP653" t="s">
        <v>173</v>
      </c>
      <c r="BQ653" t="s">
        <v>83</v>
      </c>
      <c r="BR653">
        <v>65</v>
      </c>
      <c r="BS653">
        <v>6</v>
      </c>
      <c r="BT653" t="s">
        <v>84</v>
      </c>
      <c r="BU653" t="s">
        <v>630</v>
      </c>
      <c r="BV653" t="s">
        <v>631</v>
      </c>
      <c r="BW653" t="s">
        <v>700</v>
      </c>
    </row>
    <row r="654" spans="1:75" x14ac:dyDescent="0.75">
      <c r="A654">
        <v>6</v>
      </c>
      <c r="B654" t="s">
        <v>426</v>
      </c>
      <c r="C654" t="s">
        <v>639</v>
      </c>
      <c r="D654" t="s">
        <v>77</v>
      </c>
      <c r="E654" t="s">
        <v>460</v>
      </c>
      <c r="F654">
        <v>71.400000000000006</v>
      </c>
      <c r="H654" t="s">
        <v>91</v>
      </c>
      <c r="J654">
        <v>1.9904458598726114E-2</v>
      </c>
      <c r="K654" s="43"/>
      <c r="L654" s="44"/>
      <c r="M654" s="43">
        <v>-77</v>
      </c>
      <c r="N654" s="43"/>
      <c r="O654" s="43"/>
      <c r="P654" s="43"/>
      <c r="Q654" s="43"/>
      <c r="R654" s="43" t="s">
        <v>79</v>
      </c>
      <c r="S654" s="43"/>
      <c r="T654" s="43"/>
      <c r="U654">
        <v>1.1885022274370174E-5</v>
      </c>
      <c r="V654" s="43"/>
      <c r="W654" s="43"/>
      <c r="X654" s="43"/>
      <c r="Y654" s="43"/>
      <c r="Z654" s="43"/>
      <c r="AA654" s="43"/>
      <c r="AB654" s="43"/>
      <c r="AC654" s="43"/>
      <c r="AD654" s="43"/>
      <c r="AE654" s="43"/>
      <c r="AF654" s="43"/>
      <c r="AG654" s="43"/>
      <c r="AH654" s="43"/>
      <c r="AI654" s="43"/>
      <c r="AJ654" s="43"/>
      <c r="AK654" s="43"/>
      <c r="AL654" s="43"/>
      <c r="BO654">
        <v>1000</v>
      </c>
      <c r="BP654" t="s">
        <v>173</v>
      </c>
      <c r="BQ654" t="s">
        <v>83</v>
      </c>
      <c r="BR654">
        <v>65</v>
      </c>
      <c r="BS654">
        <v>6</v>
      </c>
      <c r="BT654" t="s">
        <v>84</v>
      </c>
      <c r="BU654" t="s">
        <v>630</v>
      </c>
      <c r="BV654" t="s">
        <v>631</v>
      </c>
      <c r="BW654" t="s">
        <v>700</v>
      </c>
    </row>
    <row r="655" spans="1:75" x14ac:dyDescent="0.75">
      <c r="A655">
        <v>6</v>
      </c>
      <c r="B655" t="s">
        <v>426</v>
      </c>
      <c r="C655" t="s">
        <v>639</v>
      </c>
      <c r="D655" t="s">
        <v>77</v>
      </c>
      <c r="E655" t="s">
        <v>460</v>
      </c>
      <c r="F655">
        <v>71.400000000000006</v>
      </c>
      <c r="H655" t="s">
        <v>91</v>
      </c>
      <c r="J655">
        <v>1.426330052774212E-2</v>
      </c>
      <c r="K655" s="43"/>
      <c r="L655" s="44"/>
      <c r="M655" s="43">
        <v>-77</v>
      </c>
      <c r="N655" s="43"/>
      <c r="O655" s="43"/>
      <c r="P655" s="43"/>
      <c r="Q655" s="43"/>
      <c r="R655" s="43" t="s">
        <v>79</v>
      </c>
      <c r="S655" s="43"/>
      <c r="T655" s="43"/>
      <c r="U655">
        <v>5.5335010921573616E-6</v>
      </c>
      <c r="V655" s="43"/>
      <c r="W655" s="43"/>
      <c r="X655" s="43"/>
      <c r="Y655" s="43"/>
      <c r="Z655" s="43"/>
      <c r="AA655" s="43"/>
      <c r="AB655" s="43"/>
      <c r="AC655" s="43"/>
      <c r="AD655" s="43"/>
      <c r="AE655" s="43"/>
      <c r="AF655" s="43"/>
      <c r="AG655" s="43"/>
      <c r="AH655" s="43"/>
      <c r="AI655" s="43"/>
      <c r="AJ655" s="43"/>
      <c r="AK655" s="43"/>
      <c r="AL655" s="43"/>
      <c r="BO655">
        <v>1000</v>
      </c>
      <c r="BP655" t="s">
        <v>173</v>
      </c>
      <c r="BQ655" t="s">
        <v>83</v>
      </c>
      <c r="BR655">
        <v>65</v>
      </c>
      <c r="BS655">
        <v>6</v>
      </c>
      <c r="BT655" t="s">
        <v>84</v>
      </c>
      <c r="BU655" t="s">
        <v>630</v>
      </c>
      <c r="BV655" t="s">
        <v>631</v>
      </c>
      <c r="BW655" t="s">
        <v>700</v>
      </c>
    </row>
    <row r="656" spans="1:75" x14ac:dyDescent="0.75">
      <c r="A656" s="1">
        <v>6</v>
      </c>
      <c r="B656" s="1" t="s">
        <v>426</v>
      </c>
      <c r="C656" s="1" t="s">
        <v>639</v>
      </c>
      <c r="D656" t="s">
        <v>77</v>
      </c>
      <c r="E656" s="1" t="s">
        <v>460</v>
      </c>
      <c r="F656" s="1">
        <v>71.400000000000006</v>
      </c>
      <c r="G656" s="1"/>
      <c r="H656" s="1" t="s">
        <v>91</v>
      </c>
      <c r="I656" s="1"/>
      <c r="J656" s="1">
        <v>1.0007004903432402E-2</v>
      </c>
      <c r="K656" s="45"/>
      <c r="L656" s="46"/>
      <c r="M656" s="45">
        <v>-77</v>
      </c>
      <c r="N656" s="45"/>
      <c r="O656" s="45"/>
      <c r="P656" s="45"/>
      <c r="Q656" s="45"/>
      <c r="R656" s="45" t="s">
        <v>79</v>
      </c>
      <c r="S656" s="45"/>
      <c r="T656" s="45"/>
      <c r="U656" s="1">
        <v>4.7315125896147936E-6</v>
      </c>
      <c r="V656" s="45"/>
      <c r="W656" s="45"/>
      <c r="X656" s="45"/>
      <c r="Y656" s="45"/>
      <c r="Z656" s="45"/>
      <c r="AA656" s="45"/>
      <c r="AB656" s="45"/>
      <c r="AC656" s="45"/>
      <c r="AD656" s="45"/>
      <c r="AE656" s="45"/>
      <c r="AF656" s="45"/>
      <c r="AG656" s="45"/>
      <c r="AH656" s="45"/>
      <c r="AI656" s="45"/>
      <c r="AJ656" s="45"/>
      <c r="AK656" s="45"/>
      <c r="AL656" s="45"/>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v>1000</v>
      </c>
      <c r="BP656" s="1" t="s">
        <v>173</v>
      </c>
      <c r="BQ656" s="1" t="s">
        <v>83</v>
      </c>
      <c r="BR656" s="1">
        <v>65</v>
      </c>
      <c r="BS656" s="1">
        <v>6</v>
      </c>
      <c r="BT656" s="1" t="s">
        <v>84</v>
      </c>
      <c r="BU656" s="1" t="s">
        <v>630</v>
      </c>
      <c r="BV656" s="1" t="s">
        <v>631</v>
      </c>
      <c r="BW656" t="s">
        <v>700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dc:creator>
  <cp:lastModifiedBy>nicol</cp:lastModifiedBy>
  <dcterms:created xsi:type="dcterms:W3CDTF">2020-06-01T16:38:47Z</dcterms:created>
  <dcterms:modified xsi:type="dcterms:W3CDTF">2021-02-21T20:01:26Z</dcterms:modified>
</cp:coreProperties>
</file>