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CFAnalysis" sheetId="2" r:id="rId4"/>
    <sheet state="visible" name="RentRoll" sheetId="3" r:id="rId5"/>
    <sheet state="visible" name="OperatingStatement" sheetId="4" r:id="rId6"/>
    <sheet state="visible" name="UnitMixanalysis" sheetId="5" r:id="rId7"/>
    <sheet state="visible" name="InterestCapRateSensitivity" sheetId="6" r:id="rId8"/>
  </sheets>
  <definedNames>
    <definedName name="Initial_Int_Only_Period">InterestCapRateSensitivity!$B$11</definedName>
    <definedName name="Initial_NOI">InterestCapRateSensitivity!$B$9</definedName>
    <definedName name="Valuation">InterestCapRateSensitivity!$B$39</definedName>
    <definedName name="Debt_Yield">InterestCapRateSensitivity!$B$38</definedName>
    <definedName name="Principal_Reduction">InterestCapRateSensitivity!$C$32</definedName>
    <definedName name="Traditional_max._LTV">InterestCapRateSensitivity!$B$25</definedName>
    <definedName name="Pay_Rate">InterestCapRateSensitivity!$B$6</definedName>
    <definedName name="Rate_used_for_hyp_sensitization">InterestCapRateSensitivity!$B$19</definedName>
    <definedName name="Traditional_rate">InterestCapRateSensitivity!$B$24</definedName>
    <definedName name="Amortization">InterestCapRateSensitivity!$B$8</definedName>
    <definedName name="Amo_Rate">InterestCapRateSensitivity!$B$7</definedName>
    <definedName name="DSCR">InterestCapRateSensitivity!$B$35</definedName>
    <definedName name="Min_Refi_DSCR">InterestCapRateSensitivity!$B$18</definedName>
    <definedName name="Term_Fixed_Period">InterestCapRateSensitivity!$B$12</definedName>
    <definedName name="Annual_Debt_Service">InterestCapRateSensitivity!$B$34</definedName>
    <definedName name="Max_Refi_LTV">InterestCapRateSensitivity!$B$17</definedName>
    <definedName name="Traditional_amortization">InterestCapRateSensitivity!$B$23</definedName>
    <definedName name="Policy_Floor_Rate">InterestCapRateSensitivity!$B$16</definedName>
    <definedName name="Initial_Cap_Rate">InterestCapRateSensitivity!$B$10</definedName>
    <definedName name="refi_amortization">InterestCapRateSensitivity!$B$15</definedName>
    <definedName name="Ending_Balance">InterestCapRateSensitivity!$C$33</definedName>
    <definedName name="Traditional_min._DSCR">InterestCapRateSensitivity!$B$26</definedName>
    <definedName name="Loan_Amount">InterestCapRateSensitivity!$B$5</definedName>
    <definedName name="LTV">InterestCapRateSensitivity!$B$37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Make sure these match the rent roll input.
</t>
      </text>
    </comment>
  </commentList>
</comments>
</file>

<file path=xl/sharedStrings.xml><?xml version="1.0" encoding="utf-8"?>
<sst xmlns="http://schemas.openxmlformats.org/spreadsheetml/2006/main" count="301" uniqueCount="222">
  <si>
    <t>Rent Roll</t>
  </si>
  <si>
    <t>Rent control?</t>
  </si>
  <si>
    <t>No</t>
  </si>
  <si>
    <t>Cash Flow Analysis</t>
  </si>
  <si>
    <t>Property Address:</t>
  </si>
  <si>
    <t>Request for Financing Proposal</t>
  </si>
  <si>
    <t>Summary</t>
  </si>
  <si>
    <t>Unit No.</t>
  </si>
  <si>
    <t>Tenant</t>
  </si>
  <si>
    <t>Bed/Bath</t>
  </si>
  <si>
    <t>SF</t>
  </si>
  <si>
    <t>Current Rent</t>
  </si>
  <si>
    <t>Move In Date</t>
  </si>
  <si>
    <t>Lease Expiration</t>
  </si>
  <si>
    <t>Section 8?</t>
  </si>
  <si>
    <t>Utilities Included</t>
  </si>
  <si>
    <t>Concessions</t>
  </si>
  <si>
    <t>I am seeking to refinance a 14-unit multifamily property in Escondido, CA. I want the lowest interest rate possible and will forego proceeds and/or loan features like interest-only to get the lowest rate.</t>
  </si>
  <si>
    <t>Mark Smith</t>
  </si>
  <si>
    <t>2bd/1ba</t>
  </si>
  <si>
    <t>Strengths</t>
  </si>
  <si>
    <t>Owner/Sponsor:</t>
  </si>
  <si>
    <t>+Comment on repayment source strength</t>
  </si>
  <si>
    <t>Borrower Entity:</t>
  </si>
  <si>
    <t>Period</t>
  </si>
  <si>
    <t>Water / Trash</t>
  </si>
  <si>
    <t>None</t>
  </si>
  <si>
    <t>Valencia Renteria</t>
  </si>
  <si>
    <t>+List other positive factors (e.g. recent capex); use new rows if needed</t>
  </si>
  <si>
    <t>Scott Floyd</t>
  </si>
  <si>
    <t>Michael Johnson</t>
  </si>
  <si>
    <t>Weaknesses</t>
  </si>
  <si>
    <t>Michael Bolton</t>
  </si>
  <si>
    <t>-List a weakness that indicates an objective perspective on the property</t>
  </si>
  <si>
    <t>Manuel Welch</t>
  </si>
  <si>
    <t>Rodrigo Garcia</t>
  </si>
  <si>
    <t>-List other weaknesses (e.g. limited parking); use new rows if necessary</t>
  </si>
  <si>
    <t>Jenna Silver</t>
  </si>
  <si>
    <t>1bd/1ba</t>
  </si>
  <si>
    <t>Max Markowitz</t>
  </si>
  <si>
    <t>David Lima</t>
  </si>
  <si>
    <t>Collateral</t>
  </si>
  <si>
    <t>Lydia Smock</t>
  </si>
  <si>
    <t>Address:</t>
  </si>
  <si>
    <t>123 Anywhere St., Escondido, CA 92029</t>
  </si>
  <si>
    <t>Pamela Lambert</t>
  </si>
  <si>
    <t>Peter Graves</t>
  </si>
  <si>
    <t>U/W Proforma</t>
  </si>
  <si>
    <t>Lloyd Weber</t>
  </si>
  <si>
    <t>Assessor's parcel no.</t>
  </si>
  <si>
    <t>123-456-78-90</t>
  </si>
  <si>
    <t>Property type:</t>
  </si>
  <si>
    <t>Apartments</t>
  </si>
  <si>
    <t>Market Proforma</t>
  </si>
  <si>
    <t>Year built:</t>
  </si>
  <si>
    <t>Year Built:</t>
  </si>
  <si>
    <t>Unit count:</t>
  </si>
  <si>
    <t>Income</t>
  </si>
  <si>
    <t>Parking:</t>
  </si>
  <si>
    <t>Acquisition date:</t>
  </si>
  <si>
    <t>Unit Count:</t>
  </si>
  <si>
    <t>Collected Rents</t>
  </si>
  <si>
    <t>Cost basis:</t>
  </si>
  <si>
    <t>Average rent:</t>
  </si>
  <si>
    <t>Expected NOI:</t>
  </si>
  <si>
    <t>Expected value:</t>
  </si>
  <si>
    <t>GBA SF:</t>
  </si>
  <si>
    <t>Loan Request</t>
  </si>
  <si>
    <t>Purpose:</t>
  </si>
  <si>
    <t>Refinance existing loan with cash out proceeds to increase liquidity for acquisition and improvements</t>
  </si>
  <si>
    <t>Other Income</t>
  </si>
  <si>
    <t>Amount:</t>
  </si>
  <si>
    <t>Value:</t>
  </si>
  <si>
    <t>Potential Gross Income</t>
  </si>
  <si>
    <t>Loan/Unit:</t>
  </si>
  <si>
    <t>LTV:</t>
  </si>
  <si>
    <t>Vacancy Rate</t>
  </si>
  <si>
    <t>Debt yield:</t>
  </si>
  <si>
    <t>Value/Unit:</t>
  </si>
  <si>
    <t>Fixed rate term:</t>
  </si>
  <si>
    <t>5-years</t>
  </si>
  <si>
    <t>Total term:</t>
  </si>
  <si>
    <t>20- to 30-years</t>
  </si>
  <si>
    <t>Vacancy</t>
  </si>
  <si>
    <t>Interest-only:</t>
  </si>
  <si>
    <t>if available</t>
  </si>
  <si>
    <t>Amortization:</t>
  </si>
  <si>
    <t>Loan fee:</t>
  </si>
  <si>
    <t>par</t>
  </si>
  <si>
    <t>Prepayment premium:</t>
  </si>
  <si>
    <t>Step-down prepayment preferred</t>
  </si>
  <si>
    <t>Guaranty:</t>
  </si>
  <si>
    <t>Standard non-recourse/bad-boy carveouts only</t>
  </si>
  <si>
    <t>Target close:</t>
  </si>
  <si>
    <t>as soon as practical</t>
  </si>
  <si>
    <t>Existing lender:</t>
  </si>
  <si>
    <t>Union Standard</t>
  </si>
  <si>
    <t>Value/SF:</t>
  </si>
  <si>
    <t>Existing balance:</t>
  </si>
  <si>
    <t>Effective Gross Income</t>
  </si>
  <si>
    <t>Existing prepayment prem.:</t>
  </si>
  <si>
    <t>yield maintenance with no prepayment premium due</t>
  </si>
  <si>
    <t>Sponsor &amp; Borrower Structure</t>
  </si>
  <si>
    <t>Borrower entity:</t>
  </si>
  <si>
    <t>123 Anywhere LLC</t>
  </si>
  <si>
    <t>Ownership:</t>
  </si>
  <si>
    <t>100% Your Name</t>
  </si>
  <si>
    <t>Years of experience:</t>
  </si>
  <si>
    <t>Number of income properties:</t>
  </si>
  <si>
    <t>Number of units:</t>
  </si>
  <si>
    <t>GRM:</t>
  </si>
  <si>
    <t>Expenses</t>
  </si>
  <si>
    <t>Input actuals</t>
  </si>
  <si>
    <t>Adjust as needed</t>
  </si>
  <si>
    <t>Exp. Assumptions</t>
  </si>
  <si>
    <t>Loan Type:</t>
  </si>
  <si>
    <t>Refinance</t>
  </si>
  <si>
    <t>Taxes</t>
  </si>
  <si>
    <t>of Value (actual for purchases)</t>
  </si>
  <si>
    <t>Loan Amount:</t>
  </si>
  <si>
    <t>Insurance</t>
  </si>
  <si>
    <t>$/SF</t>
  </si>
  <si>
    <t>Utilities</t>
  </si>
  <si>
    <t>$/Unit</t>
  </si>
  <si>
    <t>Interest Rate:</t>
  </si>
  <si>
    <t>Repair &amp; Maintenance</t>
  </si>
  <si>
    <t>Management Fees</t>
  </si>
  <si>
    <t>% of EGI</t>
  </si>
  <si>
    <t>Debt Service (month):</t>
  </si>
  <si>
    <t>General &amp; Admin.</t>
  </si>
  <si>
    <t>Debt Service (year):</t>
  </si>
  <si>
    <t>Miscellaneous/Other</t>
  </si>
  <si>
    <t>DSCR:</t>
  </si>
  <si>
    <t>Reserves</t>
  </si>
  <si>
    <t>Existing Loan:</t>
  </si>
  <si>
    <t>Total Expenses</t>
  </si>
  <si>
    <t>Cash Out ($):</t>
  </si>
  <si>
    <t>Cash Out (%):</t>
  </si>
  <si>
    <t>Net Operating Income</t>
  </si>
  <si>
    <t>Debt Service Coverage Ratio</t>
  </si>
  <si>
    <t>Debt Yield</t>
  </si>
  <si>
    <t>Implied Cap. Rate</t>
  </si>
  <si>
    <t>Operating History</t>
  </si>
  <si>
    <t>Gross rent</t>
  </si>
  <si>
    <t>Laundry</t>
  </si>
  <si>
    <t>Other</t>
  </si>
  <si>
    <t>Total Revenue</t>
  </si>
  <si>
    <t>Maintenance &amp; Repair</t>
  </si>
  <si>
    <t>General &amp; Admin</t>
  </si>
  <si>
    <t>Total Expense</t>
  </si>
  <si>
    <t>Mortgage Interest</t>
  </si>
  <si>
    <t>Depreciation</t>
  </si>
  <si>
    <t>Taxable Net Income</t>
  </si>
  <si>
    <t>Unit Mix Analysis</t>
  </si>
  <si>
    <t>Unit Mix</t>
  </si>
  <si>
    <t>Units</t>
  </si>
  <si>
    <t>Avg. Rent</t>
  </si>
  <si>
    <t>Total Rent</t>
  </si>
  <si>
    <t>Market</t>
  </si>
  <si>
    <t>Potential Market</t>
  </si>
  <si>
    <t>Total</t>
  </si>
  <si>
    <t>Interest Rate and Cap Rate Sensitivity Analysis</t>
  </si>
  <si>
    <t>Proposed Loan Metrics</t>
  </si>
  <si>
    <t>Debt Service Coverage Ratio (DSCR)</t>
  </si>
  <si>
    <t>Loan amount</t>
  </si>
  <si>
    <t>Interest Rate Change</t>
  </si>
  <si>
    <t>Interest rate</t>
  </si>
  <si>
    <t>Rate used to calculate amortization</t>
  </si>
  <si>
    <t>NOI</t>
  </si>
  <si>
    <t>Refinance Rate at End Period</t>
  </si>
  <si>
    <t>Target DSCR</t>
  </si>
  <si>
    <t>Amortization period</t>
  </si>
  <si>
    <r>
      <t>Change</t>
    </r>
    <r>
      <rPr>
        <vertAlign val="superscript"/>
      </rPr>
      <t>1</t>
    </r>
  </si>
  <si>
    <t>Ending NOI</t>
  </si>
  <si>
    <t>Cap. rate</t>
  </si>
  <si>
    <t>Upfront interest-only period</t>
  </si>
  <si>
    <t>Earlier of maturity or first rate adjust. (yrs)</t>
  </si>
  <si>
    <t>Hypothetical-Takeout Loan Metrics</t>
  </si>
  <si>
    <t>Amortization</t>
  </si>
  <si>
    <t>1. Compounded annual growth rate (CAGR)</t>
  </si>
  <si>
    <t>Max. LTV</t>
  </si>
  <si>
    <t>Min. DSCR</t>
  </si>
  <si>
    <t>Loan-to-Value (LTV)</t>
  </si>
  <si>
    <t>Cap Rate Change</t>
  </si>
  <si>
    <t>Rate used for sensitization</t>
  </si>
  <si>
    <t>Proposed Int. Rate</t>
  </si>
  <si>
    <t>Cap Rate at End Period</t>
  </si>
  <si>
    <t>Target LTV</t>
  </si>
  <si>
    <t>Standard Request Metrics</t>
  </si>
  <si>
    <r>
      <t>Change</t>
    </r>
    <r>
      <rPr>
        <vertAlign val="superscript"/>
      </rPr>
      <t>1</t>
    </r>
  </si>
  <si>
    <t>Used for interest-only or modified amortization requests</t>
  </si>
  <si>
    <t>Traditional amortization</t>
  </si>
  <si>
    <t>Traditional rate</t>
  </si>
  <si>
    <t>Traditional max. LTV</t>
  </si>
  <si>
    <t>Traditional min. DSCR</t>
  </si>
  <si>
    <t>Metrics</t>
  </si>
  <si>
    <t>Origination</t>
  </si>
  <si>
    <t>End Period</t>
  </si>
  <si>
    <t>Sensitivity analysis conclusion</t>
  </si>
  <si>
    <t>Principal Reduction</t>
  </si>
  <si>
    <t>N/A</t>
  </si>
  <si>
    <t>Outstanding</t>
  </si>
  <si>
    <t>Refinancing Sensitivity</t>
  </si>
  <si>
    <t>Max. Int. Rate</t>
  </si>
  <si>
    <t>Change</t>
  </si>
  <si>
    <t>Annual Debt Service</t>
  </si>
  <si>
    <t>DSCR on Proposed Rate</t>
  </si>
  <si>
    <t>Max. Cap Rate</t>
  </si>
  <si>
    <t>LTV</t>
  </si>
  <si>
    <t>Valuation</t>
  </si>
  <si>
    <t>Interest-only or modified amortization analysis</t>
  </si>
  <si>
    <t>This section compares the request Ending Balance to a standard amortizing loan. This section is relevant if there is an interest-only period or if the proposed amo. rate is different than the note rate.</t>
  </si>
  <si>
    <t>Scenario</t>
  </si>
  <si>
    <t>Request</t>
  </si>
  <si>
    <t>Standard</t>
  </si>
  <si>
    <t>Non-traditional aspect</t>
  </si>
  <si>
    <t>Starting LTV/DSCR/DY</t>
  </si>
  <si>
    <t>Pre-amortization</t>
  </si>
  <si>
    <t>Not applicable</t>
  </si>
  <si>
    <t>Effective request amount</t>
  </si>
  <si>
    <t>Ending balance</t>
  </si>
  <si>
    <t>*Assumes no change in NOI or cap. 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</si>
</sst>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&quot;$&quot;#,##0"/>
    <numFmt numFmtId="165" formatCode="0 &quot;spaces&quot;"/>
    <numFmt numFmtId="166" formatCode="#,##0;\(#,##0\)"/>
    <numFmt numFmtId="167" formatCode="0.0%"/>
    <numFmt numFmtId="168" formatCode="0 &quot;years&quot;"/>
    <numFmt numFmtId="169" formatCode="0.000%"/>
    <numFmt numFmtId="170" formatCode="0.00&quot;x&quot;"/>
    <numFmt numFmtId="171" formatCode="_(&quot;$&quot;* #,##0_);_(&quot;$&quot;* \(#,##0\);_(&quot;$&quot;* &quot;-&quot;??_);_(@_)"/>
    <numFmt numFmtId="172" formatCode="[=1]#&quot; year&quot;;[&gt;1]#&quot; years&quot;;&quot;N/A&quot;"/>
    <numFmt numFmtId="173" formatCode="#\ &quot;years&quot;"/>
    <numFmt numFmtId="174" formatCode="0.00\x"/>
    <numFmt numFmtId="175" formatCode="_(&quot;$&quot;* #,##0,&quot;M&quot;_);_(&quot;$&quot;* \(#,##0,&quot;M&quot;\);_(&quot;$&quot;* &quot;-&quot;??_);_(@_)"/>
    <numFmt numFmtId="176" formatCode="#&quot; years&quot;;\-#&quot; years&quot;;&quot;N/A&quot;"/>
    <numFmt numFmtId="177" formatCode="&quot;$&quot;#,##0.00_);[Red]\(&quot;$&quot;#,##0.00\)"/>
    <numFmt numFmtId="178" formatCode="_(* #,##0.00&quot;x&quot;_);_(* \(#,##0.00&quot;x&quot;\);_(* &quot;-&quot;??_);_(@_)"/>
    <numFmt numFmtId="179" formatCode="0\ &quot;bps&quot;"/>
    <numFmt numFmtId="180" formatCode="&quot;$&quot;#,##0_);\(&quot;$&quot;#,##0\)"/>
  </numFmts>
  <fonts count="18">
    <font>
      <sz val="10.0"/>
      <color rgb="FF000000"/>
      <name val="Arial"/>
    </font>
    <font>
      <sz val="14.0"/>
      <name val="Droid Sans"/>
    </font>
    <font>
      <sz val="12.0"/>
      <name val="Droid Sans"/>
    </font>
    <font>
      <name val="Droid Sans"/>
    </font>
    <font>
      <sz val="10.0"/>
      <name val="Droid Sans"/>
    </font>
    <font>
      <b/>
      <sz val="10.0"/>
      <name val="Droid Sans"/>
    </font>
    <font>
      <b/>
      <sz val="11.0"/>
      <name val="Droid Sans"/>
    </font>
    <font>
      <u/>
      <sz val="9.0"/>
      <name val="Droid Sans"/>
    </font>
    <font>
      <sz val="9.0"/>
      <name val="Droid Sans"/>
    </font>
    <font/>
    <font>
      <u/>
      <sz val="11.0"/>
      <name val="Droid Sans"/>
    </font>
    <font>
      <sz val="8.0"/>
      <name val="Droid Sans"/>
    </font>
    <font>
      <u/>
      <sz val="10.0"/>
      <name val="Droid Sans"/>
    </font>
    <font>
      <u/>
      <sz val="10.0"/>
      <name val="Droid Sans"/>
    </font>
    <font>
      <sz val="10.0"/>
      <color rgb="FFFFFFFF"/>
      <name val="Droid Sans"/>
    </font>
    <font>
      <u/>
      <sz val="10.0"/>
      <name val="Droid Sans"/>
    </font>
    <font>
      <u/>
      <sz val="10.0"/>
      <name val="Droid Sans"/>
    </font>
    <font>
      <sz val="7.0"/>
      <name val="Droid Sans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E2EFD9"/>
        <bgColor rgb="FFE2EFD9"/>
      </patternFill>
    </fill>
  </fills>
  <borders count="21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4" numFmtId="0" xfId="0" applyBorder="1" applyFill="1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0" xfId="0" applyAlignment="1" applyFont="1">
      <alignment horizontal="center" readingOrder="0"/>
    </xf>
    <xf borderId="2" fillId="3" fontId="4" numFmtId="0" xfId="0" applyAlignment="1" applyBorder="1" applyFill="1" applyFont="1">
      <alignment horizontal="left"/>
    </xf>
    <xf borderId="0" fillId="0" fontId="4" numFmtId="0" xfId="0" applyAlignment="1" applyFont="1">
      <alignment shrinkToFit="0" vertical="top" wrapText="1"/>
    </xf>
    <xf borderId="3" fillId="0" fontId="4" numFmtId="0" xfId="0" applyAlignment="1" applyBorder="1" applyFont="1">
      <alignment horizontal="left"/>
    </xf>
    <xf borderId="0" fillId="0" fontId="4" numFmtId="3" xfId="0" applyFont="1" applyNumberFormat="1"/>
    <xf borderId="1" fillId="3" fontId="4" numFmtId="0" xfId="0" applyAlignment="1" applyBorder="1" applyFont="1">
      <alignment horizontal="left"/>
    </xf>
    <xf borderId="0" fillId="0" fontId="4" numFmtId="164" xfId="0" applyFont="1" applyNumberFormat="1"/>
    <xf borderId="0" fillId="0" fontId="4" numFmtId="14" xfId="0" applyFont="1" applyNumberFormat="1"/>
    <xf quotePrefix="1" borderId="0" fillId="0" fontId="4" numFmtId="0" xfId="0" applyFont="1"/>
    <xf borderId="0" fillId="0" fontId="5" numFmtId="14" xfId="0" applyAlignment="1" applyFont="1" applyNumberFormat="1">
      <alignment horizontal="center"/>
    </xf>
    <xf borderId="1" fillId="3" fontId="5" numFmtId="14" xfId="0" applyAlignment="1" applyBorder="1" applyFont="1" applyNumberFormat="1">
      <alignment horizontal="center" readingOrder="0"/>
    </xf>
    <xf borderId="1" fillId="3" fontId="4" numFmtId="0" xfId="0" applyBorder="1" applyFont="1"/>
    <xf borderId="0" fillId="0" fontId="5" numFmtId="0" xfId="0" applyAlignment="1" applyFont="1">
      <alignment horizontal="center"/>
    </xf>
    <xf borderId="4" fillId="0" fontId="6" numFmtId="0" xfId="0" applyBorder="1" applyFont="1"/>
    <xf borderId="5" fillId="0" fontId="4" numFmtId="0" xfId="0" applyBorder="1" applyFont="1"/>
    <xf borderId="1" fillId="3" fontId="4" numFmtId="165" xfId="0" applyAlignment="1" applyBorder="1" applyFont="1" applyNumberFormat="1">
      <alignment readingOrder="0"/>
    </xf>
    <xf borderId="6" fillId="0" fontId="4" numFmtId="0" xfId="0" applyBorder="1" applyFont="1"/>
    <xf borderId="1" fillId="3" fontId="4" numFmtId="14" xfId="0" applyBorder="1" applyFont="1" applyNumberFormat="1"/>
    <xf borderId="7" fillId="0" fontId="4" numFmtId="0" xfId="0" applyAlignment="1" applyBorder="1" applyFont="1">
      <alignment horizontal="right"/>
    </xf>
    <xf borderId="1" fillId="3" fontId="4" numFmtId="164" xfId="0" applyBorder="1" applyFont="1" applyNumberFormat="1"/>
    <xf borderId="7" fillId="3" fontId="4" numFmtId="166" xfId="0" applyBorder="1" applyFont="1" applyNumberFormat="1"/>
    <xf borderId="7" fillId="3" fontId="4" numFmtId="166" xfId="0" applyAlignment="1" applyBorder="1" applyFont="1" applyNumberFormat="1">
      <alignment readingOrder="0"/>
    </xf>
    <xf borderId="1" fillId="3" fontId="4" numFmtId="3" xfId="0" applyAlignment="1" applyBorder="1" applyFont="1" applyNumberFormat="1">
      <alignment horizontal="left"/>
    </xf>
    <xf borderId="1" fillId="3" fontId="4" numFmtId="164" xfId="0" applyAlignment="1" applyBorder="1" applyFont="1" applyNumberFormat="1">
      <alignment horizontal="left" readingOrder="0"/>
    </xf>
    <xf borderId="7" fillId="0" fontId="4" numFmtId="166" xfId="0" applyBorder="1" applyFont="1" applyNumberFormat="1"/>
    <xf borderId="0" fillId="0" fontId="4" numFmtId="167" xfId="0" applyFont="1" applyNumberFormat="1"/>
    <xf borderId="0" fillId="0" fontId="7" numFmtId="0" xfId="0" applyAlignment="1" applyFont="1">
      <alignment horizontal="center"/>
    </xf>
    <xf borderId="1" fillId="3" fontId="4" numFmtId="0" xfId="0" applyAlignment="1" applyBorder="1" applyFont="1">
      <alignment horizontal="right"/>
    </xf>
    <xf borderId="0" fillId="0" fontId="4" numFmtId="164" xfId="0" applyAlignment="1" applyFont="1" applyNumberFormat="1">
      <alignment horizontal="left"/>
    </xf>
    <xf borderId="7" fillId="4" fontId="4" numFmtId="166" xfId="0" applyBorder="1" applyFill="1" applyFont="1" applyNumberFormat="1"/>
    <xf borderId="1" fillId="3" fontId="4" numFmtId="168" xfId="0" applyAlignment="1" applyBorder="1" applyFont="1" applyNumberFormat="1">
      <alignment horizontal="right"/>
    </xf>
    <xf borderId="7" fillId="3" fontId="8" numFmtId="9" xfId="0" applyAlignment="1" applyBorder="1" applyFont="1" applyNumberFormat="1">
      <alignment horizontal="left"/>
    </xf>
    <xf borderId="0" fillId="0" fontId="8" numFmtId="0" xfId="0" applyFont="1"/>
    <xf borderId="7" fillId="0" fontId="5" numFmtId="0" xfId="0" applyBorder="1" applyFont="1"/>
    <xf borderId="7" fillId="0" fontId="5" numFmtId="164" xfId="0" applyBorder="1" applyFont="1" applyNumberFormat="1"/>
    <xf borderId="0" fillId="0" fontId="4" numFmtId="4" xfId="0" applyAlignment="1" applyFont="1" applyNumberFormat="1">
      <alignment horizontal="left"/>
    </xf>
    <xf borderId="4" fillId="0" fontId="4" numFmtId="0" xfId="0" applyBorder="1" applyFont="1"/>
    <xf borderId="8" fillId="0" fontId="4" numFmtId="0" xfId="0" applyBorder="1" applyFont="1"/>
    <xf borderId="9" fillId="0" fontId="6" numFmtId="0" xfId="0" applyBorder="1" applyFont="1"/>
    <xf borderId="10" fillId="0" fontId="8" numFmtId="0" xfId="0" applyAlignment="1" applyBorder="1" applyFont="1">
      <alignment horizontal="center"/>
    </xf>
    <xf borderId="11" fillId="0" fontId="9" numFmtId="0" xfId="0" applyBorder="1" applyFont="1"/>
    <xf borderId="12" fillId="0" fontId="4" numFmtId="0" xfId="0" applyAlignment="1" applyBorder="1" applyFont="1">
      <alignment horizontal="right"/>
    </xf>
    <xf borderId="13" fillId="3" fontId="4" numFmtId="166" xfId="0" applyBorder="1" applyFont="1" applyNumberFormat="1"/>
    <xf borderId="13" fillId="3" fontId="4" numFmtId="166" xfId="0" applyAlignment="1" applyBorder="1" applyFont="1" applyNumberFormat="1">
      <alignment readingOrder="0"/>
    </xf>
    <xf borderId="7" fillId="3" fontId="8" numFmtId="10" xfId="0" applyBorder="1" applyFont="1" applyNumberFormat="1"/>
    <xf borderId="7" fillId="3" fontId="8" numFmtId="0" xfId="0" applyBorder="1" applyFont="1"/>
    <xf borderId="0" fillId="0" fontId="4" numFmtId="167" xfId="0" applyAlignment="1" applyFont="1" applyNumberFormat="1">
      <alignment horizontal="left"/>
    </xf>
    <xf borderId="1" fillId="3" fontId="4" numFmtId="169" xfId="0" applyAlignment="1" applyBorder="1" applyFont="1" applyNumberFormat="1">
      <alignment horizontal="left"/>
    </xf>
    <xf borderId="1" fillId="3" fontId="4" numFmtId="168" xfId="0" applyAlignment="1" applyBorder="1" applyFont="1" applyNumberFormat="1">
      <alignment horizontal="left"/>
    </xf>
    <xf borderId="7" fillId="3" fontId="8" numFmtId="9" xfId="0" applyBorder="1" applyFont="1" applyNumberFormat="1"/>
    <xf borderId="0" fillId="0" fontId="4" numFmtId="0" xfId="0" applyAlignment="1" applyFont="1">
      <alignment horizontal="right" readingOrder="0"/>
    </xf>
    <xf borderId="0" fillId="0" fontId="4" numFmtId="170" xfId="0" applyAlignment="1" applyFont="1" applyNumberFormat="1">
      <alignment horizontal="left"/>
    </xf>
    <xf borderId="7" fillId="0" fontId="4" numFmtId="167" xfId="0" applyBorder="1" applyFont="1" applyNumberFormat="1"/>
    <xf borderId="7" fillId="0" fontId="4" numFmtId="0" xfId="0" applyBorder="1" applyFont="1"/>
    <xf borderId="7" fillId="0" fontId="4" numFmtId="164" xfId="0" applyBorder="1" applyFont="1" applyNumberFormat="1"/>
    <xf borderId="14" fillId="0" fontId="4" numFmtId="170" xfId="0" applyBorder="1" applyFont="1" applyNumberFormat="1"/>
    <xf borderId="7" fillId="0" fontId="4" numFmtId="170" xfId="0" applyBorder="1" applyFont="1" applyNumberFormat="1"/>
    <xf borderId="15" fillId="0" fontId="4" numFmtId="0" xfId="0" applyAlignment="1" applyBorder="1" applyFont="1">
      <alignment horizontal="right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7" fillId="0" fontId="4" numFmtId="10" xfId="0" applyBorder="1" applyFont="1" applyNumberFormat="1"/>
    <xf borderId="7" fillId="3" fontId="10" numFmtId="14" xfId="0" applyAlignment="1" applyBorder="1" applyFont="1" applyNumberFormat="1">
      <alignment horizontal="center"/>
    </xf>
    <xf borderId="7" fillId="3" fontId="4" numFmtId="3" xfId="0" applyBorder="1" applyFont="1" applyNumberFormat="1"/>
    <xf borderId="7" fillId="3" fontId="4" numFmtId="0" xfId="0" applyBorder="1" applyFont="1"/>
    <xf borderId="7" fillId="0" fontId="5" numFmtId="3" xfId="0" applyBorder="1" applyFont="1" applyNumberFormat="1"/>
    <xf borderId="7" fillId="0" fontId="3" numFmtId="0" xfId="0" applyBorder="1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7" fillId="0" fontId="5" numFmtId="166" xfId="0" applyBorder="1" applyFont="1" applyNumberFormat="1"/>
    <xf borderId="0" fillId="0" fontId="2" numFmtId="0" xfId="0" applyAlignment="1" applyFont="1">
      <alignment readingOrder="0"/>
    </xf>
    <xf borderId="10" fillId="0" fontId="4" numFmtId="0" xfId="0" applyBorder="1" applyFont="1"/>
    <xf borderId="10" fillId="0" fontId="4" numFmtId="0" xfId="0" applyAlignment="1" applyBorder="1" applyFont="1">
      <alignment horizontal="center"/>
    </xf>
    <xf borderId="7" fillId="0" fontId="4" numFmtId="166" xfId="0" applyAlignment="1" applyBorder="1" applyFont="1" applyNumberFormat="1">
      <alignment horizontal="right"/>
    </xf>
    <xf borderId="7" fillId="3" fontId="4" numFmtId="166" xfId="0" applyAlignment="1" applyBorder="1" applyFont="1" applyNumberFormat="1">
      <alignment horizontal="right"/>
    </xf>
    <xf borderId="5" fillId="0" fontId="4" numFmtId="0" xfId="0" applyAlignment="1" applyBorder="1" applyFont="1">
      <alignment horizontal="right"/>
    </xf>
    <xf borderId="5" fillId="0" fontId="4" numFmtId="164" xfId="0" applyAlignment="1" applyBorder="1" applyFont="1" applyNumberFormat="1">
      <alignment horizontal="right"/>
    </xf>
    <xf borderId="5" fillId="0" fontId="4" numFmtId="164" xfId="0" applyBorder="1" applyFont="1" applyNumberFormat="1"/>
    <xf borderId="0" fillId="0" fontId="5" numFmtId="164" xfId="0" applyFont="1" applyNumberFormat="1"/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readingOrder="0"/>
    </xf>
    <xf borderId="4" fillId="0" fontId="5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 readingOrder="0"/>
    </xf>
    <xf borderId="1" fillId="5" fontId="4" numFmtId="171" xfId="0" applyAlignment="1" applyBorder="1" applyFill="1" applyFont="1" applyNumberFormat="1">
      <alignment horizontal="right" vertical="center"/>
    </xf>
    <xf borderId="0" fillId="0" fontId="4" numFmtId="171" xfId="0" applyAlignment="1" applyFont="1" applyNumberFormat="1">
      <alignment horizontal="right" vertical="center"/>
    </xf>
    <xf borderId="18" fillId="0" fontId="4" numFmtId="0" xfId="0" applyAlignment="1" applyBorder="1" applyFont="1">
      <alignment horizontal="left"/>
    </xf>
    <xf borderId="10" fillId="0" fontId="4" numFmtId="0" xfId="0" applyAlignment="1" applyBorder="1" applyFont="1">
      <alignment horizontal="left"/>
    </xf>
    <xf borderId="1" fillId="5" fontId="4" numFmtId="169" xfId="0" applyAlignment="1" applyBorder="1" applyFont="1" applyNumberFormat="1">
      <alignment horizontal="right" vertical="center"/>
    </xf>
    <xf borderId="18" fillId="0" fontId="4" numFmtId="0" xfId="0" applyBorder="1" applyFont="1"/>
    <xf borderId="1" fillId="5" fontId="4" numFmtId="10" xfId="0" applyAlignment="1" applyBorder="1" applyFont="1" applyNumberFormat="1">
      <alignment horizontal="center"/>
    </xf>
    <xf borderId="0" fillId="0" fontId="4" numFmtId="10" xfId="0" applyAlignment="1" applyFont="1" applyNumberFormat="1">
      <alignment horizontal="right" vertical="center"/>
    </xf>
    <xf borderId="18" fillId="0" fontId="4" numFmtId="0" xfId="0" applyAlignment="1" applyBorder="1" applyFont="1">
      <alignment horizontal="center"/>
    </xf>
    <xf borderId="10" fillId="0" fontId="9" numFmtId="0" xfId="0" applyBorder="1" applyFont="1"/>
    <xf borderId="1" fillId="5" fontId="4" numFmtId="172" xfId="0" applyAlignment="1" applyBorder="1" applyFont="1" applyNumberFormat="1">
      <alignment horizontal="right" vertical="center"/>
    </xf>
    <xf borderId="0" fillId="0" fontId="4" numFmtId="173" xfId="0" applyAlignment="1" applyFont="1" applyNumberFormat="1">
      <alignment horizontal="right" vertical="center"/>
    </xf>
    <xf borderId="9" fillId="0" fontId="4" numFmtId="9" xfId="0" applyAlignment="1" applyBorder="1" applyFont="1" applyNumberFormat="1">
      <alignment horizontal="center"/>
    </xf>
    <xf borderId="15" fillId="0" fontId="4" numFmtId="10" xfId="0" applyAlignment="1" applyBorder="1" applyFont="1" applyNumberFormat="1">
      <alignment horizontal="center"/>
    </xf>
    <xf borderId="16" fillId="0" fontId="4" numFmtId="10" xfId="0" applyAlignment="1" applyBorder="1" applyFont="1" applyNumberFormat="1">
      <alignment horizontal="center"/>
    </xf>
    <xf borderId="15" fillId="0" fontId="4" numFmtId="174" xfId="0" applyAlignment="1" applyBorder="1" applyFont="1" applyNumberFormat="1">
      <alignment horizontal="center"/>
    </xf>
    <xf borderId="17" fillId="0" fontId="4" numFmtId="174" xfId="0" applyAlignment="1" applyBorder="1" applyFont="1" applyNumberFormat="1">
      <alignment horizontal="center"/>
    </xf>
    <xf borderId="19" fillId="5" fontId="4" numFmtId="167" xfId="0" applyAlignment="1" applyBorder="1" applyFont="1" applyNumberFormat="1">
      <alignment horizontal="center"/>
    </xf>
    <xf borderId="0" fillId="0" fontId="4" numFmtId="175" xfId="0" applyFont="1" applyNumberFormat="1"/>
    <xf borderId="0" fillId="0" fontId="4" numFmtId="174" xfId="0" applyAlignment="1" applyFont="1" applyNumberFormat="1">
      <alignment horizontal="center"/>
    </xf>
    <xf borderId="18" fillId="0" fontId="4" numFmtId="167" xfId="0" applyAlignment="1" applyBorder="1" applyFont="1" applyNumberFormat="1">
      <alignment horizontal="center"/>
    </xf>
    <xf borderId="8" fillId="0" fontId="4" numFmtId="167" xfId="0" applyAlignment="1" applyBorder="1" applyFont="1" applyNumberFormat="1">
      <alignment horizontal="center"/>
    </xf>
    <xf borderId="1" fillId="5" fontId="4" numFmtId="10" xfId="0" applyAlignment="1" applyBorder="1" applyFont="1" applyNumberFormat="1">
      <alignment horizontal="right" vertical="center"/>
    </xf>
    <xf borderId="1" fillId="5" fontId="4" numFmtId="172" xfId="0" applyAlignment="1" applyBorder="1" applyFont="1" applyNumberFormat="1">
      <alignment horizontal="right" readingOrder="0" vertical="center"/>
    </xf>
    <xf borderId="0" fillId="0" fontId="4" numFmtId="176" xfId="0" applyAlignment="1" applyFont="1" applyNumberFormat="1">
      <alignment horizontal="right" vertical="center"/>
    </xf>
    <xf borderId="0" fillId="0" fontId="4" numFmtId="172" xfId="0" applyAlignment="1" applyFont="1" applyNumberFormat="1">
      <alignment horizontal="right" vertical="center"/>
    </xf>
    <xf borderId="10" fillId="0" fontId="4" numFmtId="174" xfId="0" applyAlignment="1" applyBorder="1" applyFont="1" applyNumberFormat="1">
      <alignment horizontal="center"/>
    </xf>
    <xf borderId="9" fillId="0" fontId="4" numFmtId="167" xfId="0" applyAlignment="1" applyBorder="1" applyFont="1" applyNumberFormat="1">
      <alignment horizontal="center"/>
    </xf>
    <xf borderId="11" fillId="0" fontId="4" numFmtId="167" xfId="0" applyAlignment="1" applyBorder="1" applyFont="1" applyNumberFormat="1">
      <alignment horizontal="center"/>
    </xf>
    <xf borderId="1" fillId="5" fontId="4" numFmtId="10" xfId="0" applyAlignment="1" applyBorder="1" applyFont="1" applyNumberFormat="1">
      <alignment horizontal="right" readingOrder="0" vertical="center"/>
    </xf>
    <xf borderId="0" fillId="0" fontId="4" numFmtId="177" xfId="0" applyAlignment="1" applyFont="1" applyNumberFormat="1">
      <alignment horizontal="right"/>
    </xf>
    <xf borderId="0" fillId="0" fontId="4" numFmtId="9" xfId="0" applyAlignment="1" applyFont="1" applyNumberFormat="1">
      <alignment horizontal="right"/>
    </xf>
    <xf borderId="18" fillId="0" fontId="11" numFmtId="0" xfId="0" applyAlignment="1" applyBorder="1" applyFont="1">
      <alignment horizontal="left" readingOrder="0" vertical="top"/>
    </xf>
    <xf borderId="0" fillId="0" fontId="4" numFmtId="174" xfId="0" applyAlignment="1" applyFont="1" applyNumberFormat="1">
      <alignment horizontal="right"/>
    </xf>
    <xf borderId="1" fillId="5" fontId="4" numFmtId="9" xfId="0" applyAlignment="1" applyBorder="1" applyFont="1" applyNumberFormat="1">
      <alignment horizontal="right"/>
    </xf>
    <xf borderId="1" fillId="5" fontId="4" numFmtId="174" xfId="0" applyAlignment="1" applyBorder="1" applyFont="1" applyNumberFormat="1">
      <alignment horizontal="right"/>
    </xf>
    <xf borderId="18" fillId="0" fontId="5" numFmtId="0" xfId="0" applyAlignment="1" applyBorder="1" applyFont="1">
      <alignment horizontal="left" readingOrder="0" vertical="center"/>
    </xf>
    <xf borderId="18" fillId="0" fontId="4" numFmtId="0" xfId="0" applyAlignment="1" applyBorder="1" applyFont="1">
      <alignment horizontal="left" vertical="top"/>
    </xf>
    <xf borderId="0" fillId="0" fontId="4" numFmtId="9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7" fillId="0" fontId="4" numFmtId="9" xfId="0" applyAlignment="1" applyBorder="1" applyFont="1" applyNumberFormat="1">
      <alignment horizontal="center"/>
    </xf>
    <xf borderId="0" fillId="0" fontId="4" numFmtId="0" xfId="0" applyAlignment="1" applyFont="1">
      <alignment horizontal="left" readingOrder="0" vertical="top"/>
    </xf>
    <xf borderId="20" fillId="0" fontId="4" numFmtId="167" xfId="0" applyBorder="1" applyFont="1" applyNumberFormat="1"/>
    <xf borderId="1" fillId="5" fontId="4" numFmtId="9" xfId="0" applyAlignment="1" applyBorder="1" applyFont="1" applyNumberFormat="1">
      <alignment horizontal="right" readingOrder="0"/>
    </xf>
    <xf borderId="0" fillId="0" fontId="4" numFmtId="178" xfId="0" applyFont="1" applyNumberFormat="1"/>
    <xf borderId="1" fillId="5" fontId="4" numFmtId="174" xfId="0" applyAlignment="1" applyBorder="1" applyFont="1" applyNumberFormat="1">
      <alignment horizontal="right" readingOrder="0"/>
    </xf>
    <xf borderId="0" fillId="0" fontId="4" numFmtId="10" xfId="0" applyFont="1" applyNumberFormat="1"/>
    <xf borderId="10" fillId="0" fontId="4" numFmtId="9" xfId="0" applyAlignment="1" applyBorder="1" applyFont="1" applyNumberFormat="1">
      <alignment horizontal="center"/>
    </xf>
    <xf borderId="12" fillId="0" fontId="4" numFmtId="167" xfId="0" applyBorder="1" applyFont="1" applyNumberFormat="1"/>
    <xf borderId="0" fillId="0" fontId="4" numFmtId="171" xfId="0" applyFont="1" applyNumberFormat="1"/>
    <xf borderId="9" fillId="0" fontId="11" numFmtId="0" xfId="0" applyAlignment="1" applyBorder="1" applyFont="1">
      <alignment horizontal="left" readingOrder="0" vertical="top"/>
    </xf>
    <xf borderId="11" fillId="0" fontId="5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/>
    </xf>
    <xf borderId="5" fillId="0" fontId="12" numFmtId="0" xfId="0" applyAlignment="1" applyBorder="1" applyFont="1">
      <alignment horizontal="center"/>
    </xf>
    <xf borderId="6" fillId="0" fontId="13" numFmtId="0" xfId="0" applyAlignment="1" applyBorder="1" applyFont="1">
      <alignment horizontal="center"/>
    </xf>
    <xf borderId="6" fillId="0" fontId="4" numFmtId="0" xfId="0" applyAlignment="1" applyBorder="1" applyFont="1">
      <alignment horizontal="right" vertical="top"/>
    </xf>
    <xf borderId="0" fillId="0" fontId="14" numFmtId="0" xfId="0" applyFont="1"/>
    <xf borderId="8" fillId="0" fontId="4" numFmtId="171" xfId="0" applyBorder="1" applyFont="1" applyNumberFormat="1"/>
    <xf borderId="18" fillId="0" fontId="5" numFmtId="0" xfId="0" applyAlignment="1" applyBorder="1" applyFont="1">
      <alignment horizontal="left"/>
    </xf>
    <xf borderId="0" fillId="0" fontId="15" numFmtId="0" xfId="0" applyAlignment="1" applyFont="1">
      <alignment horizontal="center"/>
    </xf>
    <xf borderId="0" fillId="0" fontId="16" numFmtId="10" xfId="0" applyAlignment="1" applyFont="1" applyNumberFormat="1">
      <alignment horizontal="center"/>
    </xf>
    <xf borderId="18" fillId="0" fontId="4" numFmtId="0" xfId="0" applyAlignment="1" applyBorder="1" applyFont="1">
      <alignment horizontal="right"/>
    </xf>
    <xf borderId="0" fillId="0" fontId="4" numFmtId="10" xfId="0" applyAlignment="1" applyFont="1" applyNumberFormat="1">
      <alignment horizontal="center"/>
    </xf>
    <xf borderId="0" fillId="0" fontId="4" numFmtId="179" xfId="0" applyAlignment="1" applyFont="1" applyNumberFormat="1">
      <alignment horizontal="center"/>
    </xf>
    <xf borderId="8" fillId="0" fontId="4" numFmtId="178" xfId="0" applyBorder="1" applyFont="1" applyNumberFormat="1"/>
    <xf borderId="0" fillId="0" fontId="4" numFmtId="0" xfId="0" applyAlignment="1" applyFont="1">
      <alignment vertical="top"/>
    </xf>
    <xf borderId="0" fillId="0" fontId="4" numFmtId="10" xfId="0" applyAlignment="1" applyFont="1" applyNumberFormat="1">
      <alignment horizontal="center" vertical="top"/>
    </xf>
    <xf borderId="0" fillId="0" fontId="4" numFmtId="179" xfId="0" applyAlignment="1" applyFont="1" applyNumberFormat="1">
      <alignment horizontal="center" vertical="top"/>
    </xf>
    <xf borderId="8" fillId="0" fontId="4" numFmtId="167" xfId="0" applyBorder="1" applyFont="1" applyNumberFormat="1"/>
    <xf borderId="18" fillId="0" fontId="4" numFmtId="0" xfId="0" applyAlignment="1" applyBorder="1" applyFont="1">
      <alignment horizontal="left" shrinkToFit="0" vertical="top" wrapText="1"/>
    </xf>
    <xf borderId="8" fillId="0" fontId="9" numFmtId="0" xfId="0" applyBorder="1" applyFont="1"/>
    <xf borderId="18" fillId="0" fontId="9" numFmtId="0" xfId="0" applyBorder="1" applyFont="1"/>
    <xf borderId="9" fillId="0" fontId="4" numFmtId="0" xfId="0" applyAlignment="1" applyBorder="1" applyFont="1">
      <alignment horizontal="left"/>
    </xf>
    <xf borderId="10" fillId="0" fontId="4" numFmtId="171" xfId="0" applyBorder="1" applyFont="1" applyNumberFormat="1"/>
    <xf borderId="11" fillId="0" fontId="4" numFmtId="171" xfId="0" applyBorder="1" applyFont="1" applyNumberFormat="1"/>
    <xf borderId="9" fillId="0" fontId="9" numFmtId="0" xfId="0" applyBorder="1" applyFont="1"/>
    <xf borderId="4" fillId="0" fontId="5" numFmtId="0" xfId="0" applyAlignment="1" applyBorder="1" applyFont="1">
      <alignment horizontal="left" readingOrder="0"/>
    </xf>
    <xf borderId="5" fillId="0" fontId="8" numFmtId="10" xfId="0" applyBorder="1" applyFont="1" applyNumberFormat="1"/>
    <xf borderId="18" fillId="0" fontId="11" numFmtId="0" xfId="0" applyAlignment="1" applyBorder="1" applyFont="1">
      <alignment horizontal="left" readingOrder="0" shrinkToFit="0" vertical="top" wrapText="1"/>
    </xf>
    <xf borderId="8" fillId="0" fontId="11" numFmtId="0" xfId="0" applyAlignment="1" applyBorder="1" applyFont="1">
      <alignment shrinkToFit="0" vertical="top" wrapText="1"/>
    </xf>
    <xf borderId="0" fillId="0" fontId="5" numFmtId="0" xfId="0" applyAlignment="1" applyFont="1">
      <alignment horizontal="center" readingOrder="0"/>
    </xf>
    <xf borderId="0" fillId="0" fontId="8" numFmtId="10" xfId="0" applyFont="1" applyNumberFormat="1"/>
    <xf borderId="0" fillId="0" fontId="17" numFmtId="0" xfId="0" applyAlignment="1" applyFont="1">
      <alignment horizontal="center" shrinkToFit="0" wrapText="1"/>
    </xf>
    <xf borderId="0" fillId="0" fontId="11" numFmtId="0" xfId="0" applyAlignment="1" applyFont="1">
      <alignment horizontal="center"/>
    </xf>
    <xf borderId="0" fillId="0" fontId="4" numFmtId="180" xfId="0" applyAlignment="1" applyFont="1" applyNumberFormat="1">
      <alignment horizontal="center"/>
    </xf>
    <xf borderId="0" fillId="0" fontId="11" numFmtId="171" xfId="0" applyAlignment="1" applyFont="1" applyNumberFormat="1">
      <alignment horizontal="center"/>
    </xf>
    <xf borderId="0" fillId="0" fontId="8" numFmtId="0" xfId="0" applyAlignment="1" applyFont="1">
      <alignment shrinkToFit="0" vertical="top" wrapText="1"/>
    </xf>
    <xf borderId="18" fillId="0" fontId="17" numFmtId="0" xfId="0" applyAlignment="1" applyBorder="1" applyFont="1">
      <alignment horizontal="right" readingOrder="0" vertical="center"/>
    </xf>
    <xf borderId="9" fillId="0" fontId="8" numFmtId="0" xfId="0" applyAlignment="1" applyBorder="1" applyFont="1">
      <alignment horizontal="left" shrinkToFit="0" vertical="top" wrapText="1"/>
    </xf>
    <xf borderId="11" fillId="0" fontId="4" numFmtId="0" xfId="0" applyBorder="1" applyFont="1"/>
    <xf borderId="0" fillId="0" fontId="8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none"/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5.71"/>
    <col customWidth="1" min="2" max="2" width="28.43"/>
    <col customWidth="1" min="3" max="6" width="14.43"/>
  </cols>
  <sheetData>
    <row r="1" ht="15.75" customHeight="1">
      <c r="A1" s="1" t="str">
        <f>B16</f>
        <v>123 Anywhere St., Escondido, CA 92029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8" t="s">
        <v>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4.25" customHeight="1">
      <c r="A5" s="11" t="s">
        <v>17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8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8" t="s">
        <v>20</v>
      </c>
      <c r="B7" s="4"/>
      <c r="C7" s="3"/>
      <c r="D7" s="3"/>
      <c r="E7" s="3"/>
      <c r="F7" s="3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7" t="s">
        <v>22</v>
      </c>
      <c r="B8" s="4"/>
      <c r="C8" s="3"/>
      <c r="D8" s="3"/>
      <c r="E8" s="3"/>
      <c r="F8" s="3"/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7" t="s">
        <v>28</v>
      </c>
      <c r="B9" s="4"/>
      <c r="C9" s="3"/>
      <c r="D9" s="3"/>
      <c r="E9" s="3"/>
      <c r="F9" s="3"/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8"/>
      <c r="B10" s="4"/>
      <c r="C10" s="3"/>
      <c r="D10" s="3"/>
      <c r="E10" s="3"/>
      <c r="F10" s="3"/>
      <c r="G10" s="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 t="s">
        <v>31</v>
      </c>
      <c r="B11" s="4"/>
      <c r="C11" s="3"/>
      <c r="D11" s="3"/>
      <c r="E11" s="3"/>
      <c r="F11" s="3"/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7" t="s">
        <v>33</v>
      </c>
      <c r="B12" s="4"/>
      <c r="C12" s="3"/>
      <c r="D12" s="3"/>
      <c r="E12" s="3"/>
      <c r="F12" s="3"/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7" t="s">
        <v>36</v>
      </c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8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8" t="s">
        <v>41</v>
      </c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 t="s">
        <v>43</v>
      </c>
      <c r="B16" s="20" t="s">
        <v>44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 t="s">
        <v>49</v>
      </c>
      <c r="B17" s="20" t="s">
        <v>50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 t="s">
        <v>51</v>
      </c>
      <c r="B18" s="20" t="s">
        <v>52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 t="s">
        <v>54</v>
      </c>
      <c r="B19" s="20">
        <v>1972.0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 t="s">
        <v>56</v>
      </c>
      <c r="B20" s="4">
        <f>UnitMixanalysis!B11</f>
        <v>14</v>
      </c>
      <c r="C20" s="3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58</v>
      </c>
      <c r="B22" s="24">
        <v>100.0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59</v>
      </c>
      <c r="B23" s="26">
        <v>40252.0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62</v>
      </c>
      <c r="B24" s="28">
        <v>1800000.0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63</v>
      </c>
      <c r="B25" s="15">
        <f>UnitMixanalysis!D11/UnitMixanalysis!B11</f>
        <v>1229.642857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64</v>
      </c>
      <c r="B26" s="15">
        <f>CFAnalysis!H26</f>
        <v>138380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65</v>
      </c>
      <c r="B27" s="15">
        <f>CFAnalysis!B10</f>
        <v>2500000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8" t="s">
        <v>67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68</v>
      </c>
      <c r="B30" s="4" t="s">
        <v>69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71</v>
      </c>
      <c r="B31" s="28">
        <f>CFAnalysis!B16</f>
        <v>1250000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74</v>
      </c>
      <c r="B32" s="15">
        <f>B31/B20</f>
        <v>89285.71429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75</v>
      </c>
      <c r="B33" s="34">
        <f>B31/B27</f>
        <v>0.5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77</v>
      </c>
      <c r="B34" s="34">
        <f>B26/B31</f>
        <v>0.110704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79</v>
      </c>
      <c r="B35" s="36" t="s">
        <v>80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81</v>
      </c>
      <c r="B36" s="36" t="s">
        <v>82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84</v>
      </c>
      <c r="B37" s="36" t="s">
        <v>85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86</v>
      </c>
      <c r="B38" s="39">
        <f>CFAnalysis!B19</f>
        <v>30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87</v>
      </c>
      <c r="B39" s="20" t="s">
        <v>88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89</v>
      </c>
      <c r="B40" s="20" t="s">
        <v>90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91</v>
      </c>
      <c r="B41" s="20" t="s">
        <v>92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93</v>
      </c>
      <c r="B42" s="20" t="s">
        <v>94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95</v>
      </c>
      <c r="B43" s="20" t="s">
        <v>96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98</v>
      </c>
      <c r="B44" s="28">
        <f>CFAnalysis!B23</f>
        <v>870000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100</v>
      </c>
      <c r="B45" s="20" t="s">
        <v>101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8" t="s">
        <v>102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103</v>
      </c>
      <c r="B48" s="20" t="s">
        <v>104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105</v>
      </c>
      <c r="B49" s="20" t="s">
        <v>106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107</v>
      </c>
      <c r="B50" s="20">
        <v>15.0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108</v>
      </c>
      <c r="B51" s="20">
        <v>5.0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109</v>
      </c>
      <c r="B52" s="20">
        <v>40.0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5:G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23.86"/>
    <col customWidth="1" min="2" max="2" width="28.29"/>
    <col customWidth="1" min="3" max="3" width="4.86"/>
    <col customWidth="1" min="4" max="4" width="26.71"/>
    <col customWidth="1" min="5" max="9" width="15.86"/>
    <col customWidth="1" min="10" max="10" width="13.43"/>
    <col customWidth="1" min="11" max="11" width="9.29"/>
  </cols>
  <sheetData>
    <row r="1" ht="15.75" customHeight="1">
      <c r="A1" s="2" t="str">
        <f>Summary!A1</f>
        <v>123 Anywhere St., Escondido, CA 92029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6" t="s">
        <v>4</v>
      </c>
      <c r="B4" s="10" t="str">
        <f>Summary!B16</f>
        <v>123 Anywhere St., Escondido, CA 92029</v>
      </c>
      <c r="C4" s="12"/>
      <c r="D4" s="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6" t="s">
        <v>21</v>
      </c>
      <c r="B5" s="14" t="str">
        <f>Summary!B49</f>
        <v>100% Your Name</v>
      </c>
      <c r="C5" s="3"/>
      <c r="D5" s="8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6" t="s">
        <v>23</v>
      </c>
      <c r="B6" s="14" t="str">
        <f>Summary!B48</f>
        <v>123 Anywhere LLC</v>
      </c>
      <c r="C6" s="3"/>
      <c r="D6" s="6" t="s">
        <v>24</v>
      </c>
      <c r="E6" s="18">
        <f>DATE(YEAR($G$6)-2,MONTH($G$6),DAY($G$6))</f>
        <v>42369</v>
      </c>
      <c r="F6" s="18">
        <f>DATE(YEAR($G$6)-1,MONTH($G$6),DAY($G$6))</f>
        <v>42735</v>
      </c>
      <c r="G6" s="19">
        <f>OperatingStatement!G4</f>
        <v>43100</v>
      </c>
      <c r="H6" s="21" t="s">
        <v>47</v>
      </c>
      <c r="I6" s="21" t="s">
        <v>53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6" t="s">
        <v>55</v>
      </c>
      <c r="B7" s="14">
        <f>Summary!B19</f>
        <v>1972</v>
      </c>
      <c r="C7" s="3"/>
      <c r="D7" s="22" t="s">
        <v>57</v>
      </c>
      <c r="E7" s="23"/>
      <c r="F7" s="23"/>
      <c r="G7" s="23"/>
      <c r="H7" s="23"/>
      <c r="I7" s="2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6" t="s">
        <v>60</v>
      </c>
      <c r="B8" s="14">
        <f>UnitMixanalysis!B11</f>
        <v>14</v>
      </c>
      <c r="C8" s="3"/>
      <c r="D8" s="27" t="s">
        <v>61</v>
      </c>
      <c r="E8" s="29">
        <f>OperatingStatement!E5</f>
        <v>195000</v>
      </c>
      <c r="F8" s="29">
        <f>OperatingStatement!F5</f>
        <v>201000</v>
      </c>
      <c r="G8" s="29">
        <f>OperatingStatement!G5</f>
        <v>204000</v>
      </c>
      <c r="H8" s="30">
        <v>205000.0</v>
      </c>
      <c r="I8" s="30">
        <v>220000.0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6" t="s">
        <v>66</v>
      </c>
      <c r="B9" s="31">
        <f>14*1000</f>
        <v>14000</v>
      </c>
      <c r="C9" s="3"/>
      <c r="D9" s="27" t="s">
        <v>70</v>
      </c>
      <c r="E9" s="29">
        <v>0.0</v>
      </c>
      <c r="F9" s="29">
        <v>0.0</v>
      </c>
      <c r="G9" s="29">
        <v>0.0</v>
      </c>
      <c r="H9" s="29">
        <v>0.0</v>
      </c>
      <c r="I9" s="29">
        <v>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6" t="s">
        <v>72</v>
      </c>
      <c r="B10" s="32">
        <v>2500000.0</v>
      </c>
      <c r="C10" s="3"/>
      <c r="D10" s="27" t="s">
        <v>73</v>
      </c>
      <c r="E10" s="33">
        <f t="shared" ref="E10:I10" si="1">SUBTOTAL(9,E8:E9)</f>
        <v>195000</v>
      </c>
      <c r="F10" s="33">
        <f t="shared" si="1"/>
        <v>201000</v>
      </c>
      <c r="G10" s="33">
        <f t="shared" si="1"/>
        <v>204000</v>
      </c>
      <c r="H10" s="33">
        <f t="shared" si="1"/>
        <v>205000</v>
      </c>
      <c r="I10" s="33">
        <f t="shared" si="1"/>
        <v>220000</v>
      </c>
      <c r="J10" s="35" t="s">
        <v>76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6" t="s">
        <v>78</v>
      </c>
      <c r="B11" s="37">
        <f>B10/B8</f>
        <v>178571.4286</v>
      </c>
      <c r="C11" s="3"/>
      <c r="D11" s="27" t="s">
        <v>83</v>
      </c>
      <c r="E11" s="38"/>
      <c r="F11" s="38"/>
      <c r="G11" s="38"/>
      <c r="H11" s="33">
        <f t="shared" ref="H11:I11" si="2">H10*-$J11</f>
        <v>-10250</v>
      </c>
      <c r="I11" s="33">
        <f t="shared" si="2"/>
        <v>-11000</v>
      </c>
      <c r="J11" s="40">
        <v>0.05</v>
      </c>
      <c r="K11" s="4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6" t="s">
        <v>97</v>
      </c>
      <c r="B12" s="37">
        <f>B10/B9</f>
        <v>178.5714286</v>
      </c>
      <c r="C12" s="3"/>
      <c r="D12" s="42" t="s">
        <v>99</v>
      </c>
      <c r="E12" s="43">
        <f t="shared" ref="E12:I12" si="3">SUBTOTAL(9,E8:E11)</f>
        <v>195000</v>
      </c>
      <c r="F12" s="43">
        <f t="shared" si="3"/>
        <v>201000</v>
      </c>
      <c r="G12" s="43">
        <f t="shared" si="3"/>
        <v>204000</v>
      </c>
      <c r="H12" s="43">
        <f t="shared" si="3"/>
        <v>194750</v>
      </c>
      <c r="I12" s="43">
        <f t="shared" si="3"/>
        <v>209000</v>
      </c>
      <c r="J12" s="41"/>
      <c r="K12" s="4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6" t="s">
        <v>110</v>
      </c>
      <c r="B13" s="44">
        <f>B10/I10</f>
        <v>11.36363636</v>
      </c>
      <c r="C13" s="3"/>
      <c r="D13" s="45"/>
      <c r="E13" s="3"/>
      <c r="F13" s="3"/>
      <c r="G13" s="3"/>
      <c r="H13" s="3"/>
      <c r="I13" s="46"/>
      <c r="J13" s="41"/>
      <c r="K13" s="4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6"/>
      <c r="B14" s="3"/>
      <c r="C14" s="3"/>
      <c r="D14" s="47" t="s">
        <v>111</v>
      </c>
      <c r="E14" s="48" t="s">
        <v>112</v>
      </c>
      <c r="F14" s="48" t="s">
        <v>112</v>
      </c>
      <c r="G14" s="48" t="s">
        <v>112</v>
      </c>
      <c r="H14" s="48" t="s">
        <v>113</v>
      </c>
      <c r="I14" s="49"/>
      <c r="J14" s="35" t="s">
        <v>114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6" t="s">
        <v>115</v>
      </c>
      <c r="B15" s="14" t="s">
        <v>116</v>
      </c>
      <c r="C15" s="3"/>
      <c r="D15" s="50" t="s">
        <v>117</v>
      </c>
      <c r="E15" s="51">
        <f>OperatingStatement!E10</f>
        <v>4400</v>
      </c>
      <c r="F15" s="51">
        <f>OperatingStatement!F10</f>
        <v>4500</v>
      </c>
      <c r="G15" s="51">
        <f>OperatingStatement!G10</f>
        <v>4600</v>
      </c>
      <c r="H15" s="52">
        <v>4700.0</v>
      </c>
      <c r="I15" s="51">
        <f>$J15*B10</f>
        <v>31250</v>
      </c>
      <c r="J15" s="53">
        <v>0.0125</v>
      </c>
      <c r="K15" s="41" t="s">
        <v>118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6" t="s">
        <v>119</v>
      </c>
      <c r="B16" s="32">
        <v>1250000.0</v>
      </c>
      <c r="C16" s="3"/>
      <c r="D16" s="27" t="s">
        <v>120</v>
      </c>
      <c r="E16" s="51">
        <f>OperatingStatement!E11</f>
        <v>3600</v>
      </c>
      <c r="F16" s="51">
        <f>OperatingStatement!F11</f>
        <v>3700</v>
      </c>
      <c r="G16" s="51">
        <f>OperatingStatement!G11</f>
        <v>3900</v>
      </c>
      <c r="H16" s="30">
        <v>4500.0</v>
      </c>
      <c r="I16" s="29">
        <f>$J16*$B$9</f>
        <v>6300</v>
      </c>
      <c r="J16" s="54">
        <v>0.45</v>
      </c>
      <c r="K16" s="41" t="s">
        <v>121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6" t="s">
        <v>75</v>
      </c>
      <c r="B17" s="55">
        <f>B16/B10</f>
        <v>0.5</v>
      </c>
      <c r="C17" s="3"/>
      <c r="D17" s="27" t="s">
        <v>122</v>
      </c>
      <c r="E17" s="51">
        <f>OperatingStatement!E12</f>
        <v>1800</v>
      </c>
      <c r="F17" s="51">
        <f>OperatingStatement!F12</f>
        <v>1850</v>
      </c>
      <c r="G17" s="51">
        <f>OperatingStatement!G12</f>
        <v>1925</v>
      </c>
      <c r="H17" s="29">
        <f t="shared" ref="H17:I17" si="4">$J17*$B$8</f>
        <v>11200</v>
      </c>
      <c r="I17" s="29">
        <f t="shared" si="4"/>
        <v>11200</v>
      </c>
      <c r="J17" s="54">
        <v>800.0</v>
      </c>
      <c r="K17" s="41" t="s">
        <v>123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6" t="s">
        <v>124</v>
      </c>
      <c r="B18" s="56">
        <v>0.0465</v>
      </c>
      <c r="C18" s="3"/>
      <c r="D18" s="27" t="s">
        <v>125</v>
      </c>
      <c r="E18" s="51">
        <f>OperatingStatement!E13</f>
        <v>900</v>
      </c>
      <c r="F18" s="51">
        <f>OperatingStatement!F13</f>
        <v>950</v>
      </c>
      <c r="G18" s="51">
        <f>OperatingStatement!G13</f>
        <v>1000</v>
      </c>
      <c r="H18" s="29">
        <f t="shared" ref="H18:I18" si="5">$J18*$B$8</f>
        <v>9100</v>
      </c>
      <c r="I18" s="29">
        <f t="shared" si="5"/>
        <v>9100</v>
      </c>
      <c r="J18" s="54">
        <v>650.0</v>
      </c>
      <c r="K18" s="41" t="s">
        <v>123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6" t="s">
        <v>86</v>
      </c>
      <c r="B19" s="57">
        <v>30.0</v>
      </c>
      <c r="C19" s="3"/>
      <c r="D19" s="27" t="s">
        <v>126</v>
      </c>
      <c r="E19" s="51">
        <f>OperatingStatement!E14</f>
        <v>6700</v>
      </c>
      <c r="F19" s="51">
        <f>OperatingStatement!F14</f>
        <v>2000</v>
      </c>
      <c r="G19" s="51">
        <f>OperatingStatement!G14</f>
        <v>2500</v>
      </c>
      <c r="H19" s="29">
        <f t="shared" ref="H19:I19" si="6">$J19*H$12</f>
        <v>9737.5</v>
      </c>
      <c r="I19" s="29">
        <f t="shared" si="6"/>
        <v>10450</v>
      </c>
      <c r="J19" s="58">
        <v>0.05</v>
      </c>
      <c r="K19" s="41" t="s">
        <v>127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59" t="s">
        <v>128</v>
      </c>
      <c r="B20" s="37">
        <f>PMT(B18/12,B19*12,-1)*B16</f>
        <v>6445.460104</v>
      </c>
      <c r="C20" s="3"/>
      <c r="D20" s="27" t="s">
        <v>129</v>
      </c>
      <c r="E20" s="51">
        <f>OperatingStatement!E15</f>
        <v>9000</v>
      </c>
      <c r="F20" s="51">
        <f>OperatingStatement!F15</f>
        <v>9500</v>
      </c>
      <c r="G20" s="51">
        <f>OperatingStatement!G15</f>
        <v>10000</v>
      </c>
      <c r="H20" s="29">
        <f t="shared" ref="H20:I20" si="7">$J20*H$12</f>
        <v>3895</v>
      </c>
      <c r="I20" s="29">
        <f t="shared" si="7"/>
        <v>4180</v>
      </c>
      <c r="J20" s="58">
        <v>0.02</v>
      </c>
      <c r="K20" s="41" t="s">
        <v>127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59" t="s">
        <v>130</v>
      </c>
      <c r="B21" s="37">
        <f>B20*12</f>
        <v>77345.52125</v>
      </c>
      <c r="C21" s="3"/>
      <c r="D21" s="27" t="s">
        <v>131</v>
      </c>
      <c r="E21" s="51">
        <f>OperatingStatement!E16</f>
        <v>1000</v>
      </c>
      <c r="F21" s="51">
        <f>OperatingStatement!F16</f>
        <v>1200</v>
      </c>
      <c r="G21" s="51">
        <f>OperatingStatement!G16</f>
        <v>1200</v>
      </c>
      <c r="H21" s="29">
        <f t="shared" ref="H21:I21" si="8">$J21*H$12</f>
        <v>9737.5</v>
      </c>
      <c r="I21" s="29">
        <f t="shared" si="8"/>
        <v>10450</v>
      </c>
      <c r="J21" s="58">
        <v>0.05</v>
      </c>
      <c r="K21" s="41" t="s">
        <v>127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6" t="s">
        <v>132</v>
      </c>
      <c r="B22" s="60">
        <f>H27</f>
        <v>1.789114583</v>
      </c>
      <c r="C22" s="3"/>
      <c r="D22" s="27" t="s">
        <v>133</v>
      </c>
      <c r="E22" s="38"/>
      <c r="F22" s="38"/>
      <c r="G22" s="38"/>
      <c r="H22" s="29">
        <f t="shared" ref="H22:I22" si="9">$J22*$B$8</f>
        <v>3500</v>
      </c>
      <c r="I22" s="29">
        <f t="shared" si="9"/>
        <v>3500</v>
      </c>
      <c r="J22" s="54">
        <v>250.0</v>
      </c>
      <c r="K22" s="41" t="s">
        <v>123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6" t="s">
        <v>134</v>
      </c>
      <c r="B23" s="32">
        <v>870000.0</v>
      </c>
      <c r="C23" s="3"/>
      <c r="D23" s="42" t="s">
        <v>135</v>
      </c>
      <c r="E23" s="43">
        <f t="shared" ref="E23:I23" si="10">SUBTOTAL(9,E15:E22)</f>
        <v>27400</v>
      </c>
      <c r="F23" s="43">
        <f t="shared" si="10"/>
        <v>23700</v>
      </c>
      <c r="G23" s="43">
        <f t="shared" si="10"/>
        <v>25125</v>
      </c>
      <c r="H23" s="43">
        <f t="shared" si="10"/>
        <v>56370</v>
      </c>
      <c r="I23" s="43">
        <f t="shared" si="10"/>
        <v>86430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6" t="s">
        <v>136</v>
      </c>
      <c r="B24" s="37">
        <f>IF($B$15="Refinance",$B$16-$B$23,"N/A-Purchase")</f>
        <v>380000</v>
      </c>
      <c r="C24" s="3"/>
      <c r="D24" s="27" t="s">
        <v>127</v>
      </c>
      <c r="E24" s="61">
        <f t="shared" ref="E24:I24" si="11">IFERROR(E23/E12,"")</f>
        <v>0.1405128205</v>
      </c>
      <c r="F24" s="61">
        <f t="shared" si="11"/>
        <v>0.1179104478</v>
      </c>
      <c r="G24" s="61">
        <f t="shared" si="11"/>
        <v>0.1231617647</v>
      </c>
      <c r="H24" s="61">
        <f t="shared" si="11"/>
        <v>0.2894480103</v>
      </c>
      <c r="I24" s="61">
        <f t="shared" si="11"/>
        <v>0.4135406699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6" t="s">
        <v>137</v>
      </c>
      <c r="B25" s="55">
        <f>IF($B$15="Refinance",B24/B16,"N/A-Purchase")</f>
        <v>0.304</v>
      </c>
      <c r="C25" s="3"/>
      <c r="D25" s="62"/>
      <c r="E25" s="63"/>
      <c r="F25" s="63"/>
      <c r="G25" s="63"/>
      <c r="H25" s="63"/>
      <c r="I25" s="6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42" t="s">
        <v>138</v>
      </c>
      <c r="E26" s="43">
        <f t="shared" ref="E26:I26" si="12">E12-E23</f>
        <v>167600</v>
      </c>
      <c r="F26" s="43">
        <f t="shared" si="12"/>
        <v>177300</v>
      </c>
      <c r="G26" s="43">
        <f t="shared" si="12"/>
        <v>178875</v>
      </c>
      <c r="H26" s="43">
        <f t="shared" si="12"/>
        <v>138380</v>
      </c>
      <c r="I26" s="43">
        <f t="shared" si="12"/>
        <v>122570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27" t="s">
        <v>139</v>
      </c>
      <c r="E27" s="64">
        <f t="shared" ref="E27:I27" si="13">E26/$B$21</f>
        <v>2.166899871</v>
      </c>
      <c r="F27" s="65">
        <f t="shared" si="13"/>
        <v>2.29231114</v>
      </c>
      <c r="G27" s="65">
        <f t="shared" si="13"/>
        <v>2.31267431</v>
      </c>
      <c r="H27" s="65">
        <f t="shared" si="13"/>
        <v>1.789114583</v>
      </c>
      <c r="I27" s="65">
        <f t="shared" si="13"/>
        <v>1.584707143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66" t="s">
        <v>140</v>
      </c>
      <c r="E28" s="61">
        <f t="shared" ref="E28:I28" si="14">E26/$B$16</f>
        <v>0.13408</v>
      </c>
      <c r="F28" s="61">
        <f t="shared" si="14"/>
        <v>0.14184</v>
      </c>
      <c r="G28" s="61">
        <f t="shared" si="14"/>
        <v>0.1431</v>
      </c>
      <c r="H28" s="61">
        <f t="shared" si="14"/>
        <v>0.110704</v>
      </c>
      <c r="I28" s="61">
        <f t="shared" si="14"/>
        <v>0.098056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67"/>
      <c r="E29" s="68"/>
      <c r="F29" s="69"/>
      <c r="G29" s="27" t="s">
        <v>141</v>
      </c>
      <c r="H29" s="70">
        <f t="shared" ref="H29:I29" si="15">H26/$B$10</f>
        <v>0.055352</v>
      </c>
      <c r="I29" s="70">
        <f t="shared" si="15"/>
        <v>0.049028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3">
    <mergeCell ref="H14:I14"/>
    <mergeCell ref="J14:K14"/>
    <mergeCell ref="J10:K10"/>
  </mergeCells>
  <dataValidations>
    <dataValidation type="list" allowBlank="1" showErrorMessage="1" sqref="B15">
      <formula1>"Purchase,Refinance"</formula1>
    </dataValidation>
  </dataValidations>
  <printOptions/>
  <pageMargins bottom="0.75" footer="0.0" header="0.0" left="0.7" right="0.7" top="0.75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4.43"/>
    <col customWidth="1" min="2" max="2" width="18.86"/>
    <col customWidth="1" min="3" max="3" width="8.71"/>
    <col customWidth="1" min="4" max="4" width="8.29"/>
    <col customWidth="1" min="5" max="5" width="11.71"/>
    <col customWidth="1" min="6" max="6" width="12.14"/>
    <col customWidth="1" min="7" max="7" width="16.71"/>
    <col customWidth="1" min="8" max="8" width="9.86"/>
    <col customWidth="1" min="9" max="9" width="14.71"/>
  </cols>
  <sheetData>
    <row r="1" ht="15.75" customHeight="1">
      <c r="A1" s="2" t="str">
        <f>Summary!B16</f>
        <v>123 Anywhere St., Escondido, CA 92029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/>
      <c r="B3" s="4"/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1</v>
      </c>
      <c r="B4" s="5" t="s">
        <v>2</v>
      </c>
      <c r="C4" s="4"/>
      <c r="D4" s="4"/>
      <c r="E4" s="4"/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/>
      <c r="B5" s="4"/>
      <c r="C5" s="4"/>
      <c r="D5" s="4"/>
      <c r="E5" s="4"/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9" t="s">
        <v>13</v>
      </c>
      <c r="H6" s="7" t="s">
        <v>14</v>
      </c>
      <c r="I6" s="7" t="s">
        <v>15</v>
      </c>
      <c r="J6" s="7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6">
        <v>1.0</v>
      </c>
      <c r="B7" s="4" t="s">
        <v>18</v>
      </c>
      <c r="C7" s="4" t="s">
        <v>19</v>
      </c>
      <c r="D7" s="13">
        <v>964.0</v>
      </c>
      <c r="E7" s="15">
        <v>1150.0</v>
      </c>
      <c r="F7" s="16">
        <v>42005.0</v>
      </c>
      <c r="G7" s="16">
        <v>42979.0</v>
      </c>
      <c r="H7" s="4" t="s">
        <v>2</v>
      </c>
      <c r="I7" s="4" t="s">
        <v>25</v>
      </c>
      <c r="J7" s="4" t="s">
        <v>26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6">
        <v>2.0</v>
      </c>
      <c r="B8" s="4" t="s">
        <v>27</v>
      </c>
      <c r="C8" s="4" t="s">
        <v>19</v>
      </c>
      <c r="D8" s="13">
        <v>964.0</v>
      </c>
      <c r="E8" s="15">
        <v>1400.0</v>
      </c>
      <c r="F8" s="16">
        <v>42006.0</v>
      </c>
      <c r="G8" s="16">
        <v>42980.0</v>
      </c>
      <c r="H8" s="4" t="s">
        <v>2</v>
      </c>
      <c r="I8" s="4" t="s">
        <v>25</v>
      </c>
      <c r="J8" s="4" t="s">
        <v>26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6">
        <v>3.0</v>
      </c>
      <c r="B9" s="4" t="s">
        <v>29</v>
      </c>
      <c r="C9" s="4" t="s">
        <v>19</v>
      </c>
      <c r="D9" s="13">
        <v>964.0</v>
      </c>
      <c r="E9" s="15">
        <v>1500.0</v>
      </c>
      <c r="F9" s="16">
        <v>42007.0</v>
      </c>
      <c r="G9" s="16">
        <v>42981.0</v>
      </c>
      <c r="H9" s="4" t="s">
        <v>2</v>
      </c>
      <c r="I9" s="4" t="s">
        <v>25</v>
      </c>
      <c r="J9" s="4" t="s">
        <v>26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6">
        <v>4.0</v>
      </c>
      <c r="B10" s="4" t="s">
        <v>30</v>
      </c>
      <c r="C10" s="4" t="s">
        <v>19</v>
      </c>
      <c r="D10" s="13">
        <v>964.0</v>
      </c>
      <c r="E10" s="15">
        <v>1350.0</v>
      </c>
      <c r="F10" s="16">
        <v>42008.0</v>
      </c>
      <c r="G10" s="16">
        <v>42982.0</v>
      </c>
      <c r="H10" s="4" t="s">
        <v>2</v>
      </c>
      <c r="I10" s="4" t="s">
        <v>25</v>
      </c>
      <c r="J10" s="4" t="s">
        <v>26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6">
        <v>5.0</v>
      </c>
      <c r="B11" s="4" t="s">
        <v>32</v>
      </c>
      <c r="C11" s="4" t="s">
        <v>19</v>
      </c>
      <c r="D11" s="13">
        <v>964.0</v>
      </c>
      <c r="E11" s="15">
        <v>1450.0</v>
      </c>
      <c r="F11" s="16">
        <v>42009.0</v>
      </c>
      <c r="G11" s="16">
        <v>42983.0</v>
      </c>
      <c r="H11" s="4" t="s">
        <v>2</v>
      </c>
      <c r="I11" s="4" t="s">
        <v>25</v>
      </c>
      <c r="J11" s="4" t="s">
        <v>26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6">
        <v>6.0</v>
      </c>
      <c r="B12" s="4" t="s">
        <v>34</v>
      </c>
      <c r="C12" s="4" t="s">
        <v>19</v>
      </c>
      <c r="D12" s="13">
        <v>964.0</v>
      </c>
      <c r="E12" s="15">
        <v>1125.0</v>
      </c>
      <c r="F12" s="16">
        <v>42010.0</v>
      </c>
      <c r="G12" s="16">
        <v>42984.0</v>
      </c>
      <c r="H12" s="4" t="s">
        <v>2</v>
      </c>
      <c r="I12" s="4" t="s">
        <v>25</v>
      </c>
      <c r="J12" s="4" t="s">
        <v>26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6">
        <v>7.0</v>
      </c>
      <c r="B13" s="4" t="s">
        <v>35</v>
      </c>
      <c r="C13" s="4" t="s">
        <v>19</v>
      </c>
      <c r="D13" s="13">
        <v>964.0</v>
      </c>
      <c r="E13" s="15">
        <v>1500.0</v>
      </c>
      <c r="F13" s="16">
        <v>42011.0</v>
      </c>
      <c r="G13" s="16">
        <v>42985.0</v>
      </c>
      <c r="H13" s="4" t="s">
        <v>2</v>
      </c>
      <c r="I13" s="4" t="s">
        <v>25</v>
      </c>
      <c r="J13" s="4" t="s">
        <v>26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8.0</v>
      </c>
      <c r="B14" s="4" t="s">
        <v>37</v>
      </c>
      <c r="C14" s="4" t="s">
        <v>38</v>
      </c>
      <c r="D14" s="13">
        <v>760.0</v>
      </c>
      <c r="E14" s="15">
        <v>1100.0</v>
      </c>
      <c r="F14" s="16">
        <v>42012.0</v>
      </c>
      <c r="G14" s="16">
        <v>42986.0</v>
      </c>
      <c r="H14" s="4" t="s">
        <v>2</v>
      </c>
      <c r="I14" s="4" t="s">
        <v>25</v>
      </c>
      <c r="J14" s="4" t="s">
        <v>26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9.0</v>
      </c>
      <c r="B15" s="4" t="s">
        <v>39</v>
      </c>
      <c r="C15" s="4" t="s">
        <v>38</v>
      </c>
      <c r="D15" s="13">
        <v>760.0</v>
      </c>
      <c r="E15" s="15">
        <v>1000.0</v>
      </c>
      <c r="F15" s="16">
        <v>42013.0</v>
      </c>
      <c r="G15" s="16">
        <v>42987.0</v>
      </c>
      <c r="H15" s="4" t="s">
        <v>2</v>
      </c>
      <c r="I15" s="4" t="s">
        <v>25</v>
      </c>
      <c r="J15" s="4" t="s">
        <v>26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10.0</v>
      </c>
      <c r="B16" s="4" t="s">
        <v>40</v>
      </c>
      <c r="C16" s="4" t="s">
        <v>38</v>
      </c>
      <c r="D16" s="13">
        <v>760.0</v>
      </c>
      <c r="E16" s="15">
        <v>990.0</v>
      </c>
      <c r="F16" s="16">
        <v>42014.0</v>
      </c>
      <c r="G16" s="16">
        <v>42988.0</v>
      </c>
      <c r="H16" s="4" t="s">
        <v>2</v>
      </c>
      <c r="I16" s="4" t="s">
        <v>25</v>
      </c>
      <c r="J16" s="4" t="s">
        <v>26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11.0</v>
      </c>
      <c r="B17" s="4" t="s">
        <v>42</v>
      </c>
      <c r="C17" s="4" t="s">
        <v>38</v>
      </c>
      <c r="D17" s="13">
        <v>760.0</v>
      </c>
      <c r="E17" s="15">
        <v>1200.0</v>
      </c>
      <c r="F17" s="16">
        <v>42015.0</v>
      </c>
      <c r="G17" s="16">
        <v>42989.0</v>
      </c>
      <c r="H17" s="4" t="s">
        <v>2</v>
      </c>
      <c r="I17" s="4" t="s">
        <v>25</v>
      </c>
      <c r="J17" s="4" t="s">
        <v>26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12.0</v>
      </c>
      <c r="B18" s="4" t="s">
        <v>45</v>
      </c>
      <c r="C18" s="4" t="s">
        <v>38</v>
      </c>
      <c r="D18" s="13">
        <v>760.0</v>
      </c>
      <c r="E18" s="15">
        <v>1250.0</v>
      </c>
      <c r="F18" s="16">
        <v>42016.0</v>
      </c>
      <c r="G18" s="16">
        <v>42990.0</v>
      </c>
      <c r="H18" s="4" t="s">
        <v>2</v>
      </c>
      <c r="I18" s="4" t="s">
        <v>25</v>
      </c>
      <c r="J18" s="4" t="s">
        <v>26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13.0</v>
      </c>
      <c r="B19" s="4" t="s">
        <v>46</v>
      </c>
      <c r="C19" s="4" t="s">
        <v>38</v>
      </c>
      <c r="D19" s="13">
        <v>760.0</v>
      </c>
      <c r="E19" s="15">
        <v>1150.0</v>
      </c>
      <c r="F19" s="16">
        <v>42017.0</v>
      </c>
      <c r="G19" s="16">
        <v>42991.0</v>
      </c>
      <c r="H19" s="4" t="s">
        <v>2</v>
      </c>
      <c r="I19" s="4" t="s">
        <v>25</v>
      </c>
      <c r="J19" s="4" t="s">
        <v>26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14.0</v>
      </c>
      <c r="B20" s="4" t="s">
        <v>48</v>
      </c>
      <c r="C20" s="4" t="s">
        <v>38</v>
      </c>
      <c r="D20" s="13">
        <v>760.0</v>
      </c>
      <c r="E20" s="15">
        <v>1050.0</v>
      </c>
      <c r="F20" s="16">
        <v>42018.0</v>
      </c>
      <c r="G20" s="16">
        <v>42992.0</v>
      </c>
      <c r="H20" s="4" t="s">
        <v>2</v>
      </c>
      <c r="I20" s="4" t="s">
        <v>25</v>
      </c>
      <c r="J20" s="4" t="s">
        <v>26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13"/>
      <c r="E21" s="1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13"/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13"/>
      <c r="E23" s="1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13"/>
      <c r="E24" s="1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13"/>
      <c r="E25" s="1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13"/>
      <c r="E26" s="1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13"/>
      <c r="E27" s="1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13"/>
      <c r="E28" s="1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13"/>
      <c r="E29" s="1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13"/>
      <c r="E30" s="1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13"/>
      <c r="E31" s="1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13"/>
      <c r="E32" s="1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13"/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13"/>
      <c r="E34" s="1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13"/>
      <c r="E35" s="1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13"/>
      <c r="E36" s="1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13"/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13"/>
      <c r="E38" s="1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13"/>
      <c r="E39" s="1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13"/>
      <c r="E40" s="1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13"/>
      <c r="E41" s="1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13"/>
      <c r="E42" s="1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13"/>
      <c r="E43" s="1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13"/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13"/>
      <c r="E45" s="1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13"/>
      <c r="E46" s="1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13"/>
      <c r="E47" s="1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13"/>
      <c r="E48" s="1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13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13"/>
      <c r="E50" s="1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13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13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13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13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13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13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13"/>
      <c r="E57" s="1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13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13"/>
      <c r="E59" s="1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13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13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13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13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13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13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13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13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13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13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13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13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13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13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13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13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13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13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13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13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13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13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13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13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13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13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13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13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13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13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13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13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13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13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13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13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13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13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13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13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13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13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13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13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13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13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13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13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13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13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13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13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13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13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13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13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13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13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13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13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13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13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13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13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13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13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13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13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13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13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13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13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13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13"/>
      <c r="E133" s="1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13"/>
      <c r="E134" s="1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13"/>
      <c r="E135" s="1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13"/>
      <c r="E136" s="1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13"/>
      <c r="E137" s="1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13"/>
      <c r="E138" s="1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13"/>
      <c r="E139" s="1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13"/>
      <c r="E140" s="1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13"/>
      <c r="E141" s="1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13"/>
      <c r="E142" s="1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13"/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13"/>
      <c r="E144" s="1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13"/>
      <c r="E145" s="1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13"/>
      <c r="E146" s="1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13"/>
      <c r="E147" s="1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13"/>
      <c r="E148" s="1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13"/>
      <c r="E149" s="1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13"/>
      <c r="E150" s="1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13"/>
      <c r="E151" s="1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13"/>
      <c r="E152" s="1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13"/>
      <c r="E153" s="1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13"/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13"/>
      <c r="E155" s="1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13"/>
      <c r="E156" s="1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13"/>
      <c r="E157" s="1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13"/>
      <c r="E158" s="1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13"/>
      <c r="E159" s="1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13"/>
      <c r="E160" s="1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13"/>
      <c r="E161" s="1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13"/>
      <c r="E162" s="1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13"/>
      <c r="E163" s="1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13"/>
      <c r="E164" s="1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13"/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13"/>
      <c r="E166" s="1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13"/>
      <c r="E167" s="1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13"/>
      <c r="E168" s="1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13"/>
      <c r="E169" s="1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13"/>
      <c r="E170" s="1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13"/>
      <c r="E171" s="1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13"/>
      <c r="E172" s="1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13"/>
      <c r="E173" s="1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13"/>
      <c r="E174" s="1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13"/>
      <c r="E175" s="1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13"/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13"/>
      <c r="E177" s="1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13"/>
      <c r="E178" s="1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13"/>
      <c r="E179" s="1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13"/>
      <c r="E180" s="1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13"/>
      <c r="E181" s="1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13"/>
      <c r="E182" s="1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13"/>
      <c r="E183" s="1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13"/>
      <c r="E184" s="1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13"/>
      <c r="E185" s="1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13"/>
      <c r="E186" s="1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13"/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13"/>
      <c r="E188" s="1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13"/>
      <c r="E189" s="1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13"/>
      <c r="E190" s="1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13"/>
      <c r="E191" s="1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13"/>
      <c r="E192" s="1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13"/>
      <c r="E193" s="1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13"/>
      <c r="E194" s="1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13"/>
      <c r="E195" s="1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13"/>
      <c r="E196" s="1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13"/>
      <c r="E197" s="1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13"/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13"/>
      <c r="E199" s="1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13"/>
      <c r="E200" s="1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13"/>
      <c r="E201" s="1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13"/>
      <c r="E202" s="1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13"/>
      <c r="E203" s="1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13"/>
      <c r="E204" s="1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13"/>
      <c r="E205" s="1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13"/>
      <c r="E206" s="1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13"/>
      <c r="E207" s="1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13"/>
      <c r="E208" s="1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13"/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13"/>
      <c r="E210" s="1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13"/>
      <c r="E211" s="1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13"/>
      <c r="E212" s="1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13"/>
      <c r="E213" s="1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13"/>
      <c r="E214" s="1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13"/>
      <c r="E215" s="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13"/>
      <c r="E216" s="1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13"/>
      <c r="E217" s="1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13"/>
      <c r="E218" s="1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13"/>
      <c r="E219" s="1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13"/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2" t="str">
        <f>Summary!A1</f>
        <v>123 Anywhere St., Escondido, CA 92029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5.75" customHeight="1">
      <c r="A2" s="2" t="s">
        <v>142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5.75" customHeight="1">
      <c r="A4" s="3"/>
      <c r="B4" s="3"/>
      <c r="C4" s="3"/>
      <c r="D4" s="71">
        <v>42004.0</v>
      </c>
      <c r="E4" s="71">
        <v>42369.0</v>
      </c>
      <c r="F4" s="71">
        <v>42735.0</v>
      </c>
      <c r="G4" s="71">
        <v>43100.0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5.75" customHeight="1">
      <c r="A5" s="3"/>
      <c r="B5" s="4" t="s">
        <v>143</v>
      </c>
      <c r="C5" s="3"/>
      <c r="D5" s="72">
        <v>175000.0</v>
      </c>
      <c r="E5" s="72">
        <v>195000.0</v>
      </c>
      <c r="F5" s="72">
        <v>201000.0</v>
      </c>
      <c r="G5" s="72">
        <v>204000.0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5.75" customHeight="1">
      <c r="A6" s="3"/>
      <c r="B6" s="4" t="s">
        <v>144</v>
      </c>
      <c r="C6" s="3"/>
      <c r="D6" s="73">
        <v>0.0</v>
      </c>
      <c r="E6" s="73">
        <v>0.0</v>
      </c>
      <c r="F6" s="73">
        <v>0.0</v>
      </c>
      <c r="G6" s="73">
        <v>0.0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5.75" customHeight="1">
      <c r="A7" s="3"/>
      <c r="B7" s="4" t="s">
        <v>145</v>
      </c>
      <c r="C7" s="3"/>
      <c r="D7" s="73">
        <v>0.0</v>
      </c>
      <c r="E7" s="73">
        <v>0.0</v>
      </c>
      <c r="F7" s="73">
        <v>0.0</v>
      </c>
      <c r="G7" s="73">
        <v>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5.75" customHeight="1">
      <c r="A8" s="3"/>
      <c r="B8" s="3"/>
      <c r="C8" s="8" t="s">
        <v>146</v>
      </c>
      <c r="D8" s="74">
        <f t="shared" ref="D8:G8" si="1">SUBTOTAL(9,D5:D7)</f>
        <v>175000</v>
      </c>
      <c r="E8" s="74">
        <f t="shared" si="1"/>
        <v>195000</v>
      </c>
      <c r="F8" s="74">
        <f t="shared" si="1"/>
        <v>201000</v>
      </c>
      <c r="G8" s="74">
        <f t="shared" si="1"/>
        <v>204000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5.75" customHeight="1">
      <c r="A9" s="3"/>
      <c r="B9" s="3"/>
      <c r="C9" s="3"/>
      <c r="D9" s="75"/>
      <c r="E9" s="75"/>
      <c r="F9" s="75"/>
      <c r="G9" s="7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5.75" customHeight="1">
      <c r="A10" s="3"/>
      <c r="B10" s="4" t="s">
        <v>117</v>
      </c>
      <c r="C10" s="3"/>
      <c r="D10" s="29">
        <v>4300.0</v>
      </c>
      <c r="E10" s="29">
        <v>4400.0</v>
      </c>
      <c r="F10" s="29">
        <v>4500.0</v>
      </c>
      <c r="G10" s="29">
        <v>4600.0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5.75" customHeight="1">
      <c r="A11" s="3"/>
      <c r="B11" s="4" t="s">
        <v>120</v>
      </c>
      <c r="C11" s="3"/>
      <c r="D11" s="29">
        <v>3200.0</v>
      </c>
      <c r="E11" s="29">
        <v>3600.0</v>
      </c>
      <c r="F11" s="29">
        <v>3700.0</v>
      </c>
      <c r="G11" s="29">
        <v>3900.0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5.75" customHeight="1">
      <c r="A12" s="3"/>
      <c r="B12" s="76" t="s">
        <v>122</v>
      </c>
      <c r="C12" s="3"/>
      <c r="D12" s="29">
        <v>1750.0</v>
      </c>
      <c r="E12" s="29">
        <v>1800.0</v>
      </c>
      <c r="F12" s="29">
        <v>1850.0</v>
      </c>
      <c r="G12" s="29">
        <v>1925.0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5.75" customHeight="1">
      <c r="A13" s="3"/>
      <c r="B13" s="4" t="s">
        <v>147</v>
      </c>
      <c r="C13" s="3"/>
      <c r="D13" s="29">
        <v>500.0</v>
      </c>
      <c r="E13" s="29">
        <v>900.0</v>
      </c>
      <c r="F13" s="29">
        <v>950.0</v>
      </c>
      <c r="G13" s="29">
        <v>1000.0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5.75" customHeight="1">
      <c r="A14" s="3"/>
      <c r="B14" s="76" t="s">
        <v>126</v>
      </c>
      <c r="C14" s="3"/>
      <c r="D14" s="29">
        <v>6500.0</v>
      </c>
      <c r="E14" s="29">
        <v>6700.0</v>
      </c>
      <c r="F14" s="29">
        <v>2000.0</v>
      </c>
      <c r="G14" s="29">
        <v>2500.0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5.75" customHeight="1">
      <c r="A15" s="3"/>
      <c r="B15" s="77" t="s">
        <v>148</v>
      </c>
      <c r="C15" s="3"/>
      <c r="D15" s="29">
        <v>8750.0</v>
      </c>
      <c r="E15" s="29">
        <v>9000.0</v>
      </c>
      <c r="F15" s="29">
        <v>9500.0</v>
      </c>
      <c r="G15" s="29">
        <v>10000.0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5.75" customHeight="1">
      <c r="A16" s="3"/>
      <c r="B16" s="76" t="s">
        <v>131</v>
      </c>
      <c r="C16" s="3"/>
      <c r="D16" s="29">
        <v>3000.0</v>
      </c>
      <c r="E16" s="29">
        <v>1000.0</v>
      </c>
      <c r="F16" s="29">
        <v>1200.0</v>
      </c>
      <c r="G16" s="29">
        <v>1200.0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5.75" customHeight="1">
      <c r="A17" s="3"/>
      <c r="B17" s="3"/>
      <c r="C17" s="8" t="s">
        <v>149</v>
      </c>
      <c r="D17" s="78">
        <f t="shared" ref="D17:G17" si="2">SUBTOTAL(9,D9:D16)</f>
        <v>28000</v>
      </c>
      <c r="E17" s="78">
        <f t="shared" si="2"/>
        <v>27400</v>
      </c>
      <c r="F17" s="78">
        <f t="shared" si="2"/>
        <v>23700</v>
      </c>
      <c r="G17" s="78">
        <f t="shared" si="2"/>
        <v>25125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5.75" customHeight="1">
      <c r="A18" s="3"/>
      <c r="B18" s="3"/>
      <c r="C18" s="3"/>
      <c r="D18" s="75"/>
      <c r="E18" s="75"/>
      <c r="F18" s="75"/>
      <c r="G18" s="7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5.75" customHeight="1">
      <c r="A19" s="3"/>
      <c r="B19" s="8" t="s">
        <v>138</v>
      </c>
      <c r="C19" s="8"/>
      <c r="D19" s="74">
        <f t="shared" ref="D19:G19" si="3">D8-D17</f>
        <v>147000</v>
      </c>
      <c r="E19" s="74">
        <f t="shared" si="3"/>
        <v>167600</v>
      </c>
      <c r="F19" s="74">
        <f t="shared" si="3"/>
        <v>177300</v>
      </c>
      <c r="G19" s="74">
        <f t="shared" si="3"/>
        <v>178875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5.75" customHeight="1">
      <c r="A20" s="3"/>
      <c r="B20" s="3"/>
      <c r="C20" s="3"/>
      <c r="D20" s="75"/>
      <c r="E20" s="75"/>
      <c r="F20" s="75"/>
      <c r="G20" s="7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5.75" customHeight="1">
      <c r="A21" s="3"/>
      <c r="B21" s="4" t="s">
        <v>150</v>
      </c>
      <c r="C21" s="3"/>
      <c r="D21" s="30">
        <v>9000.0</v>
      </c>
      <c r="E21" s="30">
        <v>20000.0</v>
      </c>
      <c r="F21" s="30">
        <v>19000.0</v>
      </c>
      <c r="G21" s="30">
        <v>18000.0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5.75" customHeight="1">
      <c r="A22" s="3"/>
      <c r="B22" s="4" t="s">
        <v>151</v>
      </c>
      <c r="C22" s="3"/>
      <c r="D22" s="30">
        <v>4500.0</v>
      </c>
      <c r="E22" s="30">
        <v>9100.0</v>
      </c>
      <c r="F22" s="30">
        <v>9100.0</v>
      </c>
      <c r="G22" s="30">
        <v>9100.0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5.75" customHeight="1">
      <c r="A23" s="3"/>
      <c r="B23" s="8" t="s">
        <v>152</v>
      </c>
      <c r="C23" s="8"/>
      <c r="D23" s="74">
        <f t="shared" ref="D23:G23" si="4">D19-D21-D22</f>
        <v>133500</v>
      </c>
      <c r="E23" s="74">
        <f t="shared" si="4"/>
        <v>138500</v>
      </c>
      <c r="F23" s="74">
        <f t="shared" si="4"/>
        <v>149200</v>
      </c>
      <c r="G23" s="74">
        <f t="shared" si="4"/>
        <v>151775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5.75" customHeight="1">
      <c r="A24" s="3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2" t="str">
        <f>Summary!A1</f>
        <v>123 Anywhere St., Escondido, CA 92029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79" t="s">
        <v>153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80" t="s">
        <v>154</v>
      </c>
      <c r="B4" s="81" t="s">
        <v>155</v>
      </c>
      <c r="C4" s="81" t="s">
        <v>156</v>
      </c>
      <c r="D4" s="81" t="s">
        <v>157</v>
      </c>
      <c r="E4" s="81" t="s">
        <v>158</v>
      </c>
      <c r="F4" s="81" t="s">
        <v>159</v>
      </c>
      <c r="G4" s="4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73" t="s">
        <v>38</v>
      </c>
      <c r="B5" s="27">
        <f>COUNTIFS(RentRoll!$C$7:$C$1000,A5)</f>
        <v>7</v>
      </c>
      <c r="C5" s="82">
        <f t="shared" ref="C5:C10" si="1">IFERROR(D5/B5,0)</f>
        <v>1105.714286</v>
      </c>
      <c r="D5" s="82">
        <f>SUMIFS(RentRoll!$E$7:$E$1000,RentRoll!$C$7:$C$1000,A5)</f>
        <v>7740</v>
      </c>
      <c r="E5" s="83">
        <v>1250.0</v>
      </c>
      <c r="F5" s="82">
        <f t="shared" ref="F5:F10" si="2">E5*B5</f>
        <v>8750</v>
      </c>
      <c r="G5" s="4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73" t="s">
        <v>19</v>
      </c>
      <c r="B6" s="27">
        <f>COUNTIFS(RentRoll!$C$7:$C$1000,A6)</f>
        <v>7</v>
      </c>
      <c r="C6" s="82">
        <f t="shared" si="1"/>
        <v>1353.571429</v>
      </c>
      <c r="D6" s="82">
        <f>SUMIFS(RentRoll!$E$7:$E$1000,RentRoll!$C$7:$C$1000,A6)</f>
        <v>9475</v>
      </c>
      <c r="E6" s="83">
        <v>1450.0</v>
      </c>
      <c r="F6" s="82">
        <f t="shared" si="2"/>
        <v>10150</v>
      </c>
      <c r="G6" s="4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73"/>
      <c r="B7" s="27">
        <f>COUNTIFS(RentRoll!$C$7:$C$1000,A7)</f>
        <v>0</v>
      </c>
      <c r="C7" s="82">
        <f t="shared" si="1"/>
        <v>0</v>
      </c>
      <c r="D7" s="82">
        <f>SUMIFS(RentRoll!$E$7:$E$1000,RentRoll!$C$7:$C$1000,A7)</f>
        <v>0</v>
      </c>
      <c r="E7" s="83"/>
      <c r="F7" s="82">
        <f t="shared" si="2"/>
        <v>0</v>
      </c>
      <c r="G7" s="4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73"/>
      <c r="B8" s="27">
        <f>COUNTIFS(RentRoll!$C$7:$C$1000,A8)</f>
        <v>0</v>
      </c>
      <c r="C8" s="82">
        <f t="shared" si="1"/>
        <v>0</v>
      </c>
      <c r="D8" s="82">
        <f>SUMIFS(RentRoll!$E$7:$E$1000,RentRoll!$C$7:$C$1000,A8)</f>
        <v>0</v>
      </c>
      <c r="E8" s="83"/>
      <c r="F8" s="82">
        <f t="shared" si="2"/>
        <v>0</v>
      </c>
      <c r="G8" s="4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73"/>
      <c r="B9" s="27">
        <f>COUNTIFS(RentRoll!$C$7:$C$1000,A9)</f>
        <v>0</v>
      </c>
      <c r="C9" s="82">
        <f t="shared" si="1"/>
        <v>0</v>
      </c>
      <c r="D9" s="82">
        <f>SUMIFS(RentRoll!$E$7:$E$1000,RentRoll!$C$7:$C$1000,A9)</f>
        <v>0</v>
      </c>
      <c r="E9" s="83"/>
      <c r="F9" s="82">
        <f t="shared" si="2"/>
        <v>0</v>
      </c>
      <c r="G9" s="4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73"/>
      <c r="B10" s="27">
        <f>COUNTIFS(RentRoll!$C$7:$C$1000,A10)</f>
        <v>0</v>
      </c>
      <c r="C10" s="82">
        <f t="shared" si="1"/>
        <v>0</v>
      </c>
      <c r="D10" s="82">
        <f>SUMIFS(RentRoll!$E$7:$E$1000,RentRoll!$C$7:$C$1000,A10)</f>
        <v>0</v>
      </c>
      <c r="E10" s="83"/>
      <c r="F10" s="82">
        <f t="shared" si="2"/>
        <v>0</v>
      </c>
      <c r="G10" s="4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3" t="s">
        <v>160</v>
      </c>
      <c r="B11" s="84">
        <f>SUM(B5:B10)</f>
        <v>14</v>
      </c>
      <c r="C11" s="23"/>
      <c r="D11" s="85">
        <f>SUM(D5:D10)</f>
        <v>17215</v>
      </c>
      <c r="E11" s="86"/>
      <c r="F11" s="85">
        <f>SUM(F5:F10)</f>
        <v>18900</v>
      </c>
      <c r="G11" s="4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87"/>
      <c r="E12" s="15"/>
      <c r="F12" s="87"/>
      <c r="G12" s="4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7.57"/>
    <col customWidth="1" min="2" max="2" width="19.57"/>
    <col customWidth="1" min="3" max="3" width="17.0"/>
    <col customWidth="1" min="4" max="4" width="2.14"/>
    <col customWidth="1" min="5" max="5" width="9.0"/>
    <col customWidth="1" min="6" max="6" width="14.14"/>
    <col customWidth="1" min="7" max="8" width="7.0"/>
    <col customWidth="1" min="9" max="9" width="6.86"/>
    <col customWidth="1" min="10" max="12" width="7.0"/>
    <col customWidth="1" min="13" max="13" width="8.14"/>
    <col customWidth="1" min="14" max="14" width="8.43"/>
    <col customWidth="1" min="15" max="15" width="8.57"/>
    <col customWidth="1" min="16" max="16" width="9.14"/>
    <col customWidth="1" min="17" max="24" width="8.71"/>
  </cols>
  <sheetData>
    <row r="1" ht="18.75" customHeight="1">
      <c r="A1" s="2" t="str">
        <f>Summary!A1</f>
        <v>123 Anywhere St., Escondido, CA 92029</v>
      </c>
      <c r="B1" s="2"/>
      <c r="C1" s="2"/>
      <c r="D1" s="2"/>
      <c r="E1" s="2"/>
      <c r="F1" s="2"/>
      <c r="G1" s="2"/>
      <c r="H1" s="2"/>
      <c r="I1" s="2"/>
      <c r="J1" s="4"/>
      <c r="K1" s="4"/>
      <c r="L1" s="4"/>
      <c r="M1" s="4"/>
      <c r="N1" s="4"/>
      <c r="O1" s="88"/>
      <c r="P1" s="4"/>
      <c r="Q1" s="4"/>
      <c r="R1" s="4"/>
      <c r="S1" s="4"/>
      <c r="T1" s="4"/>
      <c r="U1" s="4"/>
      <c r="V1" s="4"/>
      <c r="W1" s="4"/>
      <c r="X1" s="4"/>
    </row>
    <row r="2" ht="12.75" customHeight="1">
      <c r="A2" s="79" t="s">
        <v>161</v>
      </c>
      <c r="B2" s="2"/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2.75" customHeight="1">
      <c r="A3" s="89"/>
      <c r="B3" s="4"/>
      <c r="C3" s="4"/>
      <c r="D3" s="4"/>
      <c r="E3" s="9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2.75" customHeight="1">
      <c r="A4" s="91" t="s">
        <v>162</v>
      </c>
      <c r="B4" s="4"/>
      <c r="C4" s="4"/>
      <c r="D4" s="4"/>
      <c r="E4" s="92" t="s">
        <v>163</v>
      </c>
      <c r="F4" s="23"/>
      <c r="G4" s="23"/>
      <c r="H4" s="23"/>
      <c r="I4" s="23"/>
      <c r="J4" s="23"/>
      <c r="K4" s="23"/>
      <c r="L4" s="23"/>
      <c r="M4" s="23"/>
      <c r="N4" s="23"/>
      <c r="O4" s="25"/>
      <c r="P4" s="4"/>
      <c r="Q4" s="4"/>
      <c r="R4" s="4"/>
      <c r="S4" s="4"/>
      <c r="T4" s="4"/>
      <c r="U4" s="4"/>
      <c r="V4" s="4"/>
      <c r="W4" s="4"/>
      <c r="X4" s="4"/>
    </row>
    <row r="5" ht="12.75" customHeight="1">
      <c r="A5" s="93" t="s">
        <v>164</v>
      </c>
      <c r="B5" s="94">
        <f>CFAnalysis!B16</f>
        <v>1250000</v>
      </c>
      <c r="C5" s="95"/>
      <c r="D5" s="95"/>
      <c r="E5" s="96" t="str">
        <f>"vs. "&amp;TEXT(Ending_Balance,"$#,##0,")&amp;"M with a "&amp;refi_amortization&amp;"-year amo."</f>
        <v>vs. $1,142M with a 30-year amo.</v>
      </c>
      <c r="F5" s="4"/>
      <c r="G5" s="4"/>
      <c r="H5" s="97" t="s">
        <v>165</v>
      </c>
      <c r="I5" s="80"/>
      <c r="J5" s="80"/>
      <c r="K5" s="80"/>
      <c r="L5" s="80"/>
      <c r="M5" s="80"/>
      <c r="N5" s="4"/>
      <c r="O5" s="46"/>
      <c r="P5" s="4"/>
      <c r="Q5" s="4"/>
      <c r="R5" s="4"/>
      <c r="S5" s="4"/>
      <c r="T5" s="4"/>
      <c r="U5" s="4"/>
      <c r="V5" s="4"/>
      <c r="W5" s="4"/>
      <c r="X5" s="4"/>
    </row>
    <row r="6" ht="12.75" customHeight="1">
      <c r="A6" s="93" t="s">
        <v>166</v>
      </c>
      <c r="B6" s="98">
        <f>CFAnalysis!B18</f>
        <v>0.0465</v>
      </c>
      <c r="C6" s="95"/>
      <c r="D6" s="95"/>
      <c r="E6" s="99"/>
      <c r="F6" s="4"/>
      <c r="G6" s="4"/>
      <c r="H6" s="100">
        <v>0.005</v>
      </c>
      <c r="I6" s="100">
        <f t="shared" ref="I6:M6" si="1">+H6+0.5%</f>
        <v>0.01</v>
      </c>
      <c r="J6" s="100">
        <f t="shared" si="1"/>
        <v>0.015</v>
      </c>
      <c r="K6" s="100">
        <f t="shared" si="1"/>
        <v>0.02</v>
      </c>
      <c r="L6" s="100">
        <f t="shared" si="1"/>
        <v>0.025</v>
      </c>
      <c r="M6" s="100">
        <f t="shared" si="1"/>
        <v>0.03</v>
      </c>
      <c r="N6" s="4"/>
      <c r="O6" s="46"/>
      <c r="P6" s="4"/>
      <c r="Q6" s="4"/>
      <c r="R6" s="4"/>
      <c r="S6" s="4"/>
      <c r="T6" s="4"/>
      <c r="U6" s="4"/>
      <c r="V6" s="4"/>
      <c r="W6" s="4"/>
      <c r="X6" s="4"/>
    </row>
    <row r="7" ht="12.75" customHeight="1">
      <c r="A7" s="93" t="s">
        <v>167</v>
      </c>
      <c r="B7" s="98">
        <f>Pay_Rate</f>
        <v>0.0465</v>
      </c>
      <c r="C7" s="101"/>
      <c r="D7" s="101"/>
      <c r="E7" s="102" t="s">
        <v>168</v>
      </c>
      <c r="F7" s="4"/>
      <c r="G7" s="81" t="s">
        <v>169</v>
      </c>
      <c r="H7" s="103"/>
      <c r="I7" s="103"/>
      <c r="J7" s="103"/>
      <c r="K7" s="103"/>
      <c r="L7" s="103"/>
      <c r="M7" s="103"/>
      <c r="N7" s="81" t="s">
        <v>170</v>
      </c>
      <c r="O7" s="49"/>
      <c r="P7" s="4"/>
      <c r="Q7" s="4"/>
      <c r="R7" s="4"/>
      <c r="S7" s="4"/>
      <c r="T7" s="4"/>
      <c r="U7" s="4"/>
      <c r="V7" s="4"/>
      <c r="W7" s="4"/>
      <c r="X7" s="4"/>
    </row>
    <row r="8" ht="12.75" customHeight="1">
      <c r="A8" s="93" t="s">
        <v>171</v>
      </c>
      <c r="B8" s="104">
        <f>CFAnalysis!B19</f>
        <v>30</v>
      </c>
      <c r="C8" s="105"/>
      <c r="D8" s="105"/>
      <c r="E8" s="106" t="s">
        <v>172</v>
      </c>
      <c r="F8" s="81" t="s">
        <v>173</v>
      </c>
      <c r="G8" s="107">
        <f>IF(B19="Proposed Int. Rate",Pay_Rate,Policy_Floor_Rate)</f>
        <v>0.0465</v>
      </c>
      <c r="H8" s="108">
        <f t="shared" ref="H8:M8" si="2">+$G$8+H6</f>
        <v>0.0515</v>
      </c>
      <c r="I8" s="108">
        <f t="shared" si="2"/>
        <v>0.0565</v>
      </c>
      <c r="J8" s="108">
        <f t="shared" si="2"/>
        <v>0.0615</v>
      </c>
      <c r="K8" s="108">
        <f t="shared" si="2"/>
        <v>0.0665</v>
      </c>
      <c r="L8" s="108">
        <f t="shared" si="2"/>
        <v>0.0715</v>
      </c>
      <c r="M8" s="108">
        <f t="shared" si="2"/>
        <v>0.0765</v>
      </c>
      <c r="N8" s="109">
        <v>1.0</v>
      </c>
      <c r="O8" s="110">
        <f>B18</f>
        <v>1.2</v>
      </c>
      <c r="P8" s="4"/>
      <c r="Q8" s="4"/>
      <c r="R8" s="4"/>
      <c r="S8" s="4"/>
      <c r="T8" s="4"/>
      <c r="U8" s="4"/>
      <c r="V8" s="4"/>
      <c r="W8" s="4"/>
      <c r="X8" s="4"/>
    </row>
    <row r="9" ht="12.75" customHeight="1">
      <c r="A9" s="93" t="s">
        <v>168</v>
      </c>
      <c r="B9" s="94">
        <f>CFAnalysis!H26</f>
        <v>138380</v>
      </c>
      <c r="C9" s="95"/>
      <c r="D9" s="95"/>
      <c r="E9" s="111">
        <v>0.03</v>
      </c>
      <c r="F9" s="112">
        <f>(Initial_NOI*(1+E9)^Term_Fixed_Period)</f>
        <v>160420.3464</v>
      </c>
      <c r="G9" s="113">
        <f>$F9/(PMT(G$8/12,refi_amortization*12,-Ending_Balance)*12)</f>
        <v>2.270139449</v>
      </c>
      <c r="H9" s="113">
        <f>$F9/(PMT(H$8/12,refi_amortization*12,-Ending_Balance)*12)</f>
        <v>2.143793475</v>
      </c>
      <c r="I9" s="113">
        <f>$F9/(PMT(I$8/12,refi_amortization*12,-Ending_Balance)*12)</f>
        <v>2.027884413</v>
      </c>
      <c r="J9" s="113">
        <f>$F9/(PMT(J$8/12,refi_amortization*12,-Ending_Balance)*12)</f>
        <v>1.921394213</v>
      </c>
      <c r="K9" s="113">
        <f>$F9/(PMT(K$8/12,refi_amortization*12,-Ending_Balance)*12)</f>
        <v>1.823413572</v>
      </c>
      <c r="L9" s="113">
        <f>$F9/(PMT(L$8/12,refi_amortization*12,-Ending_Balance)*12)</f>
        <v>1.733129628</v>
      </c>
      <c r="M9" s="113">
        <f>$F9/(PMT(M$8/12,refi_amortization*12,-Ending_Balance)*12)</f>
        <v>1.649815119</v>
      </c>
      <c r="N9" s="114">
        <f>RATE(refi_amortization*12,-$F9/$N$8/12,Ending_Balance)*12</f>
        <v>0.1381909047</v>
      </c>
      <c r="O9" s="115">
        <f>RATE(refi_amortization*12,-$F9/$O$8/12,Ending_Balance)*12</f>
        <v>0.113054295</v>
      </c>
      <c r="P9" s="4"/>
      <c r="Q9" s="4"/>
      <c r="R9" s="4"/>
      <c r="S9" s="4"/>
      <c r="T9" s="4"/>
      <c r="U9" s="4"/>
      <c r="V9" s="4"/>
      <c r="W9" s="4"/>
      <c r="X9" s="4"/>
    </row>
    <row r="10" ht="12.75" customHeight="1">
      <c r="A10" s="93" t="s">
        <v>174</v>
      </c>
      <c r="B10" s="116">
        <f>CFAnalysis!H29</f>
        <v>0.055352</v>
      </c>
      <c r="C10" s="101"/>
      <c r="D10" s="101"/>
      <c r="E10" s="111">
        <v>0.02</v>
      </c>
      <c r="F10" s="112">
        <f>(Initial_NOI*(1+E10)^Term_Fixed_Period)</f>
        <v>152782.7015</v>
      </c>
      <c r="G10" s="113">
        <f>$F10/(PMT(G$8/12,refi_amortization*12,-Ending_Balance)*12)</f>
        <v>2.162057655</v>
      </c>
      <c r="H10" s="113">
        <f>$F10/(PMT(H$8/12,refi_amortization*12,-Ending_Balance)*12)</f>
        <v>2.041727038</v>
      </c>
      <c r="I10" s="113">
        <f>$F10/(PMT(I$8/12,refi_amortization*12,-Ending_Balance)*12)</f>
        <v>1.931336429</v>
      </c>
      <c r="J10" s="113">
        <f>$F10/(PMT(J$8/12,refi_amortization*12,-Ending_Balance)*12)</f>
        <v>1.829916249</v>
      </c>
      <c r="K10" s="113">
        <f>$F10/(PMT(K$8/12,refi_amortization*12,-Ending_Balance)*12)</f>
        <v>1.736600486</v>
      </c>
      <c r="L10" s="113">
        <f>$F10/(PMT(L$8/12,refi_amortization*12,-Ending_Balance)*12)</f>
        <v>1.650614979</v>
      </c>
      <c r="M10" s="113">
        <f>$F10/(PMT(M$8/12,refi_amortization*12,-Ending_Balance)*12)</f>
        <v>1.57126709</v>
      </c>
      <c r="N10" s="114">
        <f>RATE(refi_amortization*12,-$F10/$N$8/12,Ending_Balance)*12</f>
        <v>0.1311041625</v>
      </c>
      <c r="O10" s="115">
        <f>RATE(refi_amortization*12,-$F10/$O$8/12,Ending_Balance)*12</f>
        <v>0.1069075161</v>
      </c>
      <c r="P10" s="4"/>
      <c r="Q10" s="4"/>
      <c r="R10" s="4"/>
      <c r="S10" s="4"/>
      <c r="T10" s="4"/>
      <c r="U10" s="4"/>
      <c r="V10" s="4"/>
      <c r="W10" s="4"/>
      <c r="X10" s="4"/>
    </row>
    <row r="11" ht="12.75" customHeight="1">
      <c r="A11" s="93" t="s">
        <v>175</v>
      </c>
      <c r="B11" s="117">
        <v>0.0</v>
      </c>
      <c r="C11" s="118"/>
      <c r="D11" s="118"/>
      <c r="E11" s="111">
        <v>0.01</v>
      </c>
      <c r="F11" s="112">
        <f>(Initial_NOI*(1+E11)^Term_Fixed_Period)</f>
        <v>145438.7707</v>
      </c>
      <c r="G11" s="113">
        <f>$F11/(PMT(G$8/12,refi_amortization*12,-Ending_Balance)*12)</f>
        <v>2.058132265</v>
      </c>
      <c r="H11" s="113">
        <f>$F11/(PMT(H$8/12,refi_amortization*12,-Ending_Balance)*12)</f>
        <v>1.943585678</v>
      </c>
      <c r="I11" s="113">
        <f>$F11/(PMT(I$8/12,refi_amortization*12,-Ending_Balance)*12)</f>
        <v>1.838501305</v>
      </c>
      <c r="J11" s="113">
        <f>$F11/(PMT(J$8/12,refi_amortization*12,-Ending_Balance)*12)</f>
        <v>1.741956172</v>
      </c>
      <c r="K11" s="113">
        <f>$F11/(PMT(K$8/12,refi_amortization*12,-Ending_Balance)*12)</f>
        <v>1.653125893</v>
      </c>
      <c r="L11" s="113">
        <f>$F11/(PMT(L$8/12,refi_amortization*12,-Ending_Balance)*12)</f>
        <v>1.571273522</v>
      </c>
      <c r="M11" s="113">
        <f>$F11/(PMT(M$8/12,refi_amortization*12,-Ending_Balance)*12)</f>
        <v>1.495739712</v>
      </c>
      <c r="N11" s="114">
        <f>RATE(refi_amortization*12,-$F11/$N$8/12,Ending_Balance)*12</f>
        <v>0.12422514</v>
      </c>
      <c r="O11" s="115">
        <f>RATE(refi_amortization*12,-$F11/$O$8/12,Ending_Balance)*12</f>
        <v>0.100919502</v>
      </c>
      <c r="P11" s="4"/>
      <c r="Q11" s="4"/>
      <c r="R11" s="4"/>
      <c r="S11" s="4"/>
      <c r="T11" s="4"/>
      <c r="U11" s="4"/>
      <c r="V11" s="4"/>
      <c r="W11" s="4"/>
      <c r="X11" s="4"/>
    </row>
    <row r="12" ht="12.75" customHeight="1">
      <c r="A12" s="93" t="s">
        <v>176</v>
      </c>
      <c r="B12" s="117">
        <v>5.0</v>
      </c>
      <c r="C12" s="105"/>
      <c r="D12" s="105"/>
      <c r="E12" s="111">
        <v>0.0</v>
      </c>
      <c r="F12" s="112">
        <f>(Initial_NOI*(1+E12)^Term_Fixed_Period)</f>
        <v>138380</v>
      </c>
      <c r="G12" s="113">
        <f>$F12/(PMT(G$8/12,refi_amortization*12,-Ending_Balance)*12)</f>
        <v>1.958242231</v>
      </c>
      <c r="H12" s="113">
        <f>$F12/(PMT(H$8/12,refi_amortization*12,-Ending_Balance)*12)</f>
        <v>1.849255084</v>
      </c>
      <c r="I12" s="113">
        <f>$F12/(PMT(I$8/12,refi_amortization*12,-Ending_Balance)*12)</f>
        <v>1.749270908</v>
      </c>
      <c r="J12" s="113">
        <f>$F12/(PMT(J$8/12,refi_amortization*12,-Ending_Balance)*12)</f>
        <v>1.657411527</v>
      </c>
      <c r="K12" s="113">
        <f>$F12/(PMT(K$8/12,refi_amortization*12,-Ending_Balance)*12)</f>
        <v>1.572892564</v>
      </c>
      <c r="L12" s="113">
        <f>$F12/(PMT(L$8/12,refi_amortization*12,-Ending_Balance)*12)</f>
        <v>1.495012842</v>
      </c>
      <c r="M12" s="113">
        <f>$F12/(PMT(M$8/12,refi_amortization*12,-Ending_Balance)*12)</f>
        <v>1.423145014</v>
      </c>
      <c r="N12" s="114">
        <f>RATE(refi_amortization*12,-$F12/$N$8/12,Ending_Balance)*12</f>
        <v>0.1175433202</v>
      </c>
      <c r="O12" s="115">
        <f>RATE(refi_amortization*12,-$F12/$O$8/12,Ending_Balance)*12</f>
        <v>0.09508185279</v>
      </c>
      <c r="P12" s="4"/>
      <c r="Q12" s="4"/>
      <c r="R12" s="4"/>
      <c r="S12" s="4"/>
      <c r="T12" s="4"/>
      <c r="U12" s="4"/>
      <c r="V12" s="4"/>
      <c r="W12" s="4"/>
      <c r="X12" s="4"/>
    </row>
    <row r="13" ht="12.75" customHeight="1">
      <c r="A13" s="4"/>
      <c r="B13" s="4"/>
      <c r="C13" s="105"/>
      <c r="D13" s="105"/>
      <c r="E13" s="111">
        <v>-0.01</v>
      </c>
      <c r="F13" s="112">
        <f>(Initial_NOI*(1+E13)^Term_Fixed_Period)</f>
        <v>131598.0031</v>
      </c>
      <c r="G13" s="113">
        <f>$F13/(PMT(G$8/12,refi_amortization*12,-Ending_Balance)*12)</f>
        <v>1.862268877</v>
      </c>
      <c r="H13" s="113">
        <f>$F13/(PMT(H$8/12,refi_amortization*12,-Ending_Balance)*12)</f>
        <v>1.758623184</v>
      </c>
      <c r="I13" s="113">
        <f>$F13/(PMT(I$8/12,refi_amortization*12,-Ending_Balance)*12)</f>
        <v>1.663539228</v>
      </c>
      <c r="J13" s="113">
        <f>$F13/(PMT(J$8/12,refi_amortization*12,-Ending_Balance)*12)</f>
        <v>1.57618187</v>
      </c>
      <c r="K13" s="113">
        <f>$F13/(PMT(K$8/12,refi_amortization*12,-Ending_Balance)*12)</f>
        <v>1.495805178</v>
      </c>
      <c r="L13" s="113">
        <f>$F13/(PMT(L$8/12,refi_amortization*12,-Ending_Balance)*12)</f>
        <v>1.421742337</v>
      </c>
      <c r="M13" s="113">
        <f>$F13/(PMT(M$8/12,refi_amortization*12,-Ending_Balance)*12)</f>
        <v>1.353396748</v>
      </c>
      <c r="N13" s="114">
        <f>RATE(refi_amortization*12,-$F13/$N$8/12,Ending_Balance)*12</f>
        <v>0.1110484797</v>
      </c>
      <c r="O13" s="115">
        <f>RATE(refi_amortization*12,-$F13/$O$8/12,Ending_Balance)*12</f>
        <v>0.08938646397</v>
      </c>
      <c r="P13" s="4"/>
      <c r="Q13" s="4"/>
      <c r="R13" s="4"/>
      <c r="S13" s="4"/>
      <c r="T13" s="4"/>
      <c r="U13" s="4"/>
      <c r="V13" s="4"/>
      <c r="W13" s="4"/>
      <c r="X13" s="4"/>
    </row>
    <row r="14" ht="12.75" customHeight="1">
      <c r="A14" s="91" t="s">
        <v>177</v>
      </c>
      <c r="B14" s="119"/>
      <c r="C14" s="105"/>
      <c r="D14" s="105"/>
      <c r="E14" s="111">
        <v>-0.02</v>
      </c>
      <c r="F14" s="112">
        <f>(Initial_NOI*(1+E14)^Term_Fixed_Period)</f>
        <v>125084.5599</v>
      </c>
      <c r="G14" s="113">
        <f>$F14/(PMT(G$8/12,refi_amortization*12,-Ending_Balance)*12)</f>
        <v>1.770095878</v>
      </c>
      <c r="H14" s="113">
        <f>$F14/(PMT(H$8/12,refi_amortization*12,-Ending_Balance)*12)</f>
        <v>1.671580129</v>
      </c>
      <c r="I14" s="113">
        <f>$F14/(PMT(I$8/12,refi_amortization*12,-Ending_Balance)*12)</f>
        <v>1.581202353</v>
      </c>
      <c r="J14" s="113">
        <f>$F14/(PMT(J$8/12,refi_amortization*12,-Ending_Balance)*12)</f>
        <v>1.498168748</v>
      </c>
      <c r="K14" s="113">
        <f>$F14/(PMT(K$8/12,refi_amortization*12,-Ending_Balance)*12)</f>
        <v>1.4217703</v>
      </c>
      <c r="L14" s="113">
        <f>$F14/(PMT(L$8/12,refi_amortization*12,-Ending_Balance)*12)</f>
        <v>1.351373199</v>
      </c>
      <c r="M14" s="113">
        <f>$F14/(PMT(M$8/12,refi_amortization*12,-Ending_Balance)*12)</f>
        <v>1.286410375</v>
      </c>
      <c r="N14" s="114">
        <f>RATE(refi_amortization*12,-$F14/$N$8/12,Ending_Balance)*12</f>
        <v>0.1047307073</v>
      </c>
      <c r="O14" s="115">
        <f>RATE(refi_amortization*12,-$F14/$O$8/12,Ending_Balance)*12</f>
        <v>0.0838255343</v>
      </c>
      <c r="P14" s="4"/>
      <c r="Q14" s="4"/>
      <c r="R14" s="4"/>
      <c r="S14" s="4"/>
      <c r="T14" s="4"/>
      <c r="U14" s="4"/>
      <c r="V14" s="4"/>
      <c r="W14" s="4"/>
      <c r="X14" s="4"/>
    </row>
    <row r="15" ht="12.75" customHeight="1">
      <c r="A15" s="93" t="s">
        <v>178</v>
      </c>
      <c r="B15" s="104">
        <v>30.0</v>
      </c>
      <c r="C15" s="101"/>
      <c r="D15" s="101"/>
      <c r="E15" s="111">
        <v>-0.03</v>
      </c>
      <c r="F15" s="112">
        <f>(Initial_NOI*(1+E15)^Term_Fixed_Period)</f>
        <v>118831.6145</v>
      </c>
      <c r="G15" s="120">
        <f>$F15/(PMT(G$8/12,refi_amortization*12,-Ending_Balance)*12)</f>
        <v>1.681609234</v>
      </c>
      <c r="H15" s="120">
        <f>$F15/(PMT(H$8/12,refi_amortization*12,-Ending_Balance)*12)</f>
        <v>1.588018262</v>
      </c>
      <c r="I15" s="120">
        <f>$F15/(PMT(I$8/12,refi_amortization*12,-Ending_Balance)*12)</f>
        <v>1.502158449</v>
      </c>
      <c r="J15" s="120">
        <f>$F15/(PMT(J$8/12,refi_amortization*12,-Ending_Balance)*12)</f>
        <v>1.423275672</v>
      </c>
      <c r="K15" s="120">
        <f>$F15/(PMT(K$8/12,refi_amortization*12,-Ending_Balance)*12)</f>
        <v>1.350696364</v>
      </c>
      <c r="L15" s="120">
        <f>$F15/(PMT(L$8/12,refi_amortization*12,-Ending_Balance)*12)</f>
        <v>1.283818396</v>
      </c>
      <c r="M15" s="120">
        <f>$F15/(PMT(M$8/12,refi_amortization*12,-Ending_Balance)*12)</f>
        <v>1.222103047</v>
      </c>
      <c r="N15" s="121">
        <f>RATE(refi_amortization*12,-$F15/$N$8/12,Ending_Balance)*12</f>
        <v>0.0985804188</v>
      </c>
      <c r="O15" s="122">
        <f>RATE(refi_amortization*12,-$F15/$O$8/12,Ending_Balance)*12</f>
        <v>0.07839155896</v>
      </c>
      <c r="P15" s="4"/>
      <c r="Q15" s="4"/>
      <c r="R15" s="4"/>
      <c r="S15" s="4"/>
      <c r="T15" s="4"/>
      <c r="U15" s="4"/>
      <c r="V15" s="4"/>
      <c r="W15" s="4"/>
      <c r="X15" s="4"/>
    </row>
    <row r="16" ht="12.75" customHeight="1">
      <c r="A16" s="93" t="s">
        <v>166</v>
      </c>
      <c r="B16" s="123">
        <f>B6+0.5%</f>
        <v>0.0515</v>
      </c>
      <c r="C16" s="124"/>
      <c r="D16" s="125"/>
      <c r="E16" s="126" t="s">
        <v>179</v>
      </c>
      <c r="F16" s="127"/>
      <c r="G16" s="4"/>
      <c r="H16" s="4"/>
      <c r="I16" s="4"/>
      <c r="J16" s="4"/>
      <c r="K16" s="4"/>
      <c r="L16" s="4"/>
      <c r="M16" s="4"/>
      <c r="N16" s="4"/>
      <c r="O16" s="46"/>
      <c r="P16" s="4"/>
      <c r="Q16" s="4"/>
      <c r="R16" s="4"/>
      <c r="S16" s="4"/>
      <c r="T16" s="4"/>
      <c r="U16" s="4"/>
      <c r="V16" s="4"/>
      <c r="W16" s="4"/>
      <c r="X16" s="4"/>
    </row>
    <row r="17" ht="12.75" customHeight="1">
      <c r="A17" s="93" t="s">
        <v>180</v>
      </c>
      <c r="B17" s="128">
        <v>0.75</v>
      </c>
      <c r="C17" s="127"/>
      <c r="D17" s="127"/>
      <c r="E17" s="99"/>
      <c r="F17" s="4"/>
      <c r="G17" s="4"/>
      <c r="H17" s="4"/>
      <c r="I17" s="4"/>
      <c r="J17" s="4"/>
      <c r="K17" s="4"/>
      <c r="L17" s="4"/>
      <c r="M17" s="4"/>
      <c r="N17" s="4"/>
      <c r="O17" s="46"/>
      <c r="P17" s="4"/>
      <c r="Q17" s="4"/>
      <c r="R17" s="4"/>
      <c r="S17" s="4"/>
      <c r="T17" s="4"/>
      <c r="U17" s="4"/>
      <c r="V17" s="4"/>
      <c r="W17" s="4"/>
      <c r="X17" s="4"/>
    </row>
    <row r="18" ht="13.5" customHeight="1">
      <c r="A18" s="93" t="s">
        <v>181</v>
      </c>
      <c r="B18" s="129">
        <v>1.2</v>
      </c>
      <c r="C18" s="127"/>
      <c r="D18" s="127"/>
      <c r="E18" s="130" t="s">
        <v>182</v>
      </c>
      <c r="F18" s="4"/>
      <c r="G18" s="4"/>
      <c r="H18" s="97" t="s">
        <v>183</v>
      </c>
      <c r="I18" s="80"/>
      <c r="J18" s="80"/>
      <c r="K18" s="80"/>
      <c r="L18" s="80"/>
      <c r="M18" s="80"/>
      <c r="N18" s="4"/>
      <c r="O18" s="46"/>
      <c r="P18" s="4"/>
      <c r="Q18" s="4"/>
      <c r="R18" s="4"/>
      <c r="S18" s="4"/>
      <c r="T18" s="4"/>
      <c r="U18" s="4"/>
      <c r="V18" s="4"/>
      <c r="W18" s="4"/>
      <c r="X18" s="4"/>
    </row>
    <row r="19" ht="12.75" customHeight="1">
      <c r="A19" s="93" t="s">
        <v>184</v>
      </c>
      <c r="B19" s="129" t="s">
        <v>185</v>
      </c>
      <c r="C19" s="127"/>
      <c r="D19" s="127"/>
      <c r="E19" s="131" t="str">
        <f>"vs. "&amp;TEXT(Ending_Balance,"$#,##0,")&amp;"M balance"</f>
        <v>vs. $1,142M balance</v>
      </c>
      <c r="F19" s="4"/>
      <c r="G19" s="4"/>
      <c r="H19" s="100">
        <v>0.005</v>
      </c>
      <c r="I19" s="100">
        <f t="shared" ref="I19:M19" si="3">+H19+0.5%</f>
        <v>0.01</v>
      </c>
      <c r="J19" s="100">
        <f t="shared" si="3"/>
        <v>0.015</v>
      </c>
      <c r="K19" s="100">
        <f t="shared" si="3"/>
        <v>0.02</v>
      </c>
      <c r="L19" s="100">
        <f t="shared" si="3"/>
        <v>0.025</v>
      </c>
      <c r="M19" s="100">
        <f t="shared" si="3"/>
        <v>0.03</v>
      </c>
      <c r="N19" s="4"/>
      <c r="O19" s="46"/>
      <c r="P19" s="4"/>
      <c r="Q19" s="4"/>
      <c r="R19" s="4"/>
      <c r="S19" s="4"/>
      <c r="T19" s="4"/>
      <c r="U19" s="4"/>
      <c r="V19" s="4"/>
      <c r="W19" s="4"/>
      <c r="X19" s="4"/>
    </row>
    <row r="20" ht="12.75" customHeight="1">
      <c r="A20" s="4"/>
      <c r="B20" s="4"/>
      <c r="C20" s="127"/>
      <c r="D20" s="127"/>
      <c r="E20" s="102" t="s">
        <v>168</v>
      </c>
      <c r="F20" s="4"/>
      <c r="G20" s="81" t="s">
        <v>186</v>
      </c>
      <c r="H20" s="103"/>
      <c r="I20" s="103"/>
      <c r="J20" s="103"/>
      <c r="K20" s="103"/>
      <c r="L20" s="103"/>
      <c r="M20" s="103"/>
      <c r="N20" s="132" t="s">
        <v>187</v>
      </c>
      <c r="O20" s="46"/>
      <c r="P20" s="4"/>
      <c r="Q20" s="4"/>
      <c r="R20" s="4"/>
      <c r="S20" s="4"/>
      <c r="T20" s="4"/>
      <c r="U20" s="4"/>
      <c r="V20" s="4"/>
      <c r="W20" s="4"/>
      <c r="X20" s="4"/>
    </row>
    <row r="21" ht="12.75" customHeight="1">
      <c r="A21" s="91" t="s">
        <v>188</v>
      </c>
      <c r="B21" s="133"/>
      <c r="C21" s="127"/>
      <c r="D21" s="127"/>
      <c r="E21" s="106" t="s">
        <v>189</v>
      </c>
      <c r="F21" s="81" t="s">
        <v>173</v>
      </c>
      <c r="G21" s="107">
        <f>Initial_Cap_Rate</f>
        <v>0.055352</v>
      </c>
      <c r="H21" s="108">
        <f t="shared" ref="H21:M21" si="4">+$G$21+H19</f>
        <v>0.060352</v>
      </c>
      <c r="I21" s="108">
        <f t="shared" si="4"/>
        <v>0.065352</v>
      </c>
      <c r="J21" s="108">
        <f t="shared" si="4"/>
        <v>0.070352</v>
      </c>
      <c r="K21" s="108">
        <f t="shared" si="4"/>
        <v>0.075352</v>
      </c>
      <c r="L21" s="108">
        <f t="shared" si="4"/>
        <v>0.080352</v>
      </c>
      <c r="M21" s="108">
        <f t="shared" si="4"/>
        <v>0.085352</v>
      </c>
      <c r="N21" s="134">
        <f>B17</f>
        <v>0.75</v>
      </c>
      <c r="O21" s="46"/>
      <c r="P21" s="4"/>
      <c r="Q21" s="4"/>
      <c r="R21" s="4"/>
      <c r="S21" s="4"/>
      <c r="T21" s="4"/>
      <c r="U21" s="4"/>
      <c r="V21" s="4"/>
      <c r="W21" s="4"/>
      <c r="X21" s="4"/>
    </row>
    <row r="22" ht="12.75" customHeight="1">
      <c r="A22" s="135" t="s">
        <v>190</v>
      </c>
      <c r="B22" s="4"/>
      <c r="C22" s="127"/>
      <c r="D22" s="127"/>
      <c r="E22" s="114">
        <f t="shared" ref="E22:E28" si="5">E9</f>
        <v>0.03</v>
      </c>
      <c r="F22" s="112">
        <f>(Initial_NOI*(1+E22)^Term_Fixed_Period)</f>
        <v>160420.3464</v>
      </c>
      <c r="G22" s="132">
        <f>Ending_Balance/($F22/G$21)</f>
        <v>0.3940538947</v>
      </c>
      <c r="H22" s="132">
        <f>Ending_Balance/($F22/H$21)</f>
        <v>0.4296491663</v>
      </c>
      <c r="I22" s="132">
        <f>Ending_Balance/($F22/I$21)</f>
        <v>0.4652444379</v>
      </c>
      <c r="J22" s="132">
        <f>Ending_Balance/($F22/J$21)</f>
        <v>0.5008397095</v>
      </c>
      <c r="K22" s="132">
        <f>Ending_Balance/($F22/K$21)</f>
        <v>0.5364349811</v>
      </c>
      <c r="L22" s="132">
        <f>Ending_Balance/($F22/L$21)</f>
        <v>0.5720302527</v>
      </c>
      <c r="M22" s="132">
        <f>Ending_Balance/($F22/M$21)</f>
        <v>0.6076255243</v>
      </c>
      <c r="N22" s="136">
        <f>$F22*($N$21/Ending_Balance)</f>
        <v>0.1053510714</v>
      </c>
      <c r="O22" s="46"/>
      <c r="P22" s="4"/>
      <c r="Q22" s="4"/>
      <c r="R22" s="4"/>
      <c r="S22" s="4"/>
      <c r="T22" s="4"/>
      <c r="U22" s="4"/>
      <c r="V22" s="4"/>
      <c r="W22" s="4"/>
      <c r="X22" s="4"/>
    </row>
    <row r="23" ht="12.75" customHeight="1">
      <c r="A23" s="133" t="s">
        <v>191</v>
      </c>
      <c r="B23" s="104">
        <f>refi_amortization</f>
        <v>30</v>
      </c>
      <c r="C23" s="127"/>
      <c r="D23" s="127"/>
      <c r="E23" s="114">
        <f t="shared" si="5"/>
        <v>0.02</v>
      </c>
      <c r="F23" s="112">
        <f>(Initial_NOI*(1+E23)^Term_Fixed_Period)</f>
        <v>152782.7015</v>
      </c>
      <c r="G23" s="132">
        <f>Ending_Balance/($F23/G$21)</f>
        <v>0.4137527459</v>
      </c>
      <c r="H23" s="132">
        <f>Ending_Balance/($F23/H$21)</f>
        <v>0.4511274339</v>
      </c>
      <c r="I23" s="132">
        <f>Ending_Balance/($F23/I$21)</f>
        <v>0.4885021218</v>
      </c>
      <c r="J23" s="132">
        <f>Ending_Balance/($F23/J$21)</f>
        <v>0.5258768098</v>
      </c>
      <c r="K23" s="132">
        <f>Ending_Balance/($F23/K$21)</f>
        <v>0.5632514978</v>
      </c>
      <c r="L23" s="132">
        <f>Ending_Balance/($F23/L$21)</f>
        <v>0.6006261858</v>
      </c>
      <c r="M23" s="132">
        <f>Ending_Balance/($F23/M$21)</f>
        <v>0.6380008738</v>
      </c>
      <c r="N23" s="136">
        <f>$F23*($N$21/Ending_Balance)</f>
        <v>0.1003352858</v>
      </c>
      <c r="O23" s="46"/>
      <c r="P23" s="4"/>
      <c r="Q23" s="4"/>
      <c r="R23" s="4"/>
      <c r="S23" s="4"/>
      <c r="T23" s="4"/>
      <c r="U23" s="4"/>
      <c r="V23" s="4"/>
      <c r="W23" s="4"/>
      <c r="X23" s="4"/>
    </row>
    <row r="24" ht="12.75" customHeight="1">
      <c r="A24" s="133" t="s">
        <v>192</v>
      </c>
      <c r="B24" s="116">
        <f>Pay_Rate</f>
        <v>0.0465</v>
      </c>
      <c r="C24" s="127"/>
      <c r="D24" s="4"/>
      <c r="E24" s="114">
        <f t="shared" si="5"/>
        <v>0.01</v>
      </c>
      <c r="F24" s="112">
        <f>(Initial_NOI*(1+E24)^Term_Fixed_Period)</f>
        <v>145438.7707</v>
      </c>
      <c r="G24" s="132">
        <f>Ending_Balance/($F24/G$21)</f>
        <v>0.434645191</v>
      </c>
      <c r="H24" s="132">
        <f>Ending_Balance/($F24/H$21)</f>
        <v>0.4739071139</v>
      </c>
      <c r="I24" s="132">
        <f>Ending_Balance/($F24/I$21)</f>
        <v>0.5131690368</v>
      </c>
      <c r="J24" s="132">
        <f>Ending_Balance/($F24/J$21)</f>
        <v>0.5524309597</v>
      </c>
      <c r="K24" s="132">
        <f>Ending_Balance/($F24/K$21)</f>
        <v>0.5916928825</v>
      </c>
      <c r="L24" s="132">
        <f>Ending_Balance/($F24/L$21)</f>
        <v>0.6309548054</v>
      </c>
      <c r="M24" s="132">
        <f>Ending_Balance/($F24/M$21)</f>
        <v>0.6702167283</v>
      </c>
      <c r="N24" s="136">
        <f>$F24*($N$21/Ending_Balance)</f>
        <v>0.09551238771</v>
      </c>
      <c r="O24" s="46"/>
      <c r="P24" s="4"/>
      <c r="Q24" s="4"/>
      <c r="R24" s="4"/>
      <c r="S24" s="4"/>
      <c r="T24" s="4"/>
      <c r="U24" s="4"/>
      <c r="V24" s="4"/>
      <c r="W24" s="4"/>
      <c r="X24" s="4"/>
    </row>
    <row r="25" ht="12.75" customHeight="1">
      <c r="A25" s="133" t="s">
        <v>193</v>
      </c>
      <c r="B25" s="137">
        <v>0.75</v>
      </c>
      <c r="C25" s="4"/>
      <c r="D25" s="138"/>
      <c r="E25" s="114">
        <f t="shared" si="5"/>
        <v>0</v>
      </c>
      <c r="F25" s="112">
        <f>(Initial_NOI*(1+E25)^Term_Fixed_Period)</f>
        <v>138380</v>
      </c>
      <c r="G25" s="132">
        <f>Ending_Balance/($F25/G$21)</f>
        <v>0.456816464</v>
      </c>
      <c r="H25" s="132">
        <f>Ending_Balance/($F25/H$21)</f>
        <v>0.4980811395</v>
      </c>
      <c r="I25" s="132">
        <f>Ending_Balance/($F25/I$21)</f>
        <v>0.5393458151</v>
      </c>
      <c r="J25" s="132">
        <f>Ending_Balance/($F25/J$21)</f>
        <v>0.5806104906</v>
      </c>
      <c r="K25" s="132">
        <f>Ending_Balance/($F25/K$21)</f>
        <v>0.6218751661</v>
      </c>
      <c r="L25" s="132">
        <f>Ending_Balance/($F25/L$21)</f>
        <v>0.6631398416</v>
      </c>
      <c r="M25" s="132">
        <f>Ending_Balance/($F25/M$21)</f>
        <v>0.7044045172</v>
      </c>
      <c r="N25" s="136">
        <f>$F25*($N$21/Ending_Balance)</f>
        <v>0.09087675964</v>
      </c>
      <c r="O25" s="46"/>
      <c r="P25" s="4"/>
      <c r="Q25" s="4"/>
      <c r="R25" s="4"/>
      <c r="S25" s="4"/>
      <c r="T25" s="4"/>
      <c r="U25" s="4"/>
      <c r="V25" s="4"/>
      <c r="W25" s="4"/>
      <c r="X25" s="4"/>
    </row>
    <row r="26" ht="12.75" customHeight="1">
      <c r="A26" s="133" t="s">
        <v>194</v>
      </c>
      <c r="B26" s="139">
        <v>1.15</v>
      </c>
      <c r="C26" s="4"/>
      <c r="D26" s="138"/>
      <c r="E26" s="114">
        <f t="shared" si="5"/>
        <v>-0.01</v>
      </c>
      <c r="F26" s="112">
        <f>(Initial_NOI*(1+E26)^Term_Fixed_Period)</f>
        <v>131598.0031</v>
      </c>
      <c r="G26" s="132">
        <f>Ending_Balance/($F26/G$21)</f>
        <v>0.4803588261</v>
      </c>
      <c r="H26" s="132">
        <f>Ending_Balance/($F26/H$21)</f>
        <v>0.5237501061</v>
      </c>
      <c r="I26" s="132">
        <f>Ending_Balance/($F26/I$21)</f>
        <v>0.5671413861</v>
      </c>
      <c r="J26" s="132">
        <f>Ending_Balance/($F26/J$21)</f>
        <v>0.6105326661</v>
      </c>
      <c r="K26" s="132">
        <f>Ending_Balance/($F26/K$21)</f>
        <v>0.6539239461</v>
      </c>
      <c r="L26" s="132">
        <f>Ending_Balance/($F26/L$21)</f>
        <v>0.6973152261</v>
      </c>
      <c r="M26" s="132">
        <f>Ending_Balance/($F26/M$21)</f>
        <v>0.7407065061</v>
      </c>
      <c r="N26" s="136">
        <f>$F26*($N$21/Ending_Balance)</f>
        <v>0.08642289419</v>
      </c>
      <c r="O26" s="46"/>
      <c r="P26" s="4"/>
      <c r="Q26" s="4"/>
      <c r="R26" s="4"/>
      <c r="S26" s="4"/>
      <c r="T26" s="4"/>
      <c r="U26" s="4"/>
      <c r="V26" s="4"/>
      <c r="W26" s="4"/>
      <c r="X26" s="4"/>
    </row>
    <row r="27" ht="12.75" customHeight="1">
      <c r="A27" s="4"/>
      <c r="B27" s="4"/>
      <c r="C27" s="4"/>
      <c r="D27" s="34"/>
      <c r="E27" s="114">
        <f t="shared" si="5"/>
        <v>-0.02</v>
      </c>
      <c r="F27" s="112">
        <f>(Initial_NOI*(1+E27)^Term_Fixed_Period)</f>
        <v>125084.5599</v>
      </c>
      <c r="G27" s="132">
        <f>Ending_Balance/($F27/G$21)</f>
        <v>0.5053722247</v>
      </c>
      <c r="H27" s="132">
        <f>Ending_Balance/($F27/H$21)</f>
        <v>0.5510229893</v>
      </c>
      <c r="I27" s="132">
        <f>Ending_Balance/($F27/I$21)</f>
        <v>0.5966737539</v>
      </c>
      <c r="J27" s="132">
        <f>Ending_Balance/($F27/J$21)</f>
        <v>0.6423245185</v>
      </c>
      <c r="K27" s="132">
        <f>Ending_Balance/($F27/K$21)</f>
        <v>0.6879752831</v>
      </c>
      <c r="L27" s="132">
        <f>Ending_Balance/($F27/L$21)</f>
        <v>0.7336260478</v>
      </c>
      <c r="M27" s="132">
        <f>Ending_Balance/($F27/M$21)</f>
        <v>0.7792768124</v>
      </c>
      <c r="N27" s="136">
        <f>$F27*($N$21/Ending_Balance)</f>
        <v>0.08214539299</v>
      </c>
      <c r="O27" s="46"/>
      <c r="P27" s="4"/>
      <c r="Q27" s="4"/>
      <c r="R27" s="4"/>
      <c r="S27" s="4"/>
      <c r="T27" s="4"/>
      <c r="U27" s="4"/>
      <c r="V27" s="4"/>
      <c r="W27" s="4"/>
      <c r="X27" s="4"/>
    </row>
    <row r="28" ht="12.75" customHeight="1">
      <c r="A28" s="4"/>
      <c r="B28" s="4"/>
      <c r="C28" s="4"/>
      <c r="D28" s="140"/>
      <c r="E28" s="114">
        <f t="shared" si="5"/>
        <v>-0.03</v>
      </c>
      <c r="F28" s="112">
        <f>(Initial_NOI*(1+E28)^Term_Fixed_Period)</f>
        <v>118831.6145</v>
      </c>
      <c r="G28" s="141">
        <f>Ending_Balance/($F28/G$21)</f>
        <v>0.531965021</v>
      </c>
      <c r="H28" s="141">
        <f>Ending_Balance/($F28/H$21)</f>
        <v>0.5800179388</v>
      </c>
      <c r="I28" s="141">
        <f>Ending_Balance/($F28/I$21)</f>
        <v>0.6280708565</v>
      </c>
      <c r="J28" s="141">
        <f>Ending_Balance/($F28/J$21)</f>
        <v>0.6761237743</v>
      </c>
      <c r="K28" s="141">
        <f>Ending_Balance/($F28/K$21)</f>
        <v>0.7241766921</v>
      </c>
      <c r="L28" s="141">
        <f>Ending_Balance/($F28/L$21)</f>
        <v>0.7722296099</v>
      </c>
      <c r="M28" s="141">
        <f>Ending_Balance/($F28/M$21)</f>
        <v>0.8202825276</v>
      </c>
      <c r="N28" s="142">
        <f>$F28*($N$21/Ending_Balance)</f>
        <v>0.07803896565</v>
      </c>
      <c r="O28" s="46"/>
      <c r="P28" s="4"/>
      <c r="Q28" s="4"/>
      <c r="R28" s="4"/>
      <c r="S28" s="4"/>
      <c r="T28" s="4"/>
      <c r="U28" s="4"/>
      <c r="V28" s="4"/>
      <c r="W28" s="4"/>
      <c r="X28" s="4"/>
    </row>
    <row r="29" ht="12.75" customHeight="1">
      <c r="A29" s="4"/>
      <c r="B29" s="4"/>
      <c r="C29" s="4"/>
      <c r="D29" s="143"/>
      <c r="E29" s="144" t="s">
        <v>179</v>
      </c>
      <c r="F29" s="80"/>
      <c r="G29" s="80"/>
      <c r="H29" s="80"/>
      <c r="I29" s="80"/>
      <c r="J29" s="80"/>
      <c r="K29" s="80"/>
      <c r="L29" s="80"/>
      <c r="M29" s="80"/>
      <c r="N29" s="80"/>
      <c r="O29" s="145"/>
      <c r="P29" s="4"/>
      <c r="Q29" s="4"/>
      <c r="R29" s="4"/>
      <c r="S29" s="4"/>
      <c r="T29" s="4"/>
      <c r="U29" s="4"/>
      <c r="V29" s="4"/>
      <c r="W29" s="4"/>
      <c r="X29" s="4"/>
    </row>
    <row r="30" ht="5.25" customHeight="1">
      <c r="A30" s="4"/>
      <c r="B30" s="4"/>
      <c r="C30" s="4"/>
      <c r="D30" s="14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2.75" customHeight="1">
      <c r="A31" s="146" t="s">
        <v>195</v>
      </c>
      <c r="B31" s="147" t="s">
        <v>196</v>
      </c>
      <c r="C31" s="148" t="s">
        <v>197</v>
      </c>
      <c r="D31" s="143"/>
      <c r="E31" s="146" t="s">
        <v>198</v>
      </c>
      <c r="F31" s="23"/>
      <c r="G31" s="84"/>
      <c r="H31" s="23"/>
      <c r="I31" s="23"/>
      <c r="J31" s="23"/>
      <c r="K31" s="23"/>
      <c r="L31" s="23"/>
      <c r="M31" s="23"/>
      <c r="N31" s="23"/>
      <c r="O31" s="149"/>
      <c r="P31" s="150" t="b">
        <f>IF(OR(Initial_Int_Only_Period&gt;0,Pay_Rate&lt;&gt;Amo_Rate),TRUE,FALSE)</f>
        <v>0</v>
      </c>
      <c r="Q31" s="4"/>
      <c r="R31" s="4"/>
      <c r="S31" s="4"/>
      <c r="T31" s="4"/>
      <c r="U31" s="4"/>
      <c r="V31" s="4"/>
      <c r="W31" s="4"/>
      <c r="X31" s="4"/>
    </row>
    <row r="32" ht="12.75" customHeight="1">
      <c r="A32" s="96" t="s">
        <v>199</v>
      </c>
      <c r="B32" s="7" t="s">
        <v>200</v>
      </c>
      <c r="C32" s="151">
        <f>IFERROR(CUMPRINC(Amo_Rate/12,Amortization*12,Loan_Amount,1,Term_Fixed_Period*12-Initial_Int_Only_Period*12,0)*-1,0)</f>
        <v>107958.84</v>
      </c>
      <c r="D32" s="4"/>
      <c r="E32" s="99"/>
      <c r="F32" s="143"/>
      <c r="G32" s="143"/>
      <c r="H32" s="4"/>
      <c r="I32" s="4"/>
      <c r="J32" s="4"/>
      <c r="K32" s="4"/>
      <c r="L32" s="4"/>
      <c r="M32" s="4"/>
      <c r="N32" s="4"/>
      <c r="O32" s="46"/>
      <c r="P32" s="4"/>
      <c r="Q32" s="4"/>
      <c r="R32" s="4"/>
      <c r="S32" s="4"/>
      <c r="T32" s="4"/>
      <c r="U32" s="4"/>
      <c r="V32" s="4"/>
      <c r="W32" s="4"/>
      <c r="X32" s="4"/>
    </row>
    <row r="33" ht="12.75" customHeight="1">
      <c r="A33" s="96" t="s">
        <v>201</v>
      </c>
      <c r="B33" s="143">
        <f>Loan_Amount</f>
        <v>1250000</v>
      </c>
      <c r="C33" s="151">
        <f>+Loan_Amount-Principal_Reduction</f>
        <v>1142041.16</v>
      </c>
      <c r="D33" s="4"/>
      <c r="E33" s="152" t="s">
        <v>202</v>
      </c>
      <c r="F33" s="4"/>
      <c r="G33" s="4"/>
      <c r="H33" s="4"/>
      <c r="I33" s="153" t="s">
        <v>203</v>
      </c>
      <c r="J33" s="4"/>
      <c r="K33" s="154" t="s">
        <v>204</v>
      </c>
      <c r="M33" s="4"/>
      <c r="N33" s="4"/>
      <c r="O33" s="46"/>
      <c r="P33" s="4"/>
      <c r="Q33" s="4"/>
      <c r="R33" s="4"/>
      <c r="S33" s="4"/>
      <c r="T33" s="4"/>
      <c r="U33" s="4"/>
      <c r="V33" s="4"/>
      <c r="W33" s="4"/>
      <c r="X33" s="4"/>
    </row>
    <row r="34" ht="12.75" customHeight="1">
      <c r="A34" s="96" t="s">
        <v>205</v>
      </c>
      <c r="B34" s="143">
        <f>Pay_Rate*Loan_Amount+IF(Amo_Rate=0,0,IFERROR(PPMT(Amo_Rate/12,1,Amortization*12,-Loan_Amount),0)*12)</f>
        <v>77345.52125</v>
      </c>
      <c r="C34" s="151">
        <f>Pay_Rate*Ending_Balance+IF(Amo_Rate=0,0,IFERROR(PPMT(Amo_Rate/12,1,Amortization*12,-Loan_Amount),0)*12)</f>
        <v>72325.43519</v>
      </c>
      <c r="D34" s="143"/>
      <c r="E34" s="155"/>
      <c r="F34" s="4" t="str">
        <f>"Min. "&amp;TEXT(Min_Refi_DSCR,"0.00x")&amp;" DSCR"</f>
        <v>Min. 1.20x DSCR</v>
      </c>
      <c r="G34" s="4"/>
      <c r="H34" s="156">
        <f>RATE(refi_amortization*12,-Initial_NOI/Min_Refi_DSCR/12,Ending_Balance)*12</f>
        <v>0.09508185279</v>
      </c>
      <c r="K34" s="157">
        <f>(H34-IF(B19="Proposed Int. Rate",Pay_Rate,Policy_Floor_Rate))*10000</f>
        <v>485.8185279</v>
      </c>
      <c r="M34" s="4"/>
      <c r="N34" s="4"/>
      <c r="O34" s="46"/>
      <c r="P34" s="4"/>
      <c r="Q34" s="4"/>
      <c r="R34" s="4"/>
      <c r="S34" s="4"/>
      <c r="T34" s="4"/>
      <c r="U34" s="4"/>
      <c r="V34" s="4"/>
      <c r="W34" s="4"/>
      <c r="X34" s="4"/>
    </row>
    <row r="35" ht="12.75" customHeight="1">
      <c r="A35" s="96" t="s">
        <v>206</v>
      </c>
      <c r="B35" s="138">
        <f>Initial_NOI/Annual_Debt_Service</f>
        <v>1.789114583</v>
      </c>
      <c r="C35" s="158">
        <f>Initial_NOI/C34</f>
        <v>1.913296472</v>
      </c>
      <c r="D35" s="143"/>
      <c r="E35" s="155"/>
      <c r="F35" s="4"/>
      <c r="G35" s="4"/>
      <c r="H35" s="4"/>
      <c r="I35" s="153" t="s">
        <v>207</v>
      </c>
      <c r="J35" s="4"/>
      <c r="K35" s="154" t="s">
        <v>204</v>
      </c>
      <c r="M35" s="4"/>
      <c r="N35" s="4"/>
      <c r="O35" s="46"/>
      <c r="P35" s="4"/>
      <c r="Q35" s="4"/>
      <c r="R35" s="4"/>
      <c r="S35" s="4"/>
      <c r="T35" s="4"/>
      <c r="U35" s="4"/>
      <c r="V35" s="4"/>
      <c r="W35" s="4"/>
      <c r="X35" s="4"/>
    </row>
    <row r="36" ht="12.75" customHeight="1">
      <c r="A36" s="96" t="str">
        <f>"DSCR on Refi. Rate ("&amp;TEXT(Policy_Floor_Rate,"0.00%")&amp;")"</f>
        <v>DSCR on Refi. Rate (5.15%)</v>
      </c>
      <c r="B36" s="138">
        <f>Initial_NOI/(PMT(Policy_Floor_Rate/12,refi_amortization*12,-Loan_Amount)*12)</f>
        <v>1.689540337</v>
      </c>
      <c r="C36" s="158">
        <f>Initial_NOI/(PMT(Policy_Floor_Rate/12,refi_amortization*12,-Ending_Balance)*12)</f>
        <v>1.849255084</v>
      </c>
      <c r="D36" s="154"/>
      <c r="E36" s="155"/>
      <c r="F36" s="159" t="str">
        <f>"Max. "&amp;TEXT(Max_Refi_LTV,"0%")&amp;" LTV"</f>
        <v>Max. 75% LTV</v>
      </c>
      <c r="G36" s="159"/>
      <c r="H36" s="160">
        <f>Initial_NOI*(Max_Refi_LTV/Ending_Balance)</f>
        <v>0.09087675964</v>
      </c>
      <c r="K36" s="161">
        <f>(H36-Initial_Cap_Rate)*10000</f>
        <v>355.2475964</v>
      </c>
      <c r="M36" s="4"/>
      <c r="N36" s="4"/>
      <c r="O36" s="46"/>
      <c r="P36" s="4"/>
      <c r="Q36" s="4"/>
      <c r="R36" s="4"/>
      <c r="S36" s="4"/>
      <c r="T36" s="4"/>
      <c r="U36" s="4"/>
      <c r="V36" s="4"/>
      <c r="W36" s="4"/>
      <c r="X36" s="4"/>
    </row>
    <row r="37" ht="12.75" customHeight="1">
      <c r="A37" s="96" t="s">
        <v>208</v>
      </c>
      <c r="B37" s="34">
        <f>Loan_Amount/Valuation</f>
        <v>0.5</v>
      </c>
      <c r="C37" s="162">
        <f>Ending_Balance/C39</f>
        <v>0.456816464</v>
      </c>
      <c r="D37" s="156"/>
      <c r="E37" s="163" t="str">
        <f>"Assuming no change in NOI, the subject will support a hypothetical refinance in "&amp;Term_Fixed_Period&amp;" years (DSCR≥"&amp;TEXT(Min_Refi_DSCR,"0.00x")&amp;"/LTV≤"&amp;TEXT(Max_Refi_LTV,"0%")&amp;") provided the refinance rate remains below "&amp;TEXT(H34,"0.00%")&amp;" (a "&amp;TEXT(K34,"0")&amp;" bp change) and the cap rate remains below "&amp;TEXT(H36,"0.00%")&amp;" (a "&amp;TEXT(K36,"0")&amp;" bp change)."</f>
        <v>Assuming no change in NOI, the subject will support a hypothetical refinance in 5 years (DSCR≥1.20x/LTV≤75%) provided the refinance rate remains below 9.51% (a 486 bp change) and the cap rate remains below 9.09% (a 355 bp change).</v>
      </c>
      <c r="O37" s="164"/>
      <c r="P37" s="4"/>
      <c r="Q37" s="4"/>
      <c r="R37" s="4"/>
      <c r="S37" s="4"/>
      <c r="T37" s="4"/>
      <c r="U37" s="4"/>
      <c r="V37" s="4"/>
      <c r="W37" s="4"/>
      <c r="X37" s="4"/>
    </row>
    <row r="38">
      <c r="A38" s="96" t="s">
        <v>140</v>
      </c>
      <c r="B38" s="34">
        <f>+Initial_NOI/Loan_Amount</f>
        <v>0.110704</v>
      </c>
      <c r="C38" s="162">
        <f>+Initial_NOI/Ending_Balance</f>
        <v>0.1211690129</v>
      </c>
      <c r="D38" s="154"/>
      <c r="E38" s="165"/>
      <c r="O38" s="164"/>
      <c r="P38" s="4"/>
      <c r="Q38" s="4"/>
      <c r="R38" s="4"/>
      <c r="S38" s="4"/>
      <c r="T38" s="4"/>
      <c r="U38" s="4"/>
      <c r="V38" s="4"/>
      <c r="W38" s="4"/>
      <c r="X38" s="4"/>
    </row>
    <row r="39">
      <c r="A39" s="166" t="s">
        <v>209</v>
      </c>
      <c r="B39" s="167">
        <f>Initial_NOI/Initial_Cap_Rate</f>
        <v>2500000</v>
      </c>
      <c r="C39" s="168">
        <f>Initial_NOI/Initial_Cap_Rate</f>
        <v>2500000</v>
      </c>
      <c r="D39" s="156"/>
      <c r="E39" s="169"/>
      <c r="F39" s="103"/>
      <c r="G39" s="103"/>
      <c r="H39" s="103"/>
      <c r="I39" s="103"/>
      <c r="J39" s="103"/>
      <c r="K39" s="103"/>
      <c r="L39" s="103"/>
      <c r="M39" s="103"/>
      <c r="N39" s="103"/>
      <c r="O39" s="49"/>
      <c r="P39" s="4"/>
      <c r="Q39" s="4"/>
      <c r="R39" s="4"/>
      <c r="S39" s="4"/>
      <c r="T39" s="4"/>
      <c r="U39" s="4"/>
      <c r="V39" s="4"/>
      <c r="W39" s="4"/>
      <c r="X39" s="4"/>
    </row>
    <row r="40" ht="16.5" customHeight="1">
      <c r="A40" s="4"/>
      <c r="B40" s="4"/>
      <c r="C40" s="4"/>
      <c r="D40" s="14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2.75" customHeight="1">
      <c r="A41" s="170" t="s">
        <v>210</v>
      </c>
      <c r="B41" s="23"/>
      <c r="C41" s="23"/>
      <c r="D41" s="171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"/>
      <c r="P41" s="4"/>
      <c r="Q41" s="4"/>
      <c r="R41" s="4"/>
      <c r="S41" s="4"/>
      <c r="T41" s="4"/>
      <c r="U41" s="4"/>
      <c r="V41" s="4"/>
      <c r="W41" s="4"/>
      <c r="X41" s="4"/>
    </row>
    <row r="42" ht="23.25" customHeight="1">
      <c r="A42" s="172" t="s">
        <v>211</v>
      </c>
      <c r="O42" s="173"/>
      <c r="P42" s="4"/>
      <c r="Q42" s="4"/>
      <c r="R42" s="4"/>
      <c r="S42" s="4"/>
      <c r="T42" s="4"/>
      <c r="U42" s="4"/>
      <c r="V42" s="4"/>
      <c r="W42" s="4"/>
      <c r="X42" s="4"/>
    </row>
    <row r="43" ht="12.75" customHeight="1">
      <c r="A43" s="155" t="s">
        <v>212</v>
      </c>
      <c r="B43" s="21" t="s">
        <v>213</v>
      </c>
      <c r="C43" s="174" t="s">
        <v>214</v>
      </c>
      <c r="D43" s="175"/>
      <c r="E43" s="4"/>
      <c r="F43" s="4"/>
      <c r="G43" s="4"/>
      <c r="H43" s="4"/>
      <c r="I43" s="4"/>
      <c r="J43" s="4"/>
      <c r="K43" s="4"/>
      <c r="L43" s="4"/>
      <c r="M43" s="4"/>
      <c r="N43" s="4"/>
      <c r="O43" s="46"/>
      <c r="P43" s="4"/>
      <c r="Q43" s="4"/>
      <c r="R43" s="4"/>
      <c r="S43" s="4"/>
      <c r="T43" s="4"/>
      <c r="U43" s="4"/>
      <c r="V43" s="4"/>
      <c r="W43" s="4"/>
      <c r="X43" s="4"/>
    </row>
    <row r="44" ht="12.75" customHeight="1">
      <c r="A44" s="155" t="s">
        <v>215</v>
      </c>
      <c r="B44" s="176" t="str">
        <f>TRIM(IF(Initial_Int_Only_Period&gt;0,Initial_Int_Only_Period&amp;" years IO","")&amp;" "&amp;IF(Amo_Rate&lt;&gt;Pay_Rate,CHAR(10)&amp;"Custom amo. rate",""))</f>
        <v/>
      </c>
      <c r="C44" s="177" t="s">
        <v>26</v>
      </c>
      <c r="D44" s="175"/>
      <c r="E44" s="4"/>
      <c r="F44" s="4"/>
      <c r="G44" s="4"/>
      <c r="H44" s="4"/>
      <c r="I44" s="4"/>
      <c r="J44" s="4"/>
      <c r="K44" s="4"/>
      <c r="L44" s="4"/>
      <c r="M44" s="4"/>
      <c r="N44" s="4"/>
      <c r="O44" s="46"/>
      <c r="P44" s="4"/>
      <c r="Q44" s="4"/>
      <c r="R44" s="4"/>
      <c r="S44" s="4"/>
      <c r="T44" s="4"/>
      <c r="U44" s="4"/>
      <c r="V44" s="4"/>
      <c r="W44" s="4"/>
      <c r="X44" s="4"/>
    </row>
    <row r="45" ht="12.75" customHeight="1">
      <c r="A45" s="155" t="s">
        <v>164</v>
      </c>
      <c r="B45" s="178">
        <f>Loan_Amount</f>
        <v>1250000</v>
      </c>
      <c r="C45" s="178">
        <f>MIN(Valuation*Traditional_max._LTV,Initial_NOI/(PMT(Traditional_rate/12,Traditional_amortization*12,-1)*12*Traditional_min._DSCR))</f>
        <v>1875000</v>
      </c>
      <c r="D45" s="175"/>
      <c r="E45" s="4"/>
      <c r="F45" s="4"/>
      <c r="G45" s="4"/>
      <c r="H45" s="4"/>
      <c r="I45" s="4"/>
      <c r="J45" s="4"/>
      <c r="K45" s="4"/>
      <c r="L45" s="4"/>
      <c r="M45" s="4"/>
      <c r="N45" s="4"/>
      <c r="O45" s="46"/>
      <c r="P45" s="4"/>
      <c r="Q45" s="4"/>
      <c r="R45" s="4"/>
      <c r="S45" s="4"/>
      <c r="T45" s="4"/>
      <c r="U45" s="4"/>
      <c r="V45" s="4"/>
      <c r="W45" s="4"/>
      <c r="X45" s="4"/>
    </row>
    <row r="46" ht="12.75" customHeight="1">
      <c r="A46" s="155" t="s">
        <v>216</v>
      </c>
      <c r="B46" s="179" t="str">
        <f>TEXT(B45/Valuation,"0%")&amp;"/"&amp;TEXT(Initial_NOI/Annual_Debt_Service,"0.00")&amp;"x"&amp;"/"&amp;TEXT(Initial_NOI/B45,"0.0%")</f>
        <v>50%/1.79x/11.1%</v>
      </c>
      <c r="C46" s="179" t="str">
        <f>TEXT(C45/Valuation,"0%")&amp;"/"&amp;TEXT(Initial_NOI/(PMT(Traditional_rate/12,Traditional_amortization*12,-C45)*12),"0.00")&amp;"x"&amp;"/"&amp;TEXT(Initial_NOI/C45,"0.0%")</f>
        <v>75%/1.19x/7.4%</v>
      </c>
      <c r="D46" s="180"/>
      <c r="E46" s="180"/>
      <c r="F46" s="180"/>
      <c r="G46" s="180"/>
      <c r="H46" s="180"/>
      <c r="I46" s="180"/>
      <c r="J46" s="180"/>
      <c r="K46" s="180"/>
      <c r="L46" s="180"/>
      <c r="M46" s="4"/>
      <c r="N46" s="4"/>
      <c r="O46" s="46"/>
      <c r="P46" s="4"/>
      <c r="Q46" s="4"/>
      <c r="R46" s="4"/>
      <c r="S46" s="4"/>
      <c r="T46" s="4"/>
      <c r="U46" s="4"/>
      <c r="V46" s="4"/>
      <c r="W46" s="4"/>
      <c r="X46" s="4"/>
    </row>
    <row r="47" ht="12.75" customHeight="1">
      <c r="A47" s="155" t="s">
        <v>217</v>
      </c>
      <c r="B47" s="178">
        <f>ROUND(B48-B45,0)</f>
        <v>0</v>
      </c>
      <c r="C47" s="177" t="s">
        <v>218</v>
      </c>
      <c r="D47" s="175"/>
      <c r="E47" s="4"/>
      <c r="F47" s="4"/>
      <c r="G47" s="4"/>
      <c r="H47" s="4"/>
      <c r="I47" s="4"/>
      <c r="J47" s="4"/>
      <c r="K47" s="4"/>
      <c r="L47" s="4"/>
      <c r="M47" s="4"/>
      <c r="N47" s="4"/>
      <c r="O47" s="46"/>
      <c r="P47" s="4"/>
      <c r="Q47" s="4"/>
      <c r="R47" s="4"/>
      <c r="S47" s="4"/>
      <c r="T47" s="4"/>
      <c r="U47" s="4"/>
      <c r="V47" s="4"/>
      <c r="W47" s="4"/>
      <c r="X47" s="4"/>
    </row>
    <row r="48" ht="12.75" customHeight="1">
      <c r="A48" s="155" t="s">
        <v>219</v>
      </c>
      <c r="B48" s="178">
        <f>PV(IF(Amo_Rate=0,Pay_Rate,Amo_Rate)/12,
(IF(Amortization=0,30,Amortization+Initial_Int_Only_Period))*12,
PMT(IF(Amo_Rate=0,Pay_Rate,Amo_Rate)/12,IF(Amortization=0,30-Initial_Int_Only_Period,Amortization)*12,
Loan_Amount))</f>
        <v>1250000</v>
      </c>
      <c r="C48" s="178">
        <f>C45</f>
        <v>1875000</v>
      </c>
      <c r="D48" s="175"/>
      <c r="E48" s="4"/>
      <c r="F48" s="4"/>
      <c r="G48" s="4"/>
      <c r="H48" s="4"/>
      <c r="I48" s="4"/>
      <c r="J48" s="4"/>
      <c r="K48" s="4"/>
      <c r="L48" s="4"/>
      <c r="M48" s="4"/>
      <c r="N48" s="4"/>
      <c r="O48" s="46"/>
      <c r="P48" s="4"/>
      <c r="Q48" s="4"/>
      <c r="R48" s="4"/>
      <c r="S48" s="4"/>
      <c r="T48" s="4"/>
      <c r="U48" s="4"/>
      <c r="V48" s="4"/>
      <c r="W48" s="4"/>
      <c r="X48" s="4"/>
    </row>
    <row r="49" ht="12.75" customHeight="1">
      <c r="A49" s="155" t="s">
        <v>220</v>
      </c>
      <c r="B49" s="178">
        <f>Ending_Balance</f>
        <v>1142041.16</v>
      </c>
      <c r="C49" s="178">
        <f>C45+CUMPRINC(Traditional_rate/12,Traditional_amortization*12,C45,1,(Term_Fixed_Period)*12,0)</f>
        <v>1713061.74</v>
      </c>
      <c r="D49" s="175"/>
      <c r="E49" s="4"/>
      <c r="F49" s="4"/>
      <c r="G49" s="4"/>
      <c r="H49" s="4"/>
      <c r="I49" s="4"/>
      <c r="J49" s="4"/>
      <c r="K49" s="4"/>
      <c r="L49" s="4"/>
      <c r="M49" s="4"/>
      <c r="N49" s="4"/>
      <c r="O49" s="46"/>
      <c r="P49" s="4"/>
      <c r="Q49" s="4"/>
      <c r="R49" s="4"/>
      <c r="S49" s="4"/>
      <c r="T49" s="4"/>
      <c r="U49" s="4"/>
      <c r="V49" s="4"/>
      <c r="W49" s="4"/>
      <c r="X49" s="4"/>
    </row>
    <row r="50" ht="12.75" customHeight="1">
      <c r="A50" s="181" t="s">
        <v>221</v>
      </c>
      <c r="B50" s="179" t="str">
        <f>TEXT(B49/Valuation,"0%")&amp;"/"&amp;TEXT(Initial_NOI/(PMT(Policy_Floor_Rate/12,refi_amortization*12,-B49)*12),"0.00")&amp;"x"&amp;"/"&amp;TEXT(Initial_NOI/B49,"0.0%")</f>
        <v>46%/1.85x/12.1%</v>
      </c>
      <c r="C50" s="179" t="str">
        <f>TEXT(C49/Valuation,"0%")&amp;"/"&amp;TEXT(Initial_NOI/(PMT(Policy_Floor_Rate/12,refi_amortization*12,-C49)*12),"0.00")&amp;"x"&amp;"/"&amp;TEXT(Initial_NOI/C49,"0.0%")</f>
        <v>69%/1.23x/8.1%</v>
      </c>
      <c r="D50" s="175"/>
      <c r="E50" s="4"/>
      <c r="F50" s="4"/>
      <c r="G50" s="4"/>
      <c r="H50" s="4"/>
      <c r="I50" s="4"/>
      <c r="J50" s="4"/>
      <c r="K50" s="4"/>
      <c r="L50" s="4"/>
      <c r="M50" s="4"/>
      <c r="N50" s="4"/>
      <c r="O50" s="46"/>
      <c r="P50" s="4"/>
      <c r="Q50" s="4"/>
      <c r="R50" s="4"/>
      <c r="S50" s="4"/>
      <c r="T50" s="4"/>
      <c r="U50" s="4"/>
      <c r="V50" s="4"/>
      <c r="W50" s="4"/>
      <c r="X50" s="4"/>
    </row>
    <row r="51" ht="12.75" customHeight="1">
      <c r="A51" s="165"/>
      <c r="B51" s="179"/>
      <c r="C51" s="179"/>
      <c r="D51" s="175"/>
      <c r="E51" s="4"/>
      <c r="F51" s="4"/>
      <c r="G51" s="4"/>
      <c r="H51" s="4"/>
      <c r="I51" s="4"/>
      <c r="J51" s="4"/>
      <c r="K51" s="4"/>
      <c r="L51" s="4"/>
      <c r="M51" s="4"/>
      <c r="N51" s="4"/>
      <c r="O51" s="46"/>
      <c r="P51" s="4"/>
      <c r="Q51" s="4"/>
      <c r="R51" s="4"/>
      <c r="S51" s="4"/>
      <c r="T51" s="4"/>
      <c r="U51" s="4"/>
      <c r="V51" s="4"/>
      <c r="W51" s="4"/>
      <c r="X51" s="4"/>
    </row>
    <row r="52" ht="34.5" customHeight="1">
      <c r="A52" s="182" t="str">
        <f>"The proposed pre-amortizing request has an Ending Balance of "&amp;TEXT(B49,"$#,##0")&amp;". A standard amortizing request ("&amp;TEXT(Traditional_max._LTV,"0%")&amp;"/"&amp;TEXT(Traditional_amortization,"0")&amp;"yr./"&amp;TEXT(Traditional_rate,"0.00%")&amp;"/"&amp;TEXT(Traditional_min._DSCR,"0.00")&amp;"x) supports an initial loan amount of "&amp;TEXT(C45,"$#,##0")&amp;" with an ending balance of "&amp;TEXT(C49,"$#,##0")&amp;". In conclusion, when comparing the proposed ending balance to the standard request ending balance, the lender is "&amp;IF(B49&gt;C49,"worse off","no worse off")&amp;" under the proposed structure."</f>
        <v>The proposed pre-amortizing request has an Ending Balance of $1,142,041. A standard amortizing request (75%/30yr./4.65%/1.15x) supports an initial loan amount of $1,875,000 with an ending balance of $1,713,062. In conclusion, when comparing the proposed ending balance to the standard request ending balance, the lender is no worse off under the proposed structure.</v>
      </c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83"/>
      <c r="P52" s="4"/>
      <c r="Q52" s="4"/>
      <c r="R52" s="4"/>
      <c r="S52" s="4"/>
      <c r="T52" s="4"/>
      <c r="U52" s="4"/>
      <c r="V52" s="4"/>
      <c r="W52" s="4"/>
      <c r="X52" s="4"/>
    </row>
    <row r="53" ht="12.75" customHeight="1">
      <c r="A53" s="180"/>
      <c r="B53" s="184"/>
      <c r="C53" s="18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2.75" customHeight="1">
      <c r="A54" s="180"/>
      <c r="B54" s="180"/>
      <c r="C54" s="180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</sheetData>
  <mergeCells count="12">
    <mergeCell ref="G7:M7"/>
    <mergeCell ref="G20:M20"/>
    <mergeCell ref="E37:O39"/>
    <mergeCell ref="A42:N42"/>
    <mergeCell ref="A52:N52"/>
    <mergeCell ref="K34:L34"/>
    <mergeCell ref="K35:L35"/>
    <mergeCell ref="H36:J36"/>
    <mergeCell ref="K36:L36"/>
    <mergeCell ref="N7:O7"/>
    <mergeCell ref="K33:L33"/>
    <mergeCell ref="H34:J34"/>
  </mergeCells>
  <conditionalFormatting sqref="G9:M15">
    <cfRule type="colorScale" priority="1">
      <colorScale>
        <cfvo type="formula" val="0.9"/>
        <cfvo type="formula" val="1.15"/>
        <cfvo type="formula" val="1.35"/>
        <color rgb="FFF8696B"/>
        <color rgb="FFFFEB84"/>
        <color rgb="FF63BE7B"/>
      </colorScale>
    </cfRule>
  </conditionalFormatting>
  <conditionalFormatting sqref="G22:M28">
    <cfRule type="colorScale" priority="2">
      <colorScale>
        <cfvo type="formula" val="0.65"/>
        <cfvo type="formula" val="0.75"/>
        <cfvo type="formula" val="0.85"/>
        <color rgb="FF63BE7B"/>
        <color rgb="FFFFEB84"/>
        <color rgb="FFF8696B"/>
      </colorScale>
    </cfRule>
  </conditionalFormatting>
  <conditionalFormatting sqref="A52:O52">
    <cfRule type="expression" dxfId="0" priority="3">
      <formula>$P$31</formula>
    </cfRule>
  </conditionalFormatting>
  <dataValidations>
    <dataValidation type="list" allowBlank="1" showErrorMessage="1" sqref="B19">
      <formula1>"Proposed Int. Rate,Refi. Rate"</formula1>
    </dataValidation>
  </dataValidations>
  <printOptions/>
  <pageMargins bottom="0.75" footer="0.0" header="0.0" left="0.45" right="0.45" top="0.75"/>
  <pageSetup orientation="landscape"/>
  <headerFooter>
    <oddFooter>&amp;L&amp;A&amp;R&amp;D &amp;T</oddFooter>
  </headerFooter>
  <drawing r:id="rId1"/>
</worksheet>
</file>