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VE\Desktop\simple-budget\src\db\"/>
    </mc:Choice>
  </mc:AlternateContent>
  <xr:revisionPtr revIDLastSave="0" documentId="13_ncr:1_{3E3F416D-534B-4C54-AB7C-6093D6D854A4}" xr6:coauthVersionLast="47" xr6:coauthVersionMax="47" xr10:uidLastSave="{00000000-0000-0000-0000-000000000000}"/>
  <bookViews>
    <workbookView xWindow="-108" yWindow="-108" windowWidth="23256" windowHeight="12456" tabRatio="596" activeTab="8" xr2:uid="{00000000-000D-0000-FFFF-FFFF00000000}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2" l="1"/>
  <c r="D23" i="2"/>
  <c r="D22" i="2"/>
  <c r="D21" i="2"/>
  <c r="D19" i="2"/>
  <c r="D15" i="2"/>
  <c r="D14" i="2"/>
  <c r="D13" i="2"/>
  <c r="M2" i="2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3" i="2"/>
  <c r="N3" i="2" s="1"/>
  <c r="D11" i="2"/>
  <c r="L11" i="2"/>
  <c r="L13" i="2" s="1"/>
  <c r="D10" i="2"/>
  <c r="D9" i="2"/>
  <c r="D8" i="2"/>
  <c r="D7" i="2"/>
  <c r="D6" i="2"/>
  <c r="D5" i="2"/>
  <c r="D4" i="2"/>
  <c r="D3" i="2"/>
  <c r="D2" i="2"/>
  <c r="A2" i="2"/>
  <c r="M4" i="2" s="1"/>
  <c r="N4" i="2" s="1"/>
  <c r="D62" i="13"/>
  <c r="D61" i="13"/>
  <c r="D59" i="13"/>
  <c r="D58" i="13"/>
  <c r="D57" i="13"/>
  <c r="D56" i="13"/>
  <c r="A55" i="13"/>
  <c r="D54" i="13"/>
  <c r="D52" i="13"/>
  <c r="D51" i="13"/>
  <c r="D50" i="13"/>
  <c r="D49" i="13"/>
  <c r="L2" i="13"/>
  <c r="L11" i="13" s="1"/>
  <c r="L13" i="13" s="1"/>
  <c r="D6" i="13"/>
  <c r="A10" i="13"/>
  <c r="M3" i="13" s="1"/>
  <c r="N3" i="13" s="1"/>
  <c r="D48" i="13"/>
  <c r="D46" i="13"/>
  <c r="D45" i="13"/>
  <c r="D43" i="13"/>
  <c r="D41" i="13"/>
  <c r="D39" i="13"/>
  <c r="D37" i="13"/>
  <c r="D36" i="13"/>
  <c r="D34" i="13"/>
  <c r="D32" i="13"/>
  <c r="D31" i="13"/>
  <c r="D30" i="13"/>
  <c r="D29" i="13"/>
  <c r="D25" i="13"/>
  <c r="D24" i="13"/>
  <c r="D21" i="13"/>
  <c r="D19" i="13"/>
  <c r="A18" i="13"/>
  <c r="M5" i="13" s="1"/>
  <c r="N5" i="13" s="1"/>
  <c r="D18" i="13"/>
  <c r="A17" i="13"/>
  <c r="B40" i="12"/>
  <c r="D16" i="13"/>
  <c r="D15" i="13"/>
  <c r="D2" i="13"/>
  <c r="D3" i="13"/>
  <c r="D14" i="13"/>
  <c r="D12" i="13"/>
  <c r="D11" i="13"/>
  <c r="M2" i="13"/>
  <c r="M6" i="13"/>
  <c r="N6" i="13" s="1"/>
  <c r="M7" i="13"/>
  <c r="N7" i="13" s="1"/>
  <c r="M8" i="13"/>
  <c r="N8" i="13" s="1"/>
  <c r="M9" i="13"/>
  <c r="N9" i="13" s="1"/>
  <c r="M10" i="13"/>
  <c r="N10" i="13" s="1"/>
  <c r="D4" i="13"/>
  <c r="D5" i="13"/>
  <c r="D7" i="13"/>
  <c r="D8" i="13"/>
  <c r="D9" i="13"/>
  <c r="D10" i="13"/>
  <c r="A2" i="13"/>
  <c r="M4" i="13" s="1"/>
  <c r="N4" i="13" s="1"/>
  <c r="B9" i="12"/>
  <c r="E49" i="12"/>
  <c r="E39" i="12"/>
  <c r="E38" i="12"/>
  <c r="E37" i="12"/>
  <c r="M11" i="2" l="1"/>
  <c r="N2" i="2"/>
  <c r="N11" i="2" s="1"/>
  <c r="N2" i="13"/>
  <c r="N11" i="13" s="1"/>
  <c r="M11" i="13"/>
  <c r="N2" i="12"/>
  <c r="M2" i="12"/>
  <c r="M11" i="12" s="1"/>
  <c r="M13" i="12" s="1"/>
  <c r="E36" i="12"/>
  <c r="E35" i="12"/>
  <c r="E34" i="12"/>
  <c r="E33" i="12"/>
  <c r="B31" i="12"/>
  <c r="N3" i="12" s="1"/>
  <c r="O3" i="12" s="1"/>
  <c r="E30" i="12"/>
  <c r="E28" i="12"/>
  <c r="E26" i="12"/>
  <c r="E24" i="12"/>
  <c r="E21" i="12"/>
  <c r="E20" i="12"/>
  <c r="E19" i="12"/>
  <c r="E18" i="12"/>
  <c r="B15" i="12"/>
  <c r="N6" i="12" s="1"/>
  <c r="O6" i="12" s="1"/>
  <c r="E15" i="12"/>
  <c r="E42" i="11"/>
  <c r="B9" i="11"/>
  <c r="N5" i="12"/>
  <c r="O5" i="12" s="1"/>
  <c r="N7" i="12"/>
  <c r="O7" i="12" s="1"/>
  <c r="N8" i="12"/>
  <c r="O8" i="12" s="1"/>
  <c r="N9" i="12"/>
  <c r="O9" i="12" s="1"/>
  <c r="N10" i="12"/>
  <c r="O10" i="12" s="1"/>
  <c r="E4" i="12"/>
  <c r="E5" i="12"/>
  <c r="E7" i="12"/>
  <c r="E8" i="12"/>
  <c r="E9" i="12"/>
  <c r="E2" i="12"/>
  <c r="B2" i="12"/>
  <c r="N4" i="12" s="1"/>
  <c r="O4" i="12" s="1"/>
  <c r="E41" i="11"/>
  <c r="E38" i="11"/>
  <c r="E36" i="11"/>
  <c r="M2" i="11"/>
  <c r="M11" i="11" s="1"/>
  <c r="M13" i="11" s="1"/>
  <c r="E35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0" i="11"/>
  <c r="E19" i="11"/>
  <c r="E17" i="11"/>
  <c r="E16" i="11"/>
  <c r="B14" i="11"/>
  <c r="E15" i="11"/>
  <c r="E14" i="11"/>
  <c r="E13" i="11"/>
  <c r="E12" i="11"/>
  <c r="E11" i="11"/>
  <c r="E9" i="11"/>
  <c r="E7" i="11"/>
  <c r="B6" i="11"/>
  <c r="N10" i="11"/>
  <c r="O10" i="11" s="1"/>
  <c r="E5" i="11"/>
  <c r="E4" i="11"/>
  <c r="F2" i="10"/>
  <c r="F3" i="10"/>
  <c r="B6" i="10"/>
  <c r="F45" i="10"/>
  <c r="F43" i="10"/>
  <c r="F42" i="10"/>
  <c r="F40" i="10"/>
  <c r="F39" i="10"/>
  <c r="F36" i="10"/>
  <c r="F35" i="10"/>
  <c r="F32" i="10"/>
  <c r="B30" i="10"/>
  <c r="F28" i="10"/>
  <c r="F27" i="10"/>
  <c r="F26" i="10"/>
  <c r="F25" i="10"/>
  <c r="F24" i="10"/>
  <c r="F20" i="10"/>
  <c r="F19" i="10"/>
  <c r="F17" i="10"/>
  <c r="F16" i="10"/>
  <c r="F15" i="10"/>
  <c r="F13" i="10"/>
  <c r="E12" i="8"/>
  <c r="E35" i="8"/>
  <c r="E36" i="8"/>
  <c r="E37" i="8"/>
  <c r="E38" i="8"/>
  <c r="E8" i="8"/>
  <c r="E7" i="9"/>
  <c r="E4" i="9"/>
  <c r="E39" i="9"/>
  <c r="E38" i="9"/>
  <c r="E37" i="9"/>
  <c r="E34" i="9"/>
  <c r="E33" i="9"/>
  <c r="E31" i="9"/>
  <c r="E29" i="9"/>
  <c r="E28" i="9"/>
  <c r="E27" i="9"/>
  <c r="O2" i="10"/>
  <c r="O4" i="10"/>
  <c r="P4" i="10" s="1"/>
  <c r="O5" i="10"/>
  <c r="P5" i="10" s="1"/>
  <c r="O6" i="10"/>
  <c r="P6" i="10" s="1"/>
  <c r="O7" i="10"/>
  <c r="P7" i="10" s="1"/>
  <c r="O8" i="10"/>
  <c r="P8" i="10" s="1"/>
  <c r="O9" i="10"/>
  <c r="P9" i="10" s="1"/>
  <c r="O10" i="10"/>
  <c r="P10" i="10" s="1"/>
  <c r="F8" i="10"/>
  <c r="E2" i="10"/>
  <c r="E3" i="10"/>
  <c r="E4" i="10"/>
  <c r="E5" i="10"/>
  <c r="E6" i="10"/>
  <c r="F7" i="10"/>
  <c r="E26" i="9"/>
  <c r="E25" i="9"/>
  <c r="M3" i="9"/>
  <c r="E22" i="9"/>
  <c r="E21" i="9"/>
  <c r="E20" i="9"/>
  <c r="E17" i="9"/>
  <c r="E16" i="9"/>
  <c r="F4" i="10"/>
  <c r="F5" i="10"/>
  <c r="F6" i="10"/>
  <c r="F2" i="3"/>
  <c r="O2" i="12" l="1"/>
  <c r="O11" i="12" s="1"/>
  <c r="N11" i="12"/>
  <c r="N2" i="11"/>
  <c r="O2" i="11" s="1"/>
  <c r="N3" i="11"/>
  <c r="O3" i="11" s="1"/>
  <c r="N4" i="11"/>
  <c r="O4" i="11" s="1"/>
  <c r="N5" i="11"/>
  <c r="O5" i="11" s="1"/>
  <c r="N6" i="11"/>
  <c r="O6" i="11" s="1"/>
  <c r="N7" i="11"/>
  <c r="O7" i="11" s="1"/>
  <c r="N8" i="11"/>
  <c r="O8" i="11" s="1"/>
  <c r="N9" i="11"/>
  <c r="O9" i="11" s="1"/>
  <c r="O3" i="10"/>
  <c r="P3" i="10" s="1"/>
  <c r="P2" i="10"/>
  <c r="N11" i="10"/>
  <c r="N13" i="10" s="1"/>
  <c r="E15" i="9"/>
  <c r="E14" i="9"/>
  <c r="B8" i="9"/>
  <c r="E11" i="9"/>
  <c r="N4" i="9"/>
  <c r="N5" i="9"/>
  <c r="N6" i="9"/>
  <c r="N7" i="9"/>
  <c r="N8" i="9"/>
  <c r="N9" i="9"/>
  <c r="N10" i="9"/>
  <c r="N2" i="9"/>
  <c r="O11" i="11" l="1"/>
  <c r="N11" i="11"/>
  <c r="O11" i="10"/>
  <c r="P11" i="10"/>
  <c r="N3" i="9"/>
  <c r="C5" i="3"/>
  <c r="E9" i="9" l="1"/>
  <c r="B7" i="8"/>
  <c r="E8" i="9"/>
  <c r="E6" i="9"/>
  <c r="E5" i="9"/>
  <c r="E3" i="9"/>
  <c r="E2" i="9"/>
  <c r="O2" i="9"/>
  <c r="O3" i="9"/>
  <c r="O4" i="9"/>
  <c r="O5" i="9"/>
  <c r="O6" i="9"/>
  <c r="O7" i="9"/>
  <c r="O8" i="9"/>
  <c r="O9" i="9"/>
  <c r="O10" i="9"/>
  <c r="M11" i="9"/>
  <c r="M13" i="9" s="1"/>
  <c r="E39" i="8"/>
  <c r="E34" i="8"/>
  <c r="E33" i="8"/>
  <c r="E32" i="8"/>
  <c r="E31" i="8"/>
  <c r="E30" i="8"/>
  <c r="E29" i="8"/>
  <c r="D5" i="3" l="1"/>
  <c r="F5" i="3"/>
  <c r="O11" i="9"/>
  <c r="N11" i="9"/>
  <c r="M3" i="8"/>
  <c r="E26" i="8"/>
  <c r="E25" i="8"/>
  <c r="E24" i="8" l="1"/>
  <c r="E23" i="8"/>
  <c r="E22" i="8"/>
  <c r="F13" i="3"/>
  <c r="F12" i="3"/>
  <c r="F11" i="3"/>
  <c r="D13" i="3" a="1"/>
  <c r="D13" i="3" s="1"/>
  <c r="D12" i="3" a="1"/>
  <c r="D12" i="3" s="1"/>
  <c r="D11" i="3" a="1"/>
  <c r="D11" i="3" s="1"/>
  <c r="C9" i="3"/>
  <c r="C8" i="3"/>
  <c r="B9" i="3"/>
  <c r="B8" i="3"/>
  <c r="E21" i="8"/>
  <c r="D8" i="3" a="1"/>
  <c r="D10" i="3" a="1"/>
  <c r="F10" i="3"/>
  <c r="F8" i="3"/>
  <c r="D9" i="3" a="1"/>
  <c r="F9" i="3"/>
  <c r="D10" i="3" l="1"/>
  <c r="D9" i="3"/>
  <c r="D8" i="3"/>
  <c r="E14" i="8"/>
  <c r="E20" i="8"/>
  <c r="E19" i="8"/>
  <c r="E18" i="8"/>
  <c r="E17" i="8"/>
  <c r="E16" i="8"/>
  <c r="N3" i="8"/>
  <c r="O3" i="8" s="1"/>
  <c r="E13" i="8"/>
  <c r="E11" i="8"/>
  <c r="E10" i="8"/>
  <c r="E9" i="8"/>
  <c r="N2" i="8"/>
  <c r="O2" i="8" s="1"/>
  <c r="N4" i="8"/>
  <c r="O4" i="8" s="1"/>
  <c r="N5" i="8"/>
  <c r="O5" i="8" s="1"/>
  <c r="N6" i="8"/>
  <c r="O6" i="8" s="1"/>
  <c r="N7" i="8"/>
  <c r="O7" i="8" s="1"/>
  <c r="N8" i="8"/>
  <c r="O8" i="8" s="1"/>
  <c r="N9" i="8"/>
  <c r="O9" i="8" s="1"/>
  <c r="N10" i="8"/>
  <c r="O10" i="8" s="1"/>
  <c r="B7" i="7"/>
  <c r="C3" i="3" s="1"/>
  <c r="C7" i="3"/>
  <c r="B7" i="3"/>
  <c r="C6" i="3"/>
  <c r="B6" i="3"/>
  <c r="B5" i="3"/>
  <c r="D2" i="3" a="1"/>
  <c r="D2" i="3" s="1"/>
  <c r="B4" i="3"/>
  <c r="B2" i="3"/>
  <c r="C2" i="3"/>
  <c r="B3" i="3"/>
  <c r="D7" i="3" a="1"/>
  <c r="F6" i="3"/>
  <c r="D6" i="3" a="1"/>
  <c r="F7" i="3"/>
  <c r="D7" i="3" l="1"/>
  <c r="E7" i="3" s="1"/>
  <c r="D6" i="3"/>
  <c r="C4" i="3"/>
  <c r="E7" i="8"/>
  <c r="E6" i="8"/>
  <c r="E5" i="8"/>
  <c r="E4" i="8"/>
  <c r="E3" i="8"/>
  <c r="E2" i="8"/>
  <c r="M3" i="7"/>
  <c r="E4" i="7"/>
  <c r="E5" i="7"/>
  <c r="E7" i="7"/>
  <c r="E8" i="7"/>
  <c r="E9" i="7"/>
  <c r="E10" i="7"/>
  <c r="E11" i="7"/>
  <c r="E12" i="7"/>
  <c r="E13" i="7"/>
  <c r="E14" i="7"/>
  <c r="E16" i="7"/>
  <c r="N10" i="7"/>
  <c r="O10" i="7" s="1"/>
  <c r="N9" i="7"/>
  <c r="O9" i="7" s="1"/>
  <c r="N8" i="7"/>
  <c r="O8" i="7" s="1"/>
  <c r="N7" i="7"/>
  <c r="O7" i="7" s="1"/>
  <c r="N6" i="7"/>
  <c r="O6" i="7" s="1"/>
  <c r="N5" i="7"/>
  <c r="O5" i="7" s="1"/>
  <c r="N4" i="7"/>
  <c r="O4" i="7" s="1"/>
  <c r="N3" i="7"/>
  <c r="O3" i="7" s="1"/>
  <c r="M11" i="7"/>
  <c r="M13" i="7" s="1"/>
  <c r="N2" i="7"/>
  <c r="O2" i="7" s="1"/>
  <c r="M11" i="1"/>
  <c r="M13" i="1" s="1"/>
  <c r="N3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2" i="1"/>
  <c r="O2" i="1" s="1"/>
  <c r="C10" i="3"/>
  <c r="E10" i="3" s="1"/>
  <c r="E2" i="3"/>
  <c r="G6" i="3"/>
  <c r="E9" i="3"/>
  <c r="I2" i="3"/>
  <c r="H6" i="3"/>
  <c r="B10" i="3"/>
  <c r="B11" i="3"/>
  <c r="I11" i="3" s="1"/>
  <c r="C13" i="3"/>
  <c r="E13" i="3" s="1"/>
  <c r="C12" i="3"/>
  <c r="G12" i="3" s="1"/>
  <c r="B13" i="3"/>
  <c r="I13" i="3" s="1"/>
  <c r="B12" i="3"/>
  <c r="I12" i="3" s="1"/>
  <c r="E5" i="3"/>
  <c r="E8" i="3"/>
  <c r="G5" i="3"/>
  <c r="G8" i="3"/>
  <c r="E11" i="3"/>
  <c r="C11" i="3"/>
  <c r="H5" i="3"/>
  <c r="I5" i="3" s="1"/>
  <c r="D3" i="3" l="1" a="1"/>
  <c r="D3" i="3" s="1"/>
  <c r="E3" i="3" s="1"/>
  <c r="F3" i="3"/>
  <c r="G3" i="3" s="1"/>
  <c r="F4" i="3"/>
  <c r="G4" i="3" s="1"/>
  <c r="D4" i="3" a="1"/>
  <c r="D4" i="3" s="1"/>
  <c r="D16" i="3" s="1"/>
  <c r="N11" i="8"/>
  <c r="M11" i="8"/>
  <c r="M13" i="8" s="1"/>
  <c r="N11" i="7"/>
  <c r="O3" i="1"/>
  <c r="O11" i="1" s="1"/>
  <c r="O11" i="7"/>
  <c r="N11" i="1"/>
  <c r="I6" i="3"/>
  <c r="E6" i="3"/>
  <c r="G7" i="3"/>
  <c r="G2" i="3"/>
  <c r="G9" i="3"/>
  <c r="G10" i="3"/>
  <c r="H13" i="3"/>
  <c r="G13" i="3"/>
  <c r="E12" i="3"/>
  <c r="H12" i="3"/>
  <c r="G11" i="3"/>
  <c r="B16" i="3"/>
  <c r="C16" i="3"/>
  <c r="H9" i="3"/>
  <c r="I9" i="3" s="1"/>
  <c r="H10" i="3"/>
  <c r="I10" i="3" s="1"/>
  <c r="H7" i="3"/>
  <c r="I7" i="3" s="1"/>
  <c r="H8" i="3"/>
  <c r="I8" i="3" s="1"/>
  <c r="H3" i="3"/>
  <c r="I3" i="3" s="1"/>
  <c r="H4" i="3"/>
  <c r="I4" i="3" s="1"/>
  <c r="H11" i="3"/>
  <c r="H2" i="3"/>
  <c r="E4" i="3" l="1"/>
  <c r="O11" i="8"/>
  <c r="E16" i="3"/>
  <c r="H16" i="3"/>
  <c r="I16" i="3" s="1"/>
  <c r="F16" i="3"/>
  <c r="G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<sst xmlns="http://schemas.openxmlformats.org/spreadsheetml/2006/main" count="994" uniqueCount="278">
  <si>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</si>
  <si>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</si>
  <si>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</si>
  <si>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</si>
  <si>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</si>
  <si>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</si>
  <si>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</si>
  <si>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</si>
  <si>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</si>
  <si>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</si>
  <si>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</si>
  <si>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</si>
  <si>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</si>
  <si>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</si>
  <si>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</si>
  <si>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</si>
  <si>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</si>
  <si>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</si>
  <si>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</si>
  <si>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</si>
  <si>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</si>
  <si>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</si>
  <si>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</si>
  <si>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</si>
  <si>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</si>
  <si>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</si>
  <si>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</si>
  <si>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</si>
  <si>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</si>
  <si>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</si>
  <si>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</si>
  <si>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</si>
  <si>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</si>
  <si>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</si>
  <si>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</si>
  <si>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</si>
  <si>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</si>
  <si>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</si>
  <si>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</si>
  <si>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</si>
  <si>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</si>
  <si>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</si>
  <si>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</si>
  <si>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</si>
  <si>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</si>
  <si>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</si>
  <si>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</si>
  <si>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</si>
  <si>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</si>
  <si>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</si>
  <si>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</si>
  <si>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</si>
  <si>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</si>
  <si>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</si>
  <si>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</si>
  <si>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</si>
  <si>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</si>
  <si>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</si>
  <si>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</si>
  <si>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</si>
  <si>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</si>
  <si>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</si>
  <si>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</si>
  <si>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</si>
  <si>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</si>
  <si>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</si>
  <si>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</si>
  <si>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</si>
  <si>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</si>
  <si>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</si>
  <si>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</si>
  <si>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</si>
  <si>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</si>
  <si>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</si>
  <si>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</si>
  <si>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</si>
  <si>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</si>
  <si>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</si>
  <si>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</si>
  <si>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</si>
  <si>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</si>
  <si>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</si>
  <si>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</si>
  <si>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</si>
  <si>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</si>
  <si>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</si>
  <si>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</si>
  <si>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</si>
  <si>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</si>
  <si>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</si>
  <si>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</si>
  <si>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</si>
  <si>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</si>
  <si>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</si>
  <si>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</si>
  <si>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</si>
  <si>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</si>
  <si>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</si>
  <si>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</si>
  <si>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</si>
  <si>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</si>
  <si>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</si>
  <si>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</si>
  <si>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</si>
  <si>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</si>
  <si>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</si>
  <si>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</si>
  <si>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</si>
  <si>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</si>
  <si>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</si>
  <si>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</si>
  <si>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</si>
  <si>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</si>
  <si>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</si>
  <si>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</si>
  <si>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</si>
  <si>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</si>
  <si>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</si>
  <si>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</si>
  <si>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</si>
  <si>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</si>
  <si>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</si>
  <si>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</si>
  <si>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</si>
  <si>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</si>
  <si>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</si>
  <si>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</si>
  <si>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</si>
  <si>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</si>
  <si>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</si>
  <si>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</si>
  <si>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</si>
  <si>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</si>
  <si>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</si>
  <si>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</si>
  <si>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</si>
  <si>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</si>
  <si>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</si>
  <si>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</si>
  <si>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</si>
  <si>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</si>
  <si>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</si>
  <si>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</si>
  <si>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</si>
  <si>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</si>
  <si>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</si>
  <si>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</si>
  <si>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</si>
  <si>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</si>
  <si>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</si>
  <si>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</si>
  <si>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</si>
  <si>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</si>
  <si>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</si>
  <si>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</si>
  <si>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</si>
  <si>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</si>
  <si>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</si>
  <si>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</si>
  <si>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</si>
  <si>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</si>
  <si>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</si>
  <si>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</si>
  <si>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</si>
  <si>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</si>
  <si>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</si>
  <si>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</si>
  <si>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</si>
  <si>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</si>
  <si>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</si>
  <si>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</si>
  <si>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</si>
  <si>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</si>
  <si>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</si>
  <si>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</si>
  <si>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</si>
  <si>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</si>
  <si>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</si>
  <si>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</si>
  <si>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</si>
  <si>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</si>
  <si>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</si>
  <si>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</si>
  <si>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</si>
  <si>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</si>
  <si>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</si>
  <si>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</si>
  <si>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</si>
  <si>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</si>
  <si>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</si>
  <si>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</si>
  <si>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</si>
  <si>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</si>
  <si>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</si>
  <si>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</si>
  <si>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</si>
  <si>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</si>
  <si>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</si>
  <si>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</si>
  <si>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</si>
  <si>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</si>
  <si>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</si>
  <si>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</si>
  <si>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</si>
  <si>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</si>
  <si>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</si>
  <si>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</si>
  <si>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</si>
  <si>
    <t>steam gry</t>
  </si>
  <si>
    <t>do Międzyzroi</t>
  </si>
  <si>
    <t>picie</t>
  </si>
  <si>
    <t>jedzenie na mieście</t>
  </si>
  <si>
    <t>jedzenie jess</t>
  </si>
  <si>
    <t>do i z Wolina</t>
  </si>
  <si>
    <t xml:space="preserve">pizza </t>
  </si>
  <si>
    <t>papiernicze Zebra</t>
  </si>
  <si>
    <t>opaski na oczy</t>
  </si>
  <si>
    <t>PIT za 06/23</t>
  </si>
  <si>
    <t>VAT za 06/23</t>
  </si>
  <si>
    <t>savona</t>
  </si>
  <si>
    <t>do świnoujścia</t>
  </si>
  <si>
    <t>z świnoujścia</t>
  </si>
  <si>
    <t>polregio</t>
  </si>
  <si>
    <t>zwrot</t>
  </si>
  <si>
    <t>kolczyki</t>
  </si>
  <si>
    <t>biedronka</t>
  </si>
  <si>
    <t>kawiarnia</t>
  </si>
  <si>
    <t>urlop świnoujście, wolin, trzebiatów</t>
  </si>
  <si>
    <t>poduszka podrozna</t>
  </si>
  <si>
    <t>książki</t>
  </si>
  <si>
    <t>doładowanie telefonu</t>
  </si>
  <si>
    <t>sbbetting</t>
  </si>
  <si>
    <t>księgowa za 07/23</t>
  </si>
  <si>
    <t>PIT za 07/23</t>
  </si>
  <si>
    <t>VAT za 07/23</t>
  </si>
  <si>
    <t>do zwrotu przez łukasza</t>
  </si>
  <si>
    <t>poznań nocleg</t>
  </si>
  <si>
    <t>bibeloty</t>
  </si>
  <si>
    <t>H&amp;Y</t>
  </si>
  <si>
    <t>J. Juzyszyn</t>
  </si>
  <si>
    <t>zwrot kasy</t>
  </si>
  <si>
    <t>spinka Jess</t>
  </si>
  <si>
    <t>spinka i naszyjnik Mizukon</t>
  </si>
  <si>
    <t>jedzenie Mizukon</t>
  </si>
  <si>
    <t>Mizukon bilet + bolt</t>
  </si>
  <si>
    <t>neurovit x2</t>
  </si>
  <si>
    <t>do Poznania</t>
  </si>
  <si>
    <t>Łukasz mobilet</t>
  </si>
  <si>
    <t>pamiętka Poznań</t>
  </si>
  <si>
    <t>biedronka Poznań</t>
  </si>
  <si>
    <t>pączki Poznań</t>
  </si>
  <si>
    <t>żabka Poznań</t>
  </si>
  <si>
    <t>zwrot Mizukon</t>
  </si>
  <si>
    <t xml:space="preserve">rozrywka </t>
  </si>
  <si>
    <t>bilety nowe zoo</t>
  </si>
  <si>
    <t>? Room36 Poznań</t>
  </si>
  <si>
    <t>pamiętki Poznań</t>
  </si>
  <si>
    <t>bilety linia turystyczna Poznań</t>
  </si>
  <si>
    <t>z Poznania</t>
  </si>
  <si>
    <t>jedzenie na stacji</t>
  </si>
  <si>
    <t>neurovit x2 i lek</t>
  </si>
  <si>
    <t>FAAŁSZ</t>
  </si>
  <si>
    <t>doniczki</t>
  </si>
  <si>
    <t>klawiatura i myszka</t>
  </si>
  <si>
    <t>kurs Japońskiego</t>
  </si>
  <si>
    <t>urlop Poznań, kurs japońskiego, zakupy na firmę (klawiatura, mysz)</t>
  </si>
  <si>
    <t>Ł. Śmietanka</t>
  </si>
  <si>
    <t>zwrot mobilet Poznań</t>
  </si>
  <si>
    <t>mrówka</t>
  </si>
  <si>
    <t>lookah - ametyst szczotka kama</t>
  </si>
  <si>
    <t>Barbie</t>
  </si>
  <si>
    <t>mediaexpert - ciśnieniomierz, kabel</t>
  </si>
  <si>
    <t>słoik</t>
  </si>
  <si>
    <t>Szczecin-Niechorze</t>
  </si>
  <si>
    <t>Niechorze kawiarnia</t>
  </si>
  <si>
    <t>Niechorze obiad</t>
  </si>
  <si>
    <t>NY marynarka</t>
  </si>
  <si>
    <t>mikrofon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</si>
</sst>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_-* #,##0.00\ [$zł-415]_-;\-* #,##0.00\ [$zł-415]_-;_-* &quot;-&quot;??\ [$zł-415]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0" fontId="8" fillId="0" borderId="1" xfId="2" applyBorder="1"/>
    <xf numFmtId="164" fontId="7" fillId="0" borderId="1" xfId="0" applyNumberFormat="1" applyFont="1" applyBorder="1"/>
    <xf numFmtId="14" fontId="0" fillId="0" borderId="1" xfId="0" applyNumberFormat="1" applyFont="1" applyBorder="1"/>
  </cellXfs>
  <cellStyles count="3">
    <cellStyle name="Hiperłącze" xfId="2" builtinId="8"/>
    <cellStyle name="Normalny" xfId="0" builtinId="0"/>
    <cellStyle name="Procentowy" xfId="1" builtinId="5"/>
  </cellStyles>
  <dxfs count="193"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0000000}" name="Przychody1" displayName="Przychody1" ref="G1:J3" totalsRowShown="0">
  <autoFilter ref="G1:J3" xr:uid="{00000000-0009-0000-0100-000018000000}"/>
  <tableColumns count="4">
    <tableColumn id="1" xr3:uid="{00000000-0010-0000-0000-000001000000}" name="0,00 zł"/>
    <tableColumn id="5" xr3:uid="{00000000-0010-0000-0000-000005000000}" name="kwota" dataDxfId="192"/>
    <tableColumn id="2" xr3:uid="{00000000-0010-0000-0000-000002000000}" name="źródło"/>
    <tableColumn id="3" xr3:uid="{00000000-0010-0000-0000-000003000000}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1000000}" name="Wydatki1" displayName="Wydatki1" ref="A1:E17" totalsRowShown="0" headerRowDxfId="191" tableBorderDxfId="190">
  <autoFilter ref="A1:E17" xr:uid="{00000000-0009-0000-0100-000019000000}"/>
  <tableColumns count="5">
    <tableColumn id="1" xr3:uid="{00000000-0010-0000-0100-000001000000}" name="data" dataDxfId="189"/>
    <tableColumn id="2" xr3:uid="{00000000-0010-0000-0100-000002000000}" name="kwota" dataDxfId="188"/>
    <tableColumn id="3" xr3:uid="{00000000-0010-0000-0100-000003000000}" name="kategoria" dataDxfId="187"/>
    <tableColumn id="4" xr3:uid="{00000000-0010-0000-0100-000004000000}" name="na co" dataDxfId="186"/>
    <tableColumn id="6" xr3:uid="{00000000-0010-0000-0100-000006000000}" name="przyjemności" dataDxfId="185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Budżet1" displayName="Budżet1" ref="L1:O11" totalsRowCount="1">
  <autoFilter ref="L1:O10" xr:uid="{00000000-0009-0000-0100-000004000000}"/>
  <tableColumns count="4">
    <tableColumn id="1" xr3:uid="{00000000-0010-0000-0200-000001000000}" name="kategoria" totalsRowLabel="SUMA"/>
    <tableColumn id="2" xr3:uid="{00000000-0010-0000-0200-000002000000}" name="budżet" totalsRowFunction="custom" dataDxfId="184" totalsRowDxfId="183">
      <totalsRowFormula>SUM(Budżet1[budżet])</totalsRowFormula>
    </tableColumn>
    <tableColumn id="3" xr3:uid="{00000000-0010-0000-0200-000003000000}" name="wydatki" totalsRowFunction="custom" dataDxfId="182" totalsRowDxfId="181">
      <calculatedColumnFormula>SUMIF(Wydatki1[kategoria],Budżet1[[#This Row],[kategoria]],Wydatki1[kwota])</calculatedColumnFormula>
      <totalsRowFormula>SUM(Budżet1[wydatki])</totalsRowFormula>
    </tableColumn>
    <tableColumn id="4" xr3:uid="{00000000-0010-0000-0200-000004000000}" name="pozostało" totalsRowFunction="custom" dataDxfId="180" totalsRowDxfId="179">
      <calculatedColumnFormula>Budżet1[[#This Row],[budżet]]-Budżet1[[#This Row],[wydatki]]</calculatedColumnFormula>
      <totalsRowFormula>SUM(Budżet1[pozostało])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Wydatki2" displayName="Wydatki2" ref="A1:E33" totalsRowShown="0" headerRowDxfId="178" dataDxfId="177" tableBorderDxfId="176">
  <autoFilter ref="A1:E33" xr:uid="{00000000-0009-0000-0100-000005000000}"/>
  <tableColumns count="5">
    <tableColumn id="1" xr3:uid="{00000000-0010-0000-0300-000001000000}" name="data" dataDxfId="175"/>
    <tableColumn id="2" xr3:uid="{00000000-0010-0000-0300-000002000000}" name="kwota" dataDxfId="174"/>
    <tableColumn id="3" xr3:uid="{00000000-0010-0000-0300-000003000000}" name="kategoria" dataDxfId="173"/>
    <tableColumn id="4" xr3:uid="{00000000-0010-0000-0300-000004000000}" name="na co" dataDxfId="172"/>
    <tableColumn id="6" xr3:uid="{00000000-0010-0000-0300-000006000000}" name="przyjemności" dataDxfId="17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4000000}" name="Przychody2" displayName="Przychody2" ref="G1:J4" totalsRowShown="0">
  <autoFilter ref="G1:J4" xr:uid="{00000000-0009-0000-0100-000017000000}"/>
  <tableColumns count="4">
    <tableColumn id="1" xr3:uid="{00000000-0010-0000-0400-000001000000}" name="data"/>
    <tableColumn id="5" xr3:uid="{00000000-0010-0000-0400-000005000000}" name="kwota" dataDxfId="170"/>
    <tableColumn id="2" xr3:uid="{00000000-0010-0000-0400-000002000000}" name="źródło"/>
    <tableColumn id="3" xr3:uid="{00000000-0010-0000-0400-000003000000}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5000000}" name="Budżet2" displayName="Budżet2" ref="L1:O11" totalsRowCount="1">
  <autoFilter ref="L1:O10" xr:uid="{00000000-0009-0000-0100-00001E000000}"/>
  <tableColumns count="4">
    <tableColumn id="1" xr3:uid="{00000000-0010-0000-0500-000001000000}" name="kategoria" totalsRowLabel="SUMA"/>
    <tableColumn id="2" xr3:uid="{00000000-0010-0000-0500-000002000000}" name="budżet" totalsRowFunction="custom" dataDxfId="169" totalsRowDxfId="168">
      <totalsRowFormula>SUM(Budżet2[budżet])</totalsRowFormula>
    </tableColumn>
    <tableColumn id="3" xr3:uid="{00000000-0010-0000-0500-000003000000}" name="wydatki" totalsRowFunction="custom" dataDxfId="167" totalsRowDxfId="166">
      <calculatedColumnFormula>SUMIF(Wydatki2[kategoria],Budżet2[[#This Row],[kategoria]],Wydatki2[kwota])</calculatedColumnFormula>
      <totalsRowFormula>SUM(Budżet2[wydatki])</totalsRowFormula>
    </tableColumn>
    <tableColumn id="4" xr3:uid="{00000000-0010-0000-0500-000004000000}" name="pozostało" totalsRowFunction="custom" dataDxfId="165" totalsRowDxfId="164">
      <calculatedColumnFormula>Budżet2[[#This Row],[budżet]]-Budżet2[[#This Row],[wydatki]]</calculatedColumnFormula>
      <totalsRowFormula>SUM(Budżet2[pozostało])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6000000}" name="Przychody3" displayName="Przychody3" ref="G1:J3" totalsRowShown="0">
  <autoFilter ref="G1:J3" xr:uid="{00000000-0009-0000-0100-000015000000}"/>
  <tableColumns count="4">
    <tableColumn id="1" xr3:uid="{00000000-0010-0000-0600-000001000000}" name="data"/>
    <tableColumn id="5" xr3:uid="{00000000-0010-0000-0600-000005000000}" name="kwota" dataDxfId="163">
      <calculatedColumnFormula>stawka*G2-J2</calculatedColumnFormula>
    </tableColumn>
    <tableColumn id="2" xr3:uid="{00000000-0010-0000-0600-000002000000}" name="źródło"/>
    <tableColumn id="3" xr3:uid="{00000000-0010-0000-0600-000003000000}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Wydatki3" displayName="Wydatki3" ref="A1:E40" totalsRowShown="0" headerRowDxfId="162" dataDxfId="161" tableBorderDxfId="160">
  <autoFilter ref="A1:E40" xr:uid="{00000000-0009-0000-0100-000016000000}"/>
  <tableColumns count="5">
    <tableColumn id="1" xr3:uid="{00000000-0010-0000-0700-000001000000}" name="data" dataDxfId="159"/>
    <tableColumn id="2" xr3:uid="{00000000-0010-0000-0700-000002000000}" name="kwota" dataDxfId="158"/>
    <tableColumn id="3" xr3:uid="{00000000-0010-0000-0700-000003000000}" name="kategoria" dataDxfId="157"/>
    <tableColumn id="4" xr3:uid="{00000000-0010-0000-0700-000004000000}" name="na co" dataDxfId="156"/>
    <tableColumn id="6" xr3:uid="{00000000-0010-0000-0700-000006000000}" name="przyjemności" dataDxfId="155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Budżet3" displayName="Budżet3" ref="L1:O11" totalsRowCount="1">
  <autoFilter ref="L1:O10" xr:uid="{00000000-0009-0000-0100-000002000000}"/>
  <tableColumns count="4">
    <tableColumn id="1" xr3:uid="{00000000-0010-0000-0800-000001000000}" name="kategoria" totalsRowLabel="SUMA"/>
    <tableColumn id="2" xr3:uid="{00000000-0010-0000-0800-000002000000}" name="budżet" totalsRowFunction="custom" dataDxfId="154" totalsRowDxfId="153">
      <totalsRowFormula>SUM(Budżet3[budżet])</totalsRowFormula>
    </tableColumn>
    <tableColumn id="3" xr3:uid="{00000000-0010-0000-0800-000003000000}" name="wydatki" totalsRowFunction="custom" dataDxfId="152" totalsRowDxfId="151">
      <calculatedColumnFormula>SUMIF(Wydatki3[kategoria],Budżet3[[#This Row],[kategoria]],Wydatki3[kwota])</calculatedColumnFormula>
      <totalsRowFormula>SUM(Budżet3[wydatki])</totalsRowFormula>
    </tableColumn>
    <tableColumn id="4" xr3:uid="{00000000-0010-0000-0800-000004000000}" name="pozostało" totalsRowFunction="custom" dataDxfId="150" totalsRowDxfId="149">
      <calculatedColumnFormula>Budżet3[[#This Row],[budżet]]-Budżet3[[#This Row],[wydatki]]</calculatedColumnFormula>
      <totalsRowFormula>SUM(Budżet3[pozostało])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9000000}" name="Przychody4" displayName="Przychody4" ref="G1:J4" totalsRowShown="0">
  <autoFilter ref="G1:J4" xr:uid="{00000000-0009-0000-0100-000013000000}"/>
  <tableColumns count="4">
    <tableColumn id="1" xr3:uid="{00000000-0010-0000-0900-000001000000}" name="data"/>
    <tableColumn id="5" xr3:uid="{00000000-0010-0000-0900-000005000000}" name="kwota" dataDxfId="148"/>
    <tableColumn id="2" xr3:uid="{00000000-0010-0000-0900-000002000000}" name="źródło"/>
    <tableColumn id="3" xr3:uid="{00000000-0010-0000-0900-000003000000}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A000000}" name="Budżet4" displayName="Budżet4" ref="L1:O11" totalsRowCount="1">
  <autoFilter ref="L1:O10" xr:uid="{00000000-0009-0000-0100-00001D000000}"/>
  <tableColumns count="4">
    <tableColumn id="1" xr3:uid="{00000000-0010-0000-0A00-000001000000}" name="kategoria" totalsRowLabel="SUMA"/>
    <tableColumn id="2" xr3:uid="{00000000-0010-0000-0A00-000002000000}" name="budżet" totalsRowFunction="custom" dataDxfId="147" totalsRowDxfId="146">
      <totalsRowFormula>SUM(Budżet4[budżet])</totalsRowFormula>
    </tableColumn>
    <tableColumn id="3" xr3:uid="{00000000-0010-0000-0A00-000003000000}" name="wydatki" totalsRowFunction="custom" dataDxfId="145" totalsRowDxfId="144">
      <calculatedColumnFormula>SUMIF(Wydatki4[kategoria],Budżet4[[#This Row],[kategoria]],Wydatki4[kwota])</calculatedColumnFormula>
      <totalsRowFormula>SUM(Budżet4[wydatki])</totalsRowFormula>
    </tableColumn>
    <tableColumn id="4" xr3:uid="{00000000-0010-0000-0A00-000004000000}" name="pozostało" totalsRowFunction="custom" dataDxfId="143" totalsRowDxfId="142">
      <calculatedColumnFormula>Budżet4[[#This Row],[budżet]]-Budżet4[[#This Row],[wydatki]]</calculatedColumnFormula>
      <totalsRowFormula>SUM(Budżet4[pozostało])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B000000}" name="Wydatki4" displayName="Wydatki4" ref="A1:E40" totalsRowShown="0" headerRowDxfId="141" tableBorderDxfId="140">
  <autoFilter ref="A1:E40" xr:uid="{00000000-0009-0000-0100-000014000000}"/>
  <tableColumns count="5">
    <tableColumn id="1" xr3:uid="{00000000-0010-0000-0B00-000001000000}" name="razy" dataDxfId="139"/>
    <tableColumn id="2" xr3:uid="{00000000-0010-0000-0B00-000002000000}" name="kwota" dataDxfId="138"/>
    <tableColumn id="3" xr3:uid="{00000000-0010-0000-0B00-000003000000}" name="kategoria" dataDxfId="137"/>
    <tableColumn id="4" xr3:uid="{00000000-0010-0000-0B00-000004000000}" name="na co" dataDxfId="136"/>
    <tableColumn id="5" xr3:uid="{00000000-0010-0000-0B00-000005000000}" name="przyjemności" dataDxfId="135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Wydatki5" displayName="Wydatki5" ref="A1:F45" totalsRowShown="0" headerRowDxfId="134" dataDxfId="133" tableBorderDxfId="132">
  <autoFilter ref="A1:F45" xr:uid="{00000000-0009-0000-0100-000012000000}"/>
  <tableColumns count="6">
    <tableColumn id="1" xr3:uid="{00000000-0010-0000-0C00-000001000000}" name="razy" dataDxfId="131"/>
    <tableColumn id="2" xr3:uid="{00000000-0010-0000-0C00-000002000000}" name="kwota" dataDxfId="130"/>
    <tableColumn id="3" xr3:uid="{00000000-0010-0000-0C00-000003000000}" name="kategoria" dataDxfId="129"/>
    <tableColumn id="4" xr3:uid="{00000000-0010-0000-0C00-000004000000}" name="na co" dataDxfId="128"/>
    <tableColumn id="5" xr3:uid="{00000000-0010-0000-0C00-000005000000}" name="gdzie" dataDxfId="127"/>
    <tableColumn id="6" xr3:uid="{00000000-0010-0000-0C00-000006000000}" name="przyjemności" dataDxfId="126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Przychody5" displayName="Przychody5" ref="H1:K5" totalsRowShown="0">
  <autoFilter ref="H1:K5" xr:uid="{00000000-0009-0000-0100-000011000000}"/>
  <tableColumns count="4">
    <tableColumn id="1" xr3:uid="{00000000-0010-0000-0D00-000001000000}" name="data"/>
    <tableColumn id="5" xr3:uid="{00000000-0010-0000-0D00-000005000000}" name="kwota" dataDxfId="125"/>
    <tableColumn id="2" xr3:uid="{00000000-0010-0000-0D00-000002000000}" name="źródło"/>
    <tableColumn id="3" xr3:uid="{00000000-0010-0000-0D00-000003000000}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E000000}" name="Budżet5" displayName="Budżet5" ref="M1:P11" totalsRowCount="1">
  <autoFilter ref="M1:P10" xr:uid="{00000000-0009-0000-0100-00001F000000}"/>
  <tableColumns count="4">
    <tableColumn id="1" xr3:uid="{00000000-0010-0000-0E00-000001000000}" name="kategoria" totalsRowLabel="SUMA"/>
    <tableColumn id="2" xr3:uid="{00000000-0010-0000-0E00-000002000000}" name="budżet" totalsRowFunction="custom" dataDxfId="124" totalsRowDxfId="123">
      <totalsRowFormula>SUM(Budżet5[budżet])</totalsRowFormula>
    </tableColumn>
    <tableColumn id="3" xr3:uid="{00000000-0010-0000-0E00-000003000000}" name="wydatki" totalsRowFunction="custom" dataDxfId="122" totalsRowDxfId="121">
      <calculatedColumnFormula>SUMIF(Wydatki5[kategoria],Budżet5[[#This Row],[kategoria]],Wydatki5[kwota])</calculatedColumnFormula>
      <totalsRowFormula>SUM(Budżet5[wydatki])</totalsRowFormula>
    </tableColumn>
    <tableColumn id="4" xr3:uid="{00000000-0010-0000-0E00-000004000000}" name="pozostało" totalsRowFunction="custom" dataDxfId="120" totalsRowDxfId="119">
      <calculatedColumnFormula>Budżet5[[#This Row],[budżet]]-Budżet5[[#This Row],[wydatki]]</calculatedColumnFormula>
      <totalsRowFormula>SUM(Budżet5[pozostało])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Przychody6" displayName="Przychody6" ref="G1:J4" totalsRowShown="0">
  <autoFilter ref="G1:J4" xr:uid="{00000000-0009-0000-0100-00000F000000}"/>
  <tableColumns count="4">
    <tableColumn id="1" xr3:uid="{00000000-0010-0000-0F00-000001000000}" name="data"/>
    <tableColumn id="5" xr3:uid="{00000000-0010-0000-0F00-000005000000}" name="kwota" dataDxfId="118"/>
    <tableColumn id="2" xr3:uid="{00000000-0010-0000-0F00-000002000000}" name="źródło"/>
    <tableColumn id="3" xr3:uid="{00000000-0010-0000-0F00-000003000000}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Wydatki6" displayName="Wydatki6" ref="A1:E43" totalsRowShown="0" headerRowDxfId="117" dataDxfId="116" tableBorderDxfId="115">
  <autoFilter ref="A1:E43" xr:uid="{00000000-0009-0000-0100-000010000000}"/>
  <tableColumns count="5">
    <tableColumn id="1" xr3:uid="{00000000-0010-0000-1000-000001000000}" name="data" dataDxfId="114"/>
    <tableColumn id="2" xr3:uid="{00000000-0010-0000-1000-000002000000}" name="kwota" dataDxfId="113"/>
    <tableColumn id="3" xr3:uid="{00000000-0010-0000-1000-000003000000}" name="kategoria" dataDxfId="112"/>
    <tableColumn id="4" xr3:uid="{00000000-0010-0000-1000-000004000000}" name="na co" dataDxfId="111"/>
    <tableColumn id="6" xr3:uid="{00000000-0010-0000-1000-000006000000}" name="przyjemności" dataDxfId="110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1000000}" name="Budżet6" displayName="Budżet6" ref="L1:P11" totalsRowCount="1">
  <autoFilter ref="L1:P10" xr:uid="{00000000-0009-0000-0100-000020000000}"/>
  <tableColumns count="5">
    <tableColumn id="1" xr3:uid="{00000000-0010-0000-1100-000001000000}" name="kategoria" totalsRowLabel="SUMA"/>
    <tableColumn id="2" xr3:uid="{00000000-0010-0000-1100-000002000000}" name="budżet" totalsRowFunction="custom" dataDxfId="109" totalsRowDxfId="108">
      <totalsRowFormula>SUM(Budżet6[budżet])</totalsRowFormula>
    </tableColumn>
    <tableColumn id="3" xr3:uid="{00000000-0010-0000-1100-000003000000}" name="wydatki" totalsRowFunction="custom" dataDxfId="107" totalsRowDxfId="106">
      <calculatedColumnFormula>SUMIF(Wydatki6[kategoria],Budżet6[[#This Row],[kategoria]],Wydatki6[kwota])</calculatedColumnFormula>
      <totalsRowFormula>SUM(Budżet6[wydatki])</totalsRowFormula>
    </tableColumn>
    <tableColumn id="4" xr3:uid="{00000000-0010-0000-1100-000004000000}" name="pozostało" totalsRowFunction="custom" dataDxfId="105" totalsRowDxfId="104">
      <calculatedColumnFormula>Budżet6[[#This Row],[budżet]]-Budżet6[[#This Row],[wydatki]]</calculatedColumnFormula>
      <totalsRowFormula>SUM(Budżet6[pozostało])</totalsRowFormula>
    </tableColumn>
    <tableColumn id="5" xr3:uid="{00000000-0010-0000-1100-000005000000}" name="Kolumna1" dataDxfId="103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2000000}" name="Przychody7" displayName="Przychody7" ref="G1:J3" totalsRowShown="0">
  <autoFilter ref="G1:J3" xr:uid="{00000000-0009-0000-0100-00000D000000}"/>
  <tableColumns count="4">
    <tableColumn id="1" xr3:uid="{00000000-0010-0000-1200-000001000000}" name="data"/>
    <tableColumn id="5" xr3:uid="{00000000-0010-0000-1200-000005000000}" name="kwota" dataDxfId="102"/>
    <tableColumn id="2" xr3:uid="{00000000-0010-0000-1200-000002000000}" name="źródło"/>
    <tableColumn id="3" xr3:uid="{00000000-0010-0000-1200-000003000000}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3000000}" name="Wydatki7" displayName="Wydatki7" ref="A1:E49" totalsRowShown="0" headerRowDxfId="101" dataDxfId="100" tableBorderDxfId="99">
  <autoFilter ref="A1:E49" xr:uid="{00000000-0009-0000-0100-00000E000000}"/>
  <tableColumns count="5">
    <tableColumn id="1" xr3:uid="{00000000-0010-0000-1300-000001000000}" name="data" dataDxfId="98"/>
    <tableColumn id="2" xr3:uid="{00000000-0010-0000-1300-000002000000}" name="kwota" dataDxfId="97"/>
    <tableColumn id="3" xr3:uid="{00000000-0010-0000-1300-000003000000}" name="kategoria" dataDxfId="96"/>
    <tableColumn id="4" xr3:uid="{00000000-0010-0000-1300-000004000000}" name="na co" dataDxfId="95"/>
    <tableColumn id="6" xr3:uid="{00000000-0010-0000-1300-000006000000}" name="przyjemności" dataDxfId="94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4000000}" name="Budżet71" displayName="Budżet71" ref="L1:O11" totalsRowCount="1">
  <autoFilter ref="L1:O10" xr:uid="{00000000-0009-0000-0100-000022000000}"/>
  <tableColumns count="4">
    <tableColumn id="1" xr3:uid="{00000000-0010-0000-1400-000001000000}" name="kategoria" totalsRowLabel="SUMA"/>
    <tableColumn id="2" xr3:uid="{00000000-0010-0000-1400-000002000000}" name="budżet" totalsRowFunction="custom" dataDxfId="93" totalsRowDxfId="92">
      <totalsRowFormula>SUM(Budżet71[budżet])</totalsRowFormula>
    </tableColumn>
    <tableColumn id="3" xr3:uid="{00000000-0010-0000-1400-000003000000}" name="wydatki" totalsRowFunction="custom" dataDxfId="91" totalsRowDxfId="90">
      <calculatedColumnFormula>SUMIF(Wydatki7[kategoria],Budżet71[[#This Row],[kategoria]],Wydatki7[kwota])</calculatedColumnFormula>
      <totalsRowFormula>SUM(Budżet71[wydatki])</totalsRowFormula>
    </tableColumn>
    <tableColumn id="4" xr3:uid="{00000000-0010-0000-1400-000004000000}" name="pozostało" totalsRowFunction="custom" dataDxfId="89" totalsRowDxfId="88">
      <calculatedColumnFormula>Budżet71[[#This Row],[budżet]]-Budżet71[[#This Row],[wydatki]]</calculatedColumnFormula>
      <totalsRowFormula>SUM(Budżet71[pozostało])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5000000}" name="Przychody8" displayName="Przychody8" ref="F1:I5" totalsRowShown="0">
  <autoFilter ref="F1:I5" xr:uid="{00000000-0009-0000-0100-00000B000000}"/>
  <tableColumns count="4">
    <tableColumn id="1" xr3:uid="{00000000-0010-0000-1500-000001000000}" name="data"/>
    <tableColumn id="5" xr3:uid="{00000000-0010-0000-1500-000005000000}" name="kwota" dataDxfId="87"/>
    <tableColumn id="2" xr3:uid="{00000000-0010-0000-1500-000002000000}" name="źródło"/>
    <tableColumn id="3" xr3:uid="{00000000-0010-0000-1500-000003000000}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6000000}" name="Wydatki8" displayName="Wydatki8" ref="A1:D62" totalsRowShown="0" headerRowDxfId="86" dataDxfId="85" tableBorderDxfId="84">
  <autoFilter ref="A1:D62" xr:uid="{00000000-0009-0000-0100-00000C000000}"/>
  <tableColumns count="4">
    <tableColumn id="2" xr3:uid="{00000000-0010-0000-1600-000002000000}" name="kwota" dataDxfId="83"/>
    <tableColumn id="3" xr3:uid="{00000000-0010-0000-1600-000003000000}" name="kategoria" dataDxfId="82"/>
    <tableColumn id="4" xr3:uid="{00000000-0010-0000-1600-000004000000}" name="na co" dataDxfId="81"/>
    <tableColumn id="6" xr3:uid="{00000000-0010-0000-1600-000006000000}" name="przyjemności" dataDxfId="80">
      <calculatedColumnFormula>FALSE()</calculatedColumnFormula>
    </tableColumn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7000000}" name="Budżet7134" displayName="Budżet7134" ref="K1:N11" totalsRowCount="1">
  <autoFilter ref="K1:N10" xr:uid="{00000000-0009-0000-0100-000021000000}"/>
  <tableColumns count="4">
    <tableColumn id="1" xr3:uid="{00000000-0010-0000-1700-000001000000}" name="kategoria" totalsRowLabel="SUMA"/>
    <tableColumn id="2" xr3:uid="{00000000-0010-0000-1700-000002000000}" name="budżet" totalsRowFunction="custom" dataDxfId="79" totalsRowDxfId="78">
      <totalsRowFormula>SUM(Budżet7134[budżet])</totalsRowFormula>
    </tableColumn>
    <tableColumn id="3" xr3:uid="{00000000-0010-0000-1700-000003000000}" name="wydatki" totalsRowFunction="custom" dataDxfId="77" totalsRowDxfId="76">
      <calculatedColumnFormula>SUMIF(Wydatki8[kategoria],Budżet7134[[#This Row],[kategoria]],Wydatki8[kwota])</calculatedColumnFormula>
      <totalsRowFormula>SUM(Budżet7134[wydatki])</totalsRowFormula>
    </tableColumn>
    <tableColumn id="4" xr3:uid="{00000000-0010-0000-1700-000004000000}" name="pozostało" totalsRowFunction="custom" dataDxfId="75" totalsRowDxfId="74">
      <calculatedColumnFormula>Budżet7134[[#This Row],[budżet]]-Budżet7134[[#This Row],[wydatki]]</calculatedColumnFormula>
      <totalsRowFormula>SUM(Budżet7134[pozostało])</totalsRowFormula>
    </tableColumn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8000000}" name="Przychody9" displayName="Przychody9" ref="F1:I3" totalsRowShown="0">
  <autoFilter ref="F1:I3" xr:uid="{00000000-0009-0000-0100-00001A000000}"/>
  <tableColumns count="4">
    <tableColumn id="1" xr3:uid="{00000000-0010-0000-1800-000001000000}" name="data"/>
    <tableColumn id="5" xr3:uid="{00000000-0010-0000-1800-000005000000}" name="kwota" dataDxfId="73"/>
    <tableColumn id="2" xr3:uid="{00000000-0010-0000-1800-000002000000}" name="źródło"/>
    <tableColumn id="3" xr3:uid="{00000000-0010-0000-1800-000003000000}" name="na/za co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9000000}" name="Wydatki9" displayName="Wydatki9" ref="A1:D24" totalsRowShown="0" headerRowDxfId="17" tableBorderDxfId="16">
  <autoFilter ref="A1:D24" xr:uid="{00000000-0009-0000-0100-00001B000000}"/>
  <tableColumns count="4">
    <tableColumn id="2" xr3:uid="{00000000-0010-0000-1900-000002000000}" name="kwota" dataDxfId="15"/>
    <tableColumn id="3" xr3:uid="{00000000-0010-0000-1900-000003000000}" name="kategoria" dataDxfId="14"/>
    <tableColumn id="4" xr3:uid="{00000000-0010-0000-1900-000004000000}" name="na co" dataDxfId="13"/>
    <tableColumn id="6" xr3:uid="{00000000-0010-0000-1900-000006000000}" name="przyjemności" dataDxfId="12">
      <calculatedColumnFormula>FALSE()</calculatedColumnFormula>
    </tableColumn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A000000}" name="Budżet713436" displayName="Budżet713436" ref="K1:N11" totalsRowCount="1">
  <autoFilter ref="K1:N10" xr:uid="{00000000-0009-0000-0100-000023000000}"/>
  <tableColumns count="4">
    <tableColumn id="1" xr3:uid="{00000000-0010-0000-1A00-000001000000}" name="kategoria" totalsRowLabel="SUMA"/>
    <tableColumn id="2" xr3:uid="{00000000-0010-0000-1A00-000002000000}" name="budżet" totalsRowFunction="custom" dataDxfId="72" totalsRowDxfId="11">
      <totalsRowFormula>SUM(Budżet713436[budżet])</totalsRowFormula>
    </tableColumn>
    <tableColumn id="3" xr3:uid="{00000000-0010-0000-1A00-000003000000}" name="wydatki" totalsRowFunction="custom" dataDxfId="71" totalsRowDxfId="10">
      <calculatedColumnFormula>SUMIF(Wydatki9[kategoria],Budżet713436[[#This Row],[kategoria]],Wydatki9[kwota])</calculatedColumnFormula>
      <totalsRowFormula>SUM(Budżet713436[wydatki])</totalsRowFormula>
    </tableColumn>
    <tableColumn id="4" xr3:uid="{00000000-0010-0000-1A00-000004000000}" name="pozostało" totalsRowFunction="custom" dataDxfId="70" totalsRowDxfId="9">
      <calculatedColumnFormula>Budżet713436[[#This Row],[budżet]]-Budżet713436[[#This Row],[wydatki]]</calculatedColumnFormula>
      <totalsRowFormula>SUM(Budżet713436[pozostało])</totalsRowFormula>
    </tableColumn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B000000}" name="Przychody10" displayName="Przychody10" ref="I1:L3" totalsRowShown="0">
  <autoFilter ref="I1:L3" xr:uid="{00000000-0009-0000-0100-000001000000}"/>
  <tableColumns count="4">
    <tableColumn id="1" xr3:uid="{00000000-0010-0000-1B00-000001000000}" name="data"/>
    <tableColumn id="5" xr3:uid="{00000000-0010-0000-1B00-000005000000}" name="kwota" dataDxfId="69"/>
    <tableColumn id="2" xr3:uid="{00000000-0010-0000-1B00-000002000000}" name="źródło"/>
    <tableColumn id="3" xr3:uid="{00000000-0010-0000-1B00-000003000000}" name="na/za co"/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C000000}" name="Wydatki10" displayName="Wydatki10" ref="A1:G3" totalsRowShown="0" headerRowDxfId="68" dataDxfId="67" tableBorderDxfId="66">
  <autoFilter ref="A1:G3" xr:uid="{00000000-0009-0000-0100-000003000000}"/>
  <tableColumns count="7">
    <tableColumn id="1" xr3:uid="{00000000-0010-0000-1C00-000001000000}" name="data" dataDxfId="65"/>
    <tableColumn id="2" xr3:uid="{00000000-0010-0000-1C00-000002000000}" name="kwota" dataDxfId="64"/>
    <tableColumn id="3" xr3:uid="{00000000-0010-0000-1C00-000003000000}" name="kategoria" dataDxfId="63"/>
    <tableColumn id="4" xr3:uid="{00000000-0010-0000-1C00-000004000000}" name="na co" dataDxfId="62"/>
    <tableColumn id="5" xr3:uid="{00000000-0010-0000-1C00-000005000000}" name="gdzie" dataDxfId="61"/>
    <tableColumn id="6" xr3:uid="{00000000-0010-0000-1C00-000006000000}" name="przyjemności" dataDxfId="60">
      <calculatedColumnFormula>FALSE()</calculatedColumnFormula>
    </tableColumn>
    <tableColumn id="7" xr3:uid="{00000000-0010-0000-1C00-000007000000}" name="stałe" dataDxfId="59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D000000}" name="Przychody11" displayName="Przychody11" ref="I1:L3" totalsRowShown="0">
  <autoFilter ref="I1:L3" xr:uid="{00000000-0009-0000-0100-000007000000}"/>
  <tableColumns count="4">
    <tableColumn id="1" xr3:uid="{00000000-0010-0000-1D00-000001000000}" name="data"/>
    <tableColumn id="5" xr3:uid="{00000000-0010-0000-1D00-000005000000}" name="kwota" dataDxfId="58"/>
    <tableColumn id="2" xr3:uid="{00000000-0010-0000-1D00-000002000000}" name="źródło"/>
    <tableColumn id="3" xr3:uid="{00000000-0010-0000-1D00-000003000000}" name="na/za co"/>
  </tableColumns>
  <tableStyleInfo name="TableStyleLight1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E000000}" name="Wydatki11" displayName="Wydatki11" ref="A1:G3" totalsRowShown="0" headerRowDxfId="57" dataDxfId="56" tableBorderDxfId="55">
  <autoFilter ref="A1:G3" xr:uid="{00000000-0009-0000-0100-000008000000}"/>
  <tableColumns count="7">
    <tableColumn id="1" xr3:uid="{00000000-0010-0000-1E00-000001000000}" name="data" dataDxfId="54"/>
    <tableColumn id="2" xr3:uid="{00000000-0010-0000-1E00-000002000000}" name="kwota" dataDxfId="53"/>
    <tableColumn id="3" xr3:uid="{00000000-0010-0000-1E00-000003000000}" name="kategoria" dataDxfId="52"/>
    <tableColumn id="4" xr3:uid="{00000000-0010-0000-1E00-000004000000}" name="na co" dataDxfId="51"/>
    <tableColumn id="5" xr3:uid="{00000000-0010-0000-1E00-000005000000}" name="gdzie" dataDxfId="50"/>
    <tableColumn id="6" xr3:uid="{00000000-0010-0000-1E00-000006000000}" name="przyjemności" dataDxfId="49">
      <calculatedColumnFormula>FALSE()</calculatedColumnFormula>
    </tableColumn>
    <tableColumn id="7" xr3:uid="{00000000-0010-0000-1E00-000007000000}" name="stałe" dataDxfId="48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F000000}" name="Przychody12" displayName="Przychody12" ref="I1:L3" totalsRowShown="0">
  <autoFilter ref="I1:L3" xr:uid="{00000000-0009-0000-0100-000009000000}"/>
  <tableColumns count="4">
    <tableColumn id="1" xr3:uid="{00000000-0010-0000-1F00-000001000000}" name="data"/>
    <tableColumn id="5" xr3:uid="{00000000-0010-0000-1F00-000005000000}" name="kwota" dataDxfId="47"/>
    <tableColumn id="2" xr3:uid="{00000000-0010-0000-1F00-000002000000}" name="źródło"/>
    <tableColumn id="3" xr3:uid="{00000000-0010-0000-1F00-000003000000}" name="na/za co"/>
  </tableColumns>
  <tableStyleInfo name="TableStyleLight1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20000000}" name="Wydatki12" displayName="Wydatki12" ref="A1:G3" totalsRowShown="0" headerRowDxfId="46" dataDxfId="45" tableBorderDxfId="44">
  <autoFilter ref="A1:G3" xr:uid="{00000000-0009-0000-0100-00000A000000}"/>
  <tableColumns count="7">
    <tableColumn id="1" xr3:uid="{00000000-0010-0000-2000-000001000000}" name="data" dataDxfId="43"/>
    <tableColumn id="2" xr3:uid="{00000000-0010-0000-2000-000002000000}" name="kwota" dataDxfId="42"/>
    <tableColumn id="3" xr3:uid="{00000000-0010-0000-2000-000003000000}" name="kategoria" dataDxfId="41"/>
    <tableColumn id="4" xr3:uid="{00000000-0010-0000-2000-000004000000}" name="na co" dataDxfId="40"/>
    <tableColumn id="5" xr3:uid="{00000000-0010-0000-2000-000005000000}" name="gdzie" dataDxfId="39"/>
    <tableColumn id="6" xr3:uid="{00000000-0010-0000-2000-000006000000}" name="przyjemności" dataDxfId="38">
      <calculatedColumnFormula>FALSE()</calculatedColumnFormula>
    </tableColumn>
    <tableColumn id="7" xr3:uid="{00000000-0010-0000-2000-000007000000}" name="stałe" dataDxfId="37"/>
  </tableColumns>
  <tableStyleInfo name="TableStyleLight10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21000000}" name="Rok" displayName="Rok" ref="A1:I13" totalsRowShown="0">
  <autoFilter ref="A1:I13" xr:uid="{00000000-0009-0000-0100-000006000000}"/>
  <tableColumns count="9">
    <tableColumn id="1" xr3:uid="{00000000-0010-0000-2100-000001000000}" name="miesiąc"/>
    <tableColumn id="5" xr3:uid="{00000000-0010-0000-2100-000005000000}" name="Dochód" dataDxfId="36">
      <calculatedColumnFormula>SUM(#REF!)</calculatedColumnFormula>
    </tableColumn>
    <tableColumn id="4" xr3:uid="{00000000-0010-0000-2100-000004000000}" name="Wydatki" dataDxfId="35">
      <calculatedColumnFormula>SUM(Wydatki10[kwota])</calculatedColumnFormula>
    </tableColumn>
    <tableColumn id="6" xr3:uid="{00000000-0010-0000-2100-000006000000}" name="Wydatki konieczne" dataDxfId="34" dataCellStyle="Procentowy">
      <calculatedColumnFormula array="1">SUM(_xlfn._xlws.FILTER(Wydatki10[kwota],NOT(Wydatki10[przyjemności])))</calculatedColumnFormula>
    </tableColumn>
    <tableColumn id="9" xr3:uid="{00000000-0010-0000-2100-000009000000}" name="Wydatki konieczne [%]" dataDxfId="33" dataCellStyle="Procentowy">
      <calculatedColumnFormula>IF(Rok[[#This Row],[Wydatki]]&gt;0,Rok[[#This Row],[Wydatki konieczne]]/Rok[[#This Row],[Wydatki]],0)</calculatedColumnFormula>
    </tableColumn>
    <tableColumn id="7" xr3:uid="{00000000-0010-0000-2100-000007000000}" name="Wydatki przyjemności" dataDxfId="32" dataCellStyle="Procentowy">
      <calculatedColumnFormula>SUM(_xlfn._xlws.FILTER(#REF!,#REF!))</calculatedColumnFormula>
    </tableColumn>
    <tableColumn id="10" xr3:uid="{00000000-0010-0000-2100-00000A000000}" name="Wydatki przyjemności [%]" dataDxfId="31" dataCellStyle="Procentowy">
      <calculatedColumnFormula>IF(Rok[[#This Row],[Wydatki]]&gt;0,Rok[[#This Row],[Wydatki przyjemności]]/Rok[[#This Row],[Wydatki]],0)</calculatedColumnFormula>
    </tableColumn>
    <tableColumn id="2" xr3:uid="{00000000-0010-0000-2100-000002000000}" name="Oszczędności" dataDxfId="30">
      <calculatedColumnFormula>Rok[[#This Row],[Dochód]]-Rok[[#This Row],[Wydatki]]</calculatedColumnFormula>
    </tableColumn>
    <tableColumn id="3" xr3:uid="{00000000-0010-0000-2100-000003000000}" name="Oszczędności [%]" dataDxfId="29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2000000}" name="Okres" displayName="Okres" ref="A15:I16" totalsRowShown="0" headerRowBorderDxfId="28" tableBorderDxfId="27">
  <autoFilter ref="A15:I16" xr:uid="{00000000-0009-0000-0100-00001C000000}"/>
  <tableColumns count="9">
    <tableColumn id="1" xr3:uid="{00000000-0010-0000-2200-000001000000}" name="okres" dataDxfId="26"/>
    <tableColumn id="2" xr3:uid="{00000000-0010-0000-2200-000002000000}" name="Dochód" dataDxfId="25">
      <calculatedColumnFormula>SUM(Rok[Dochód])</calculatedColumnFormula>
    </tableColumn>
    <tableColumn id="3" xr3:uid="{00000000-0010-0000-2200-000003000000}" name="Wydatki" dataDxfId="24">
      <calculatedColumnFormula>SUM(Rok[Wydatki])</calculatedColumnFormula>
    </tableColumn>
    <tableColumn id="4" xr3:uid="{00000000-0010-0000-2200-000004000000}" name="Wydatki konieczne" dataDxfId="23" dataCellStyle="Procentowy">
      <calculatedColumnFormula>SUM(Rok[Wydatki konieczne])</calculatedColumnFormula>
    </tableColumn>
    <tableColumn id="5" xr3:uid="{00000000-0010-0000-2200-000005000000}" name="Wydatki konieczne [%]" dataDxfId="22" dataCellStyle="Procentowy">
      <calculatedColumnFormula>IF(Okres[[#This Row],[Wydatki]]&gt;0,Okres[[#This Row],[Wydatki konieczne]]/Okres[[#This Row],[Wydatki]],0)</calculatedColumnFormula>
    </tableColumn>
    <tableColumn id="6" xr3:uid="{00000000-0010-0000-2200-000006000000}" name="Wydatki przyjemności" dataDxfId="21">
      <calculatedColumnFormula>SUM(Rok[Wydatki przyjemności])</calculatedColumnFormula>
    </tableColumn>
    <tableColumn id="7" xr3:uid="{00000000-0010-0000-2200-000007000000}" name="Wydatki przyjemności [%]" dataDxfId="20" dataCellStyle="Procentowy">
      <calculatedColumnFormula>IF(Okres[[#This Row],[Wydatki]]&gt;0,Okres[[#This Row],[Wydatki przyjemności]]/Okres[[#This Row],[Wydatki]],0)</calculatedColumnFormula>
    </tableColumn>
    <tableColumn id="8" xr3:uid="{00000000-0010-0000-2200-000008000000}" name="Oszczędności" dataDxfId="19">
      <calculatedColumnFormula>SUM(Rok[Oszczędności])</calculatedColumnFormula>
    </tableColumn>
    <tableColumn id="9" xr3:uid="{00000000-0010-0000-2200-000009000000}" name="Oszczędności [%]" dataDxfId="18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ybe.pl/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O13"/>
  <sheetViews>
    <sheetView workbookViewId="0">
      <selection activeCell="L4" sqref="L4"/>
    </sheetView>
  </sheetViews>
  <sheetFormatPr defaultRowHeight="14.4" x14ac:dyDescent="0.3"/>
  <cols>
    <col min="1" max="1" width="9.88671875" bestFit="1" customWidth="1"/>
    <col min="2" max="2" width="12" style="2" customWidth="1"/>
    <col min="3" max="3" width="14" customWidth="1"/>
    <col min="4" max="4" width="17.44140625" customWidth="1"/>
    <col min="5" max="5" width="17.109375" customWidth="1"/>
    <col min="6" max="6" width="10.44140625" customWidth="1"/>
    <col min="7" max="7" width="17.109375" customWidth="1"/>
    <col min="8" max="8" width="9.5546875" bestFit="1" customWidth="1"/>
    <col min="10" max="10" width="9.88671875" bestFit="1" customWidth="1"/>
    <col min="11" max="11" width="8.88671875" customWidth="1"/>
    <col min="12" max="12" width="14.6640625" customWidth="1"/>
    <col min="13" max="13" width="16.109375" customWidth="1"/>
    <col min="14" max="14" width="11.88671875" customWidth="1"/>
    <col min="15" max="15" width="13.886718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 x14ac:dyDescent="0.3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 x14ac:dyDescent="0.3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 x14ac:dyDescent="0.3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 x14ac:dyDescent="0.3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 x14ac:dyDescent="0.3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 x14ac:dyDescent="0.3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 x14ac:dyDescent="0.3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 x14ac:dyDescent="0.3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 x14ac:dyDescent="0.3">
      <c r="L11" t="s">
        <v>48</v>
      </c>
      <c r="M11" s="2">
        <f>SUM(Budżet1[budżet])</f>
        <v>0</v>
      </c>
      <c r="N11" s="2">
        <f>SUM(Budżet1[wydatki])</f>
        <v>0</v>
      </c>
      <c r="O11" s="2">
        <f>SUM(Budżet1[pozostało])</f>
        <v>0</v>
      </c>
    </row>
    <row r="13" spans="1:15" x14ac:dyDescent="0.3">
      <c r="L13" t="s">
        <v>49</v>
      </c>
      <c r="M13" s="2">
        <f>SUM(Przychody1[kwota])-Budżet1[[#Totals],[budżet]]</f>
        <v>0</v>
      </c>
    </row>
  </sheetData>
  <conditionalFormatting sqref="O2:O10">
    <cfRule type="cellIs" dxfId="8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E5E9"/>
  </sheetPr>
  <dimension ref="A1:Q33"/>
  <sheetViews>
    <sheetView workbookViewId="0">
      <selection activeCell="M8" sqref="M8"/>
    </sheetView>
  </sheetViews>
  <sheetFormatPr defaultRowHeight="14.4" x14ac:dyDescent="0.3"/>
  <cols>
    <col min="1" max="1" width="9.88671875" bestFit="1" customWidth="1"/>
    <col min="2" max="2" width="17.33203125" customWidth="1"/>
    <col min="3" max="3" width="10.88671875" customWidth="1"/>
    <col min="4" max="4" width="17.6640625" customWidth="1"/>
    <col min="6" max="6" width="13.88671875" customWidth="1"/>
    <col min="8" max="8" width="14" customWidth="1"/>
    <col min="10" max="10" width="9.5546875" bestFit="1" customWidth="1"/>
    <col min="12" max="12" width="12.109375" customWidth="1"/>
    <col min="13" max="13" width="12.6640625" customWidth="1"/>
    <col min="14" max="14" width="12.88671875" customWidth="1"/>
    <col min="15" max="15" width="15.109375" customWidth="1"/>
    <col min="16" max="16" width="16.33203125" customWidth="1"/>
    <col min="17" max="17" width="12.109375" customWidth="1"/>
  </cols>
  <sheetData>
    <row r="1" spans="1:17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 x14ac:dyDescent="0.3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 x14ac:dyDescent="0.3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 x14ac:dyDescent="0.3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 x14ac:dyDescent="0.3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 x14ac:dyDescent="0.3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 x14ac:dyDescent="0.3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 x14ac:dyDescent="0.3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 x14ac:dyDescent="0.3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 x14ac:dyDescent="0.3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 x14ac:dyDescent="0.3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SUM(Budżet2[budżet])</f>
        <v>6179.85</v>
      </c>
      <c r="N11" s="2">
        <f>SUM(Budżet2[wydatki])</f>
        <v>6179.85</v>
      </c>
      <c r="O11" s="2">
        <f>SUM(Budżet2[pozostało])</f>
        <v>0</v>
      </c>
      <c r="P11" s="2"/>
      <c r="Q11" s="2"/>
    </row>
    <row r="12" spans="1:17" x14ac:dyDescent="0.3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 x14ac:dyDescent="0.3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 x14ac:dyDescent="0.3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 x14ac:dyDescent="0.3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 x14ac:dyDescent="0.3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 x14ac:dyDescent="0.3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 x14ac:dyDescent="0.3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 x14ac:dyDescent="0.3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 x14ac:dyDescent="0.3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 x14ac:dyDescent="0.3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 x14ac:dyDescent="0.3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 x14ac:dyDescent="0.3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 x14ac:dyDescent="0.3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 x14ac:dyDescent="0.3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 x14ac:dyDescent="0.3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 x14ac:dyDescent="0.3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 x14ac:dyDescent="0.3">
      <c r="A28" s="7"/>
      <c r="B28">
        <v>63.24</v>
      </c>
      <c r="C28" t="s">
        <v>56</v>
      </c>
      <c r="D28" t="s">
        <v>57</v>
      </c>
      <c r="E28" t="b">
        <v>0</v>
      </c>
    </row>
    <row r="29" spans="1:5" x14ac:dyDescent="0.3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 x14ac:dyDescent="0.3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 x14ac:dyDescent="0.3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 x14ac:dyDescent="0.3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 x14ac:dyDescent="0.3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7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CDEC4"/>
  </sheetPr>
  <dimension ref="A1:O40"/>
  <sheetViews>
    <sheetView workbookViewId="0">
      <selection activeCell="N9" sqref="N9"/>
    </sheetView>
  </sheetViews>
  <sheetFormatPr defaultRowHeight="14.4" x14ac:dyDescent="0.3"/>
  <cols>
    <col min="1" max="1" width="12.88671875" customWidth="1"/>
    <col min="2" max="2" width="11.88671875" customWidth="1"/>
    <col min="3" max="3" width="13.109375" customWidth="1"/>
    <col min="4" max="4" width="14.6640625" customWidth="1"/>
    <col min="5" max="5" width="15.88671875" customWidth="1"/>
    <col min="8" max="8" width="12.109375" customWidth="1"/>
    <col min="12" max="12" width="15.44140625" customWidth="1"/>
    <col min="13" max="13" width="13" customWidth="1"/>
    <col min="14" max="15" width="14.1093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 x14ac:dyDescent="0.3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 x14ac:dyDescent="0.3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 x14ac:dyDescent="0.3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 x14ac:dyDescent="0.3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 x14ac:dyDescent="0.3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 x14ac:dyDescent="0.3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 x14ac:dyDescent="0.3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 x14ac:dyDescent="0.3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 x14ac:dyDescent="0.3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SUM(Budżet3[budżet])</f>
        <v>6338.17</v>
      </c>
      <c r="N11" s="2">
        <f>SUM(Budżet3[wydatki])</f>
        <v>11085.17</v>
      </c>
      <c r="O11" s="2">
        <f>SUM(Budżet3[pozostało])</f>
        <v>-4747</v>
      </c>
    </row>
    <row r="12" spans="1:15" x14ac:dyDescent="0.3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 x14ac:dyDescent="0.3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 x14ac:dyDescent="0.3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 x14ac:dyDescent="0.3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 x14ac:dyDescent="0.3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 x14ac:dyDescent="0.3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 x14ac:dyDescent="0.3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 x14ac:dyDescent="0.3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 x14ac:dyDescent="0.3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 x14ac:dyDescent="0.3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 x14ac:dyDescent="0.3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 x14ac:dyDescent="0.3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 x14ac:dyDescent="0.3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 x14ac:dyDescent="0.3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 x14ac:dyDescent="0.3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 x14ac:dyDescent="0.3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 x14ac:dyDescent="0.3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 x14ac:dyDescent="0.3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 x14ac:dyDescent="0.3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 x14ac:dyDescent="0.3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 x14ac:dyDescent="0.3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 x14ac:dyDescent="0.3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 x14ac:dyDescent="0.3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 x14ac:dyDescent="0.3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 x14ac:dyDescent="0.3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 x14ac:dyDescent="0.3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 x14ac:dyDescent="0.3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 x14ac:dyDescent="0.3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 x14ac:dyDescent="0.3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6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D9A4"/>
  </sheetPr>
  <dimension ref="A1:U40"/>
  <sheetViews>
    <sheetView workbookViewId="0">
      <selection activeCell="M6" sqref="M6"/>
    </sheetView>
  </sheetViews>
  <sheetFormatPr defaultRowHeight="14.4" x14ac:dyDescent="0.3"/>
  <cols>
    <col min="1" max="1" width="9.88671875" style="34" bestFit="1" customWidth="1"/>
    <col min="2" max="2" width="14.109375" customWidth="1"/>
    <col min="3" max="3" width="16" customWidth="1"/>
    <col min="4" max="4" width="15.44140625" customWidth="1"/>
    <col min="5" max="5" width="14" customWidth="1"/>
    <col min="8" max="8" width="14.109375" customWidth="1"/>
    <col min="10" max="10" width="9.5546875" bestFit="1" customWidth="1"/>
    <col min="13" max="13" width="14.33203125" customWidth="1"/>
    <col min="14" max="14" width="14.109375" customWidth="1"/>
    <col min="15" max="15" width="13" customWidth="1"/>
    <col min="16" max="16" width="13.5546875" customWidth="1"/>
    <col min="17" max="17" width="17.88671875" customWidth="1"/>
  </cols>
  <sheetData>
    <row r="1" spans="1:21" x14ac:dyDescent="0.3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 x14ac:dyDescent="0.3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 x14ac:dyDescent="0.3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 x14ac:dyDescent="0.3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 x14ac:dyDescent="0.3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 x14ac:dyDescent="0.3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 x14ac:dyDescent="0.3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 x14ac:dyDescent="0.3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 x14ac:dyDescent="0.3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 x14ac:dyDescent="0.3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 x14ac:dyDescent="0.3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SUM(Budżet4[budżet])</f>
        <v>7456.38</v>
      </c>
      <c r="N11" s="2">
        <f>SUM(Budżet4[wydatki])</f>
        <v>7456.38</v>
      </c>
      <c r="O11" s="2">
        <f>SUM(Budżet4[pozostało])</f>
        <v>0</v>
      </c>
    </row>
    <row r="12" spans="1:21" x14ac:dyDescent="0.3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 x14ac:dyDescent="0.3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 x14ac:dyDescent="0.3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 x14ac:dyDescent="0.3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 x14ac:dyDescent="0.3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 x14ac:dyDescent="0.3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 x14ac:dyDescent="0.3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 x14ac:dyDescent="0.3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 x14ac:dyDescent="0.3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 x14ac:dyDescent="0.3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 x14ac:dyDescent="0.3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 x14ac:dyDescent="0.3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 x14ac:dyDescent="0.3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 x14ac:dyDescent="0.3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 x14ac:dyDescent="0.3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 x14ac:dyDescent="0.3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 x14ac:dyDescent="0.3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 x14ac:dyDescent="0.3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 x14ac:dyDescent="0.3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 x14ac:dyDescent="0.3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 x14ac:dyDescent="0.3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 x14ac:dyDescent="0.3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 x14ac:dyDescent="0.3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 x14ac:dyDescent="0.3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 x14ac:dyDescent="0.3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 x14ac:dyDescent="0.3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 x14ac:dyDescent="0.3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 x14ac:dyDescent="0.3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 x14ac:dyDescent="0.3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5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D985"/>
  </sheetPr>
  <dimension ref="A1:P45"/>
  <sheetViews>
    <sheetView workbookViewId="0">
      <selection activeCell="M1" sqref="M1"/>
    </sheetView>
  </sheetViews>
  <sheetFormatPr defaultRowHeight="14.4" x14ac:dyDescent="0.3"/>
  <cols>
    <col min="2" max="2" width="13" customWidth="1"/>
    <col min="3" max="3" width="9.88671875" bestFit="1" customWidth="1"/>
    <col min="9" max="9" width="9.44140625" bestFit="1" customWidth="1"/>
    <col min="13" max="13" width="19.109375" customWidth="1"/>
    <col min="14" max="14" width="14.109375" customWidth="1"/>
    <col min="15" max="15" width="14.88671875" customWidth="1"/>
    <col min="16" max="16" width="14.6640625" customWidth="1"/>
  </cols>
  <sheetData>
    <row r="1" spans="1:16" x14ac:dyDescent="0.3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 x14ac:dyDescent="0.3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 x14ac:dyDescent="0.3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 x14ac:dyDescent="0.3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 x14ac:dyDescent="0.3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 x14ac:dyDescent="0.3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 x14ac:dyDescent="0.3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 x14ac:dyDescent="0.3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 x14ac:dyDescent="0.3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 x14ac:dyDescent="0.3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 x14ac:dyDescent="0.3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SUM(Budżet5[budżet])</f>
        <v>7305.92</v>
      </c>
      <c r="O11" s="2">
        <f>SUM(Budżet5[wydatki])</f>
        <v>7305.92</v>
      </c>
      <c r="P11" s="2">
        <f>SUM(Budżet5[pozostało])</f>
        <v>0</v>
      </c>
    </row>
    <row r="12" spans="1:16" x14ac:dyDescent="0.3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 x14ac:dyDescent="0.3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 x14ac:dyDescent="0.3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 x14ac:dyDescent="0.3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 x14ac:dyDescent="0.3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 x14ac:dyDescent="0.3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 x14ac:dyDescent="0.3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 x14ac:dyDescent="0.3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 x14ac:dyDescent="0.3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 x14ac:dyDescent="0.3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 x14ac:dyDescent="0.3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 x14ac:dyDescent="0.3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 x14ac:dyDescent="0.3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 x14ac:dyDescent="0.3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 x14ac:dyDescent="0.3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 x14ac:dyDescent="0.3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 x14ac:dyDescent="0.3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 x14ac:dyDescent="0.3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 x14ac:dyDescent="0.3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 x14ac:dyDescent="0.3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 x14ac:dyDescent="0.3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 x14ac:dyDescent="0.3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 x14ac:dyDescent="0.3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 x14ac:dyDescent="0.3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 x14ac:dyDescent="0.3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 x14ac:dyDescent="0.3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 x14ac:dyDescent="0.3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 x14ac:dyDescent="0.3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 x14ac:dyDescent="0.3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 x14ac:dyDescent="0.3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 x14ac:dyDescent="0.3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 x14ac:dyDescent="0.3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 x14ac:dyDescent="0.3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 x14ac:dyDescent="0.3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4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99"/>
  </sheetPr>
  <dimension ref="A1:P43"/>
  <sheetViews>
    <sheetView workbookViewId="0">
      <selection activeCell="N5" sqref="N5"/>
    </sheetView>
  </sheetViews>
  <sheetFormatPr defaultRowHeight="14.4" x14ac:dyDescent="0.3"/>
  <cols>
    <col min="1" max="1" width="9.88671875" bestFit="1" customWidth="1"/>
    <col min="2" max="2" width="13.44140625" customWidth="1"/>
    <col min="3" max="3" width="13.88671875" customWidth="1"/>
    <col min="4" max="4" width="17.5546875" customWidth="1"/>
    <col min="8" max="8" width="9.44140625" bestFit="1" customWidth="1"/>
    <col min="9" max="9" width="13.44140625" customWidth="1"/>
    <col min="12" max="12" width="12.109375" customWidth="1"/>
    <col min="13" max="13" width="14.5546875" customWidth="1"/>
    <col min="14" max="14" width="14.44140625" customWidth="1"/>
    <col min="15" max="15" width="15.33203125" customWidth="1"/>
  </cols>
  <sheetData>
    <row r="1" spans="1:16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 x14ac:dyDescent="0.3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 x14ac:dyDescent="0.3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 x14ac:dyDescent="0.3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 x14ac:dyDescent="0.3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 x14ac:dyDescent="0.3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 x14ac:dyDescent="0.3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 x14ac:dyDescent="0.3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 x14ac:dyDescent="0.3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 x14ac:dyDescent="0.3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 x14ac:dyDescent="0.3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SUM(Budżet6[budżet])</f>
        <v>7217.7</v>
      </c>
      <c r="N11" s="2">
        <f>SUM(Budżet6[wydatki])</f>
        <v>9336.7000000000007</v>
      </c>
      <c r="O11" s="2">
        <f>SUM(Budżet6[pozostało])</f>
        <v>-2119</v>
      </c>
    </row>
    <row r="12" spans="1:16" x14ac:dyDescent="0.3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 x14ac:dyDescent="0.3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 x14ac:dyDescent="0.3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 x14ac:dyDescent="0.3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 x14ac:dyDescent="0.3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 x14ac:dyDescent="0.3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 x14ac:dyDescent="0.3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 x14ac:dyDescent="0.3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 x14ac:dyDescent="0.3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 x14ac:dyDescent="0.3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 x14ac:dyDescent="0.3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 x14ac:dyDescent="0.3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 x14ac:dyDescent="0.3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 x14ac:dyDescent="0.3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 x14ac:dyDescent="0.3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 x14ac:dyDescent="0.3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 x14ac:dyDescent="0.3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 x14ac:dyDescent="0.3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 x14ac:dyDescent="0.3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 x14ac:dyDescent="0.3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 x14ac:dyDescent="0.3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 x14ac:dyDescent="0.3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 x14ac:dyDescent="0.3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 x14ac:dyDescent="0.3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 x14ac:dyDescent="0.3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 x14ac:dyDescent="0.3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 x14ac:dyDescent="0.3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 x14ac:dyDescent="0.3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 x14ac:dyDescent="0.3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 x14ac:dyDescent="0.3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 x14ac:dyDescent="0.3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 x14ac:dyDescent="0.3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3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O49"/>
  <sheetViews>
    <sheetView workbookViewId="0">
      <selection activeCell="G21" sqref="G21"/>
    </sheetView>
  </sheetViews>
  <sheetFormatPr defaultRowHeight="14.4" x14ac:dyDescent="0.3"/>
  <cols>
    <col min="2" max="2" width="18.88671875" customWidth="1"/>
    <col min="3" max="3" width="12.88671875" customWidth="1"/>
    <col min="4" max="4" width="16.109375" customWidth="1"/>
    <col min="7" max="7" width="12.6640625" customWidth="1"/>
    <col min="8" max="8" width="12.88671875" customWidth="1"/>
    <col min="9" max="9" width="14.44140625" customWidth="1"/>
    <col min="10" max="10" width="15.33203125" customWidth="1"/>
    <col min="12" max="12" width="13.6640625" customWidth="1"/>
    <col min="13" max="13" width="12.109375" customWidth="1"/>
    <col min="14" max="14" width="12" customWidth="1"/>
    <col min="15" max="15" width="16.1093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A2" s="7"/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9132.75</v>
      </c>
      <c r="I2" t="s">
        <v>205</v>
      </c>
      <c r="J2" s="23">
        <v>45078</v>
      </c>
      <c r="L2" t="s">
        <v>44</v>
      </c>
      <c r="M2" s="2">
        <f>B3+B4+B5</f>
        <v>2827</v>
      </c>
      <c r="N2" s="2">
        <f>SUMIF(Wydatki7[kategoria],Budżet71[[#This Row],[kategoria]],Wydatki7[kwota])</f>
        <v>2827</v>
      </c>
      <c r="O2" s="2">
        <f>Budżet71[[#This Row],[budżet]]-Budżet71[[#This Row],[wydatki]]</f>
        <v>0</v>
      </c>
    </row>
    <row r="3" spans="1:15" x14ac:dyDescent="0.3">
      <c r="A3" s="7"/>
      <c r="B3" s="6">
        <v>260</v>
      </c>
      <c r="C3" s="7" t="s">
        <v>44</v>
      </c>
      <c r="D3" s="4" t="s">
        <v>168</v>
      </c>
      <c r="E3" s="4" t="b">
        <v>0</v>
      </c>
      <c r="G3" s="1"/>
      <c r="H3" s="2">
        <v>16.2</v>
      </c>
      <c r="I3" t="s">
        <v>222</v>
      </c>
      <c r="J3" t="s">
        <v>223</v>
      </c>
      <c r="L3" t="s">
        <v>11</v>
      </c>
      <c r="M3" s="2">
        <v>205.5</v>
      </c>
      <c r="N3" s="2">
        <f>SUMIF(Wydatki7[kategoria],Budżet71[[#This Row],[kategoria]],Wydatki7[kwota])</f>
        <v>205.5</v>
      </c>
      <c r="O3" s="2">
        <f>Budżet71[[#This Row],[budżet]]-Budżet71[[#This Row],[wydatki]]</f>
        <v>0</v>
      </c>
    </row>
    <row r="4" spans="1:15" x14ac:dyDescent="0.3">
      <c r="A4" s="26"/>
      <c r="B4" s="25">
        <v>859</v>
      </c>
      <c r="C4" s="7" t="s">
        <v>44</v>
      </c>
      <c r="D4" s="4" t="s">
        <v>217</v>
      </c>
      <c r="E4" s="27" t="b">
        <f>FALSE()</f>
        <v>0</v>
      </c>
      <c r="L4" t="s">
        <v>9</v>
      </c>
      <c r="M4" s="2">
        <v>2020.86</v>
      </c>
      <c r="N4" s="2">
        <f>SUMIF(Wydatki7[kategoria],Budżet71[[#This Row],[kategoria]],Wydatki7[kwota])</f>
        <v>2020.86</v>
      </c>
      <c r="O4" s="2">
        <f>Budżet71[[#This Row],[budżet]]-Budżet71[[#This Row],[wydatki]]</f>
        <v>0</v>
      </c>
    </row>
    <row r="5" spans="1:15" x14ac:dyDescent="0.3">
      <c r="A5" s="26"/>
      <c r="B5" s="25">
        <v>1708</v>
      </c>
      <c r="C5" s="26" t="s">
        <v>44</v>
      </c>
      <c r="D5" s="4" t="s">
        <v>218</v>
      </c>
      <c r="E5" s="35" t="b">
        <f>FALSE()</f>
        <v>0</v>
      </c>
      <c r="L5" t="s">
        <v>56</v>
      </c>
      <c r="M5" s="2">
        <v>1353.34</v>
      </c>
      <c r="N5" s="2">
        <f>SUMIF(Wydatki7[kategoria],Budżet71[[#This Row],[kategoria]],Wydatki7[kwota])</f>
        <v>1353.3400000000001</v>
      </c>
      <c r="O5" s="2">
        <f>Budżet71[[#This Row],[budżet]]-Budżet71[[#This Row],[wydatki]]</f>
        <v>0</v>
      </c>
    </row>
    <row r="6" spans="1:15" x14ac:dyDescent="0.3">
      <c r="A6" s="26"/>
      <c r="B6" s="25">
        <v>0</v>
      </c>
      <c r="C6" s="26" t="s">
        <v>9</v>
      </c>
      <c r="D6" s="27" t="s">
        <v>186</v>
      </c>
      <c r="E6" s="35" t="b">
        <v>0</v>
      </c>
      <c r="L6" t="s">
        <v>41</v>
      </c>
      <c r="M6" s="2">
        <v>143.79</v>
      </c>
      <c r="N6" s="2">
        <f>SUMIF(Wydatki7[kategoria],Budżet71[[#This Row],[kategoria]],Wydatki7[kwota])</f>
        <v>143.79000000000002</v>
      </c>
      <c r="O6" s="2">
        <f>Budżet71[[#This Row],[budżet]]-Budżet71[[#This Row],[wydatki]]</f>
        <v>0</v>
      </c>
    </row>
    <row r="7" spans="1:15" x14ac:dyDescent="0.3">
      <c r="A7" s="26"/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390.76</v>
      </c>
      <c r="N7" s="2">
        <f>SUMIF(Wydatki7[kategoria],Budżet71[[#This Row],[kategoria]],Wydatki7[kwota])</f>
        <v>390.76</v>
      </c>
      <c r="O7" s="2">
        <f>Budżet71[[#This Row],[budżet]]-Budżet71[[#This Row],[wydatki]]</f>
        <v>0</v>
      </c>
    </row>
    <row r="8" spans="1:15" x14ac:dyDescent="0.3">
      <c r="A8" s="26"/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260</v>
      </c>
      <c r="N8" s="2">
        <f>SUMIF(Wydatki7[kategoria],Budżet71[[#This Row],[kategoria]],Wydatki7[kwota])</f>
        <v>260</v>
      </c>
      <c r="O8" s="2">
        <f>Budżet71[[#This Row],[budżet]]-Budżet71[[#This Row],[wydatki]]</f>
        <v>0</v>
      </c>
    </row>
    <row r="9" spans="1:15" x14ac:dyDescent="0.3">
      <c r="A9" s="26"/>
      <c r="B9" s="25">
        <f>18*6</f>
        <v>108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52</v>
      </c>
      <c r="N9" s="2">
        <f>SUMIF(Wydatki7[kategoria],Budżet71[[#This Row],[kategoria]],Wydatki7[kwota])</f>
        <v>52</v>
      </c>
      <c r="O9" s="2">
        <f>Budżet71[[#This Row],[budżet]]-Budżet71[[#This Row],[wydatki]]</f>
        <v>0</v>
      </c>
    </row>
    <row r="10" spans="1:15" x14ac:dyDescent="0.3">
      <c r="A10" s="26"/>
      <c r="B10" s="25"/>
      <c r="C10" s="26"/>
      <c r="D10" s="27"/>
      <c r="E10" s="35"/>
      <c r="L10" t="s">
        <v>14</v>
      </c>
      <c r="M10" s="2">
        <v>1641.95</v>
      </c>
      <c r="N10" s="2">
        <f>SUMIF(Wydatki7[kategoria],Budżet71[[#This Row],[kategoria]],Wydatki7[kwota])</f>
        <v>1641.95</v>
      </c>
      <c r="O10" s="2">
        <f>Budżet71[[#This Row],[budżet]]-Budżet71[[#This Row],[wydatki]]</f>
        <v>0</v>
      </c>
    </row>
    <row r="11" spans="1:15" x14ac:dyDescent="0.3">
      <c r="A11" s="26"/>
      <c r="B11" s="25"/>
      <c r="C11" s="26"/>
      <c r="D11" s="27"/>
      <c r="E11" s="35"/>
      <c r="L11" t="s">
        <v>48</v>
      </c>
      <c r="M11" s="2">
        <f>SUM(Budżet71[budżet])</f>
        <v>8895.2000000000007</v>
      </c>
      <c r="N11" s="2">
        <f>SUM(Budżet71[wydatki])</f>
        <v>8895.2000000000007</v>
      </c>
      <c r="O11" s="2">
        <f>SUM(Budżet71[pozostało])</f>
        <v>0</v>
      </c>
    </row>
    <row r="12" spans="1:15" x14ac:dyDescent="0.3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 x14ac:dyDescent="0.3">
      <c r="A13" s="36"/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253.75</v>
      </c>
    </row>
    <row r="14" spans="1:15" x14ac:dyDescent="0.3">
      <c r="A14" s="26"/>
      <c r="B14" s="25">
        <v>145</v>
      </c>
      <c r="C14" s="7" t="s">
        <v>42</v>
      </c>
      <c r="D14" s="4" t="s">
        <v>206</v>
      </c>
      <c r="E14" s="27" t="b">
        <v>0</v>
      </c>
    </row>
    <row r="15" spans="1:15" x14ac:dyDescent="0.3">
      <c r="A15" s="26"/>
      <c r="B15" s="25">
        <f>288.79-B14</f>
        <v>143.79000000000002</v>
      </c>
      <c r="C15" s="7" t="s">
        <v>41</v>
      </c>
      <c r="D15" s="4" t="s">
        <v>207</v>
      </c>
      <c r="E15" s="27" t="b">
        <f>FALSE()</f>
        <v>0</v>
      </c>
    </row>
    <row r="16" spans="1:15" x14ac:dyDescent="0.3">
      <c r="A16" s="26"/>
      <c r="B16" s="25">
        <v>107</v>
      </c>
      <c r="C16" s="7" t="s">
        <v>56</v>
      </c>
      <c r="D16" s="4" t="s">
        <v>208</v>
      </c>
      <c r="E16" s="27" t="b">
        <v>1</v>
      </c>
    </row>
    <row r="17" spans="1:7" x14ac:dyDescent="0.3">
      <c r="A17" s="26"/>
      <c r="B17" s="25">
        <v>140.99</v>
      </c>
      <c r="C17" s="7" t="s">
        <v>56</v>
      </c>
      <c r="D17" s="4" t="s">
        <v>215</v>
      </c>
      <c r="E17" s="27" t="b">
        <v>1</v>
      </c>
    </row>
    <row r="18" spans="1:7" x14ac:dyDescent="0.3">
      <c r="A18" s="26"/>
      <c r="B18" s="25">
        <v>41.97</v>
      </c>
      <c r="C18" s="7" t="s">
        <v>56</v>
      </c>
      <c r="D18" s="4" t="s">
        <v>216</v>
      </c>
      <c r="E18" s="27" t="b">
        <f>FALSE()</f>
        <v>0</v>
      </c>
    </row>
    <row r="19" spans="1:7" x14ac:dyDescent="0.3">
      <c r="A19" s="26"/>
      <c r="B19" s="25">
        <v>43.59</v>
      </c>
      <c r="C19" s="7" t="s">
        <v>56</v>
      </c>
      <c r="D19" s="4" t="s">
        <v>89</v>
      </c>
      <c r="E19" s="27" t="b">
        <f>FALSE()</f>
        <v>0</v>
      </c>
    </row>
    <row r="20" spans="1:7" x14ac:dyDescent="0.3">
      <c r="A20" s="26"/>
      <c r="B20" s="25">
        <v>117.5</v>
      </c>
      <c r="C20" s="7" t="s">
        <v>56</v>
      </c>
      <c r="D20" s="4" t="s">
        <v>133</v>
      </c>
      <c r="E20" s="27" t="b">
        <f>FALSE()</f>
        <v>0</v>
      </c>
      <c r="G20" t="s">
        <v>235</v>
      </c>
    </row>
    <row r="21" spans="1:7" x14ac:dyDescent="0.3">
      <c r="A21" s="26"/>
      <c r="B21" s="25">
        <v>93.14</v>
      </c>
      <c r="C21" s="7" t="s">
        <v>56</v>
      </c>
      <c r="D21" s="4" t="s">
        <v>95</v>
      </c>
      <c r="E21" s="27" t="b">
        <f>FALSE()</f>
        <v>0</v>
      </c>
      <c r="G21">
        <v>329.92</v>
      </c>
    </row>
    <row r="22" spans="1:7" x14ac:dyDescent="0.3">
      <c r="A22" s="26"/>
      <c r="B22" s="25">
        <v>108</v>
      </c>
      <c r="C22" s="7" t="s">
        <v>56</v>
      </c>
      <c r="D22" s="4" t="s">
        <v>134</v>
      </c>
      <c r="E22" s="27" t="b">
        <v>1</v>
      </c>
    </row>
    <row r="23" spans="1:7" x14ac:dyDescent="0.3">
      <c r="A23" s="26"/>
      <c r="B23" s="25">
        <v>19.5</v>
      </c>
      <c r="C23" s="7" t="s">
        <v>11</v>
      </c>
      <c r="D23" s="4" t="s">
        <v>209</v>
      </c>
      <c r="E23" s="27" t="b">
        <v>1</v>
      </c>
    </row>
    <row r="24" spans="1:7" x14ac:dyDescent="0.3">
      <c r="A24" s="26"/>
      <c r="B24" s="25">
        <v>3.6</v>
      </c>
      <c r="C24" s="7" t="s">
        <v>14</v>
      </c>
      <c r="D24" s="4" t="s">
        <v>210</v>
      </c>
      <c r="E24" s="27" t="b">
        <f>FALSE()</f>
        <v>0</v>
      </c>
    </row>
    <row r="25" spans="1:7" x14ac:dyDescent="0.3">
      <c r="A25" s="26"/>
      <c r="B25" s="25">
        <v>35</v>
      </c>
      <c r="C25" s="7" t="s">
        <v>14</v>
      </c>
      <c r="D25" s="4" t="s">
        <v>211</v>
      </c>
      <c r="E25" s="27" t="b">
        <v>1</v>
      </c>
    </row>
    <row r="26" spans="1:7" x14ac:dyDescent="0.3">
      <c r="A26" s="26"/>
      <c r="B26" s="25">
        <v>7.99</v>
      </c>
      <c r="C26" s="7" t="s">
        <v>14</v>
      </c>
      <c r="D26" s="4" t="s">
        <v>210</v>
      </c>
      <c r="E26" s="27" t="b">
        <f>FALSE()</f>
        <v>0</v>
      </c>
    </row>
    <row r="27" spans="1:7" x14ac:dyDescent="0.3">
      <c r="A27" s="26"/>
      <c r="B27" s="25">
        <v>53</v>
      </c>
      <c r="C27" s="7" t="s">
        <v>14</v>
      </c>
      <c r="D27" s="4" t="s">
        <v>211</v>
      </c>
      <c r="E27" s="27" t="b">
        <v>1</v>
      </c>
    </row>
    <row r="28" spans="1:7" x14ac:dyDescent="0.3">
      <c r="A28" s="26"/>
      <c r="B28" s="25">
        <v>52</v>
      </c>
      <c r="C28" s="7" t="s">
        <v>13</v>
      </c>
      <c r="D28" s="4" t="s">
        <v>212</v>
      </c>
      <c r="E28" s="27" t="b">
        <f>FALSE()</f>
        <v>0</v>
      </c>
    </row>
    <row r="29" spans="1:7" x14ac:dyDescent="0.3">
      <c r="A29" s="26"/>
      <c r="B29" s="25">
        <v>5.4</v>
      </c>
      <c r="C29" s="7" t="s">
        <v>14</v>
      </c>
      <c r="D29" s="4" t="s">
        <v>178</v>
      </c>
      <c r="E29" s="27" t="b">
        <v>1</v>
      </c>
    </row>
    <row r="30" spans="1:7" x14ac:dyDescent="0.3">
      <c r="A30" s="26"/>
      <c r="B30" s="25">
        <v>2.2000000000000002</v>
      </c>
      <c r="C30" s="7" t="s">
        <v>56</v>
      </c>
      <c r="D30" s="4" t="s">
        <v>98</v>
      </c>
      <c r="E30" s="27" t="b">
        <f>FALSE()</f>
        <v>0</v>
      </c>
    </row>
    <row r="31" spans="1:7" x14ac:dyDescent="0.3">
      <c r="A31" s="26"/>
      <c r="B31" s="6">
        <f>19*2</f>
        <v>38</v>
      </c>
      <c r="C31" s="7" t="s">
        <v>11</v>
      </c>
      <c r="D31" s="4" t="s">
        <v>213</v>
      </c>
      <c r="E31" s="27" t="b">
        <v>1</v>
      </c>
    </row>
    <row r="32" spans="1:7" x14ac:dyDescent="0.3">
      <c r="A32" s="26"/>
      <c r="B32" s="25">
        <v>69</v>
      </c>
      <c r="C32" s="7" t="s">
        <v>14</v>
      </c>
      <c r="D32" s="4" t="s">
        <v>214</v>
      </c>
      <c r="E32" s="27" t="b">
        <v>1</v>
      </c>
    </row>
    <row r="33" spans="1:5" x14ac:dyDescent="0.3">
      <c r="A33" s="26"/>
      <c r="B33" s="25">
        <v>210.76</v>
      </c>
      <c r="C33" s="7" t="s">
        <v>42</v>
      </c>
      <c r="D33" s="37" t="s">
        <v>119</v>
      </c>
      <c r="E33" s="27" t="b">
        <f>FALSE()</f>
        <v>0</v>
      </c>
    </row>
    <row r="34" spans="1:5" x14ac:dyDescent="0.3">
      <c r="A34" s="26"/>
      <c r="B34" s="25">
        <v>260.76</v>
      </c>
      <c r="C34" s="7" t="s">
        <v>56</v>
      </c>
      <c r="D34" s="4" t="s">
        <v>89</v>
      </c>
      <c r="E34" s="27" t="b">
        <f>FALSE()</f>
        <v>0</v>
      </c>
    </row>
    <row r="35" spans="1:5" x14ac:dyDescent="0.3">
      <c r="A35" s="26"/>
      <c r="B35" s="25">
        <v>47.99</v>
      </c>
      <c r="C35" s="7" t="s">
        <v>56</v>
      </c>
      <c r="D35" s="4" t="s">
        <v>89</v>
      </c>
      <c r="E35" s="27" t="b">
        <f>FALSE()</f>
        <v>0</v>
      </c>
    </row>
    <row r="36" spans="1:5" x14ac:dyDescent="0.3">
      <c r="A36" s="26"/>
      <c r="B36" s="25">
        <v>194.22</v>
      </c>
      <c r="C36" s="7" t="s">
        <v>56</v>
      </c>
      <c r="D36" s="4" t="s">
        <v>113</v>
      </c>
      <c r="E36" s="27" t="b">
        <f>FALSE()</f>
        <v>0</v>
      </c>
    </row>
    <row r="37" spans="1:5" x14ac:dyDescent="0.3">
      <c r="A37" s="26"/>
      <c r="B37" s="25">
        <v>59.34</v>
      </c>
      <c r="C37" s="26" t="s">
        <v>56</v>
      </c>
      <c r="D37" s="27" t="s">
        <v>95</v>
      </c>
      <c r="E37" s="27" t="b">
        <f>FALSE()</f>
        <v>0</v>
      </c>
    </row>
    <row r="38" spans="1:5" x14ac:dyDescent="0.3">
      <c r="A38" s="26"/>
      <c r="B38" s="25">
        <v>91.19</v>
      </c>
      <c r="C38" s="26" t="s">
        <v>56</v>
      </c>
      <c r="D38" s="27" t="s">
        <v>89</v>
      </c>
      <c r="E38" s="27" t="b">
        <f>FALSE()</f>
        <v>0</v>
      </c>
    </row>
    <row r="39" spans="1:5" x14ac:dyDescent="0.3">
      <c r="A39" s="26"/>
      <c r="B39" s="25">
        <v>13.46</v>
      </c>
      <c r="C39" s="26" t="s">
        <v>56</v>
      </c>
      <c r="D39" s="27" t="s">
        <v>195</v>
      </c>
      <c r="E39" s="27" t="b">
        <f>FALSE()</f>
        <v>0</v>
      </c>
    </row>
    <row r="40" spans="1:5" x14ac:dyDescent="0.3">
      <c r="A40" s="26"/>
      <c r="B40" s="25">
        <f>1706.4-329.92</f>
        <v>1376.48</v>
      </c>
      <c r="C40" s="26" t="s">
        <v>14</v>
      </c>
      <c r="D40" s="27" t="s">
        <v>219</v>
      </c>
      <c r="E40" s="27" t="b">
        <v>1</v>
      </c>
    </row>
    <row r="41" spans="1:5" x14ac:dyDescent="0.3">
      <c r="A41" s="26"/>
      <c r="B41" s="25">
        <v>20</v>
      </c>
      <c r="C41" s="26" t="s">
        <v>11</v>
      </c>
      <c r="D41" s="27" t="s">
        <v>220</v>
      </c>
      <c r="E41" s="27" t="b">
        <v>1</v>
      </c>
    </row>
    <row r="42" spans="1:5" x14ac:dyDescent="0.3">
      <c r="A42" s="26"/>
      <c r="B42" s="25">
        <v>25.98</v>
      </c>
      <c r="C42" s="26" t="s">
        <v>14</v>
      </c>
      <c r="D42" s="27" t="s">
        <v>10</v>
      </c>
      <c r="E42" s="27" t="b">
        <v>1</v>
      </c>
    </row>
    <row r="43" spans="1:5" x14ac:dyDescent="0.3">
      <c r="A43" s="26"/>
      <c r="B43" s="25">
        <v>15.39</v>
      </c>
      <c r="C43" s="26" t="s">
        <v>14</v>
      </c>
      <c r="D43" s="27" t="s">
        <v>98</v>
      </c>
      <c r="E43" s="27" t="b">
        <v>1</v>
      </c>
    </row>
    <row r="44" spans="1:5" x14ac:dyDescent="0.3">
      <c r="A44" s="26"/>
      <c r="B44" s="25">
        <v>20</v>
      </c>
      <c r="C44" s="26" t="s">
        <v>11</v>
      </c>
      <c r="D44" s="27" t="s">
        <v>221</v>
      </c>
      <c r="E44" s="27" t="b">
        <v>1</v>
      </c>
    </row>
    <row r="45" spans="1:5" x14ac:dyDescent="0.3">
      <c r="A45" s="26"/>
      <c r="B45" s="25">
        <v>35</v>
      </c>
      <c r="C45" s="26" t="s">
        <v>42</v>
      </c>
      <c r="D45" s="27" t="s">
        <v>224</v>
      </c>
      <c r="E45" s="27" t="b">
        <v>1</v>
      </c>
    </row>
    <row r="46" spans="1:5" x14ac:dyDescent="0.3">
      <c r="A46" s="26"/>
      <c r="B46" s="25">
        <v>15.11</v>
      </c>
      <c r="C46" s="26" t="s">
        <v>14</v>
      </c>
      <c r="D46" s="27" t="s">
        <v>225</v>
      </c>
      <c r="E46" s="27" t="b">
        <v>1</v>
      </c>
    </row>
    <row r="47" spans="1:5" x14ac:dyDescent="0.3">
      <c r="A47" s="26"/>
      <c r="B47" s="25">
        <v>10</v>
      </c>
      <c r="C47" s="26" t="s">
        <v>14</v>
      </c>
      <c r="D47" s="27" t="s">
        <v>226</v>
      </c>
      <c r="E47" s="27" t="b">
        <v>1</v>
      </c>
    </row>
    <row r="48" spans="1:5" x14ac:dyDescent="0.3">
      <c r="A48" s="26"/>
      <c r="B48" s="25">
        <v>25</v>
      </c>
      <c r="C48" s="26" t="s">
        <v>14</v>
      </c>
      <c r="D48" s="27" t="s">
        <v>10</v>
      </c>
      <c r="E48" s="27" t="b">
        <v>1</v>
      </c>
    </row>
    <row r="49" spans="1:5" x14ac:dyDescent="0.3">
      <c r="A49" s="26"/>
      <c r="B49" s="25"/>
      <c r="C49" s="26"/>
      <c r="D49" s="27"/>
      <c r="E49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2" priority="4" operator="lessThan">
      <formula>0</formula>
    </cfRule>
  </conditionalFormatting>
  <hyperlinks>
    <hyperlink ref="D33" r:id="rId1" display="www.cybe.pl" xr:uid="{00000000-0004-0000-0600-000000000000}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CB64E"/>
  </sheetPr>
  <dimension ref="A1:N62"/>
  <sheetViews>
    <sheetView workbookViewId="0">
      <selection activeCell="K17" sqref="K17"/>
    </sheetView>
  </sheetViews>
  <sheetFormatPr defaultRowHeight="14.4" x14ac:dyDescent="0.3"/>
  <cols>
    <col min="1" max="1" width="14.88671875" customWidth="1"/>
    <col min="2" max="2" width="9.88671875" bestFit="1" customWidth="1"/>
    <col min="3" max="3" width="19.5546875" customWidth="1"/>
    <col min="7" max="7" width="11.88671875" customWidth="1"/>
    <col min="8" max="8" width="12" customWidth="1"/>
    <col min="12" max="12" width="14.6640625" customWidth="1"/>
    <col min="13" max="13" width="13.88671875" customWidth="1"/>
    <col min="14" max="14" width="16" customWidth="1"/>
    <col min="15" max="15" width="15.109375" customWidth="1"/>
  </cols>
  <sheetData>
    <row r="1" spans="1:14" x14ac:dyDescent="0.3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 x14ac:dyDescent="0.3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9132.75</v>
      </c>
      <c r="H2" t="s">
        <v>231</v>
      </c>
      <c r="I2" s="23">
        <v>45108</v>
      </c>
      <c r="K2" t="s">
        <v>44</v>
      </c>
      <c r="L2" s="2">
        <f>A3+A4+A5+A6+A48</f>
        <v>3603.06</v>
      </c>
      <c r="M2" s="2">
        <f>SUMIF(Wydatki8[kategoria],Budżet7134[[#This Row],[kategoria]],Wydatki8[kwota])</f>
        <v>3603.06</v>
      </c>
      <c r="N2" s="2">
        <f>Budżet7134[[#This Row],[budżet]]-Budżet7134[[#This Row],[wydatki]]</f>
        <v>0</v>
      </c>
    </row>
    <row r="3" spans="1:14" x14ac:dyDescent="0.3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>
        <v>72</v>
      </c>
      <c r="H3" t="s">
        <v>239</v>
      </c>
      <c r="I3" t="s">
        <v>240</v>
      </c>
      <c r="K3" t="s">
        <v>11</v>
      </c>
      <c r="L3" s="2">
        <v>238.6</v>
      </c>
      <c r="M3" s="2">
        <f>SUMIF(Wydatki8[kategoria],Budżet7134[[#This Row],[kategoria]],Wydatki8[kwota])</f>
        <v>238.60000000000002</v>
      </c>
      <c r="N3" s="2">
        <f>Budżet7134[[#This Row],[budżet]]-Budżet7134[[#This Row],[wydatki]]</f>
        <v>0</v>
      </c>
    </row>
    <row r="4" spans="1:14" x14ac:dyDescent="0.3">
      <c r="A4" s="25">
        <v>860</v>
      </c>
      <c r="B4" s="7" t="s">
        <v>44</v>
      </c>
      <c r="C4" s="4" t="s">
        <v>233</v>
      </c>
      <c r="D4" s="27" t="b">
        <f>FALSE()</f>
        <v>0</v>
      </c>
      <c r="G4" s="2">
        <v>40</v>
      </c>
      <c r="H4" t="s">
        <v>239</v>
      </c>
      <c r="I4" t="s">
        <v>252</v>
      </c>
      <c r="K4" t="s">
        <v>9</v>
      </c>
      <c r="L4" s="2">
        <v>2108.98</v>
      </c>
      <c r="M4" s="2">
        <f>SUMIF(Wydatki8[kategoria],Budżet7134[[#This Row],[kategoria]],Wydatki8[kwota])</f>
        <v>2108.98</v>
      </c>
      <c r="N4" s="2">
        <f>Budżet7134[[#This Row],[budżet]]-Budżet7134[[#This Row],[wydatki]]</f>
        <v>0</v>
      </c>
    </row>
    <row r="5" spans="1:14" x14ac:dyDescent="0.3">
      <c r="A5" s="25">
        <v>1708</v>
      </c>
      <c r="B5" s="26" t="s">
        <v>44</v>
      </c>
      <c r="C5" s="4" t="s">
        <v>234</v>
      </c>
      <c r="D5" s="35" t="b">
        <f>FALSE()</f>
        <v>0</v>
      </c>
      <c r="G5" s="2">
        <v>40</v>
      </c>
      <c r="H5" t="s">
        <v>266</v>
      </c>
      <c r="I5" t="s">
        <v>267</v>
      </c>
      <c r="K5" t="s">
        <v>56</v>
      </c>
      <c r="L5" s="2">
        <v>2140.63</v>
      </c>
      <c r="M5" s="2">
        <f>SUMIF(Wydatki8[kategoria],Budżet7134[[#This Row],[kategoria]],Wydatki8[kwota])</f>
        <v>2140.6299999999992</v>
      </c>
      <c r="N5" s="2">
        <f>Budżet7134[[#This Row],[budżet]]-Budżet7134[[#This Row],[wydatki]]</f>
        <v>0</v>
      </c>
    </row>
    <row r="6" spans="1:14" x14ac:dyDescent="0.3">
      <c r="A6" s="25">
        <v>337.06</v>
      </c>
      <c r="B6" s="26" t="s">
        <v>44</v>
      </c>
      <c r="C6" s="27" t="s">
        <v>165</v>
      </c>
      <c r="D6" s="27" t="b">
        <f>FALSE()</f>
        <v>0</v>
      </c>
      <c r="K6" t="s">
        <v>41</v>
      </c>
      <c r="L6" s="2">
        <v>270.66000000000003</v>
      </c>
      <c r="M6" s="2">
        <f>SUMIF(Wydatki8[kategoria],Budżet7134[[#This Row],[kategoria]],Wydatki8[kwota])</f>
        <v>270.65999999999997</v>
      </c>
      <c r="N6" s="2">
        <f>Budżet7134[[#This Row],[budżet]]-Budżet7134[[#This Row],[wydatki]]</f>
        <v>0</v>
      </c>
    </row>
    <row r="7" spans="1:14" x14ac:dyDescent="0.3">
      <c r="A7" s="25">
        <v>88.12</v>
      </c>
      <c r="B7" s="26" t="s">
        <v>9</v>
      </c>
      <c r="C7" s="27" t="s">
        <v>186</v>
      </c>
      <c r="D7" s="35" t="b">
        <f>FALSE()</f>
        <v>0</v>
      </c>
      <c r="K7" t="s">
        <v>42</v>
      </c>
      <c r="L7" s="2">
        <v>554.84</v>
      </c>
      <c r="M7" s="2">
        <f>SUMIF(Wydatki8[kategoria],Budżet7134[[#This Row],[kategoria]],Wydatki8[kwota])</f>
        <v>554.83999999999992</v>
      </c>
      <c r="N7" s="2">
        <f>Budżet7134[[#This Row],[budżet]]-Budżet7134[[#This Row],[wydatki]]</f>
        <v>0</v>
      </c>
    </row>
    <row r="8" spans="1:14" x14ac:dyDescent="0.3">
      <c r="A8" s="25">
        <v>12</v>
      </c>
      <c r="B8" s="26" t="s">
        <v>56</v>
      </c>
      <c r="C8" s="27" t="s">
        <v>172</v>
      </c>
      <c r="D8" s="35" t="b">
        <f>FALSE()</f>
        <v>0</v>
      </c>
      <c r="K8" t="s">
        <v>45</v>
      </c>
      <c r="L8" s="2">
        <v>1520</v>
      </c>
      <c r="M8" s="2">
        <f>SUMIF(Wydatki8[kategoria],Budżet7134[[#This Row],[kategoria]],Wydatki8[kwota])</f>
        <v>1520</v>
      </c>
      <c r="N8" s="2">
        <f>Budżet7134[[#This Row],[budżet]]-Budżet7134[[#This Row],[wydatki]]</f>
        <v>0</v>
      </c>
    </row>
    <row r="9" spans="1:14" x14ac:dyDescent="0.3">
      <c r="A9" s="25">
        <v>19.989999999999998</v>
      </c>
      <c r="B9" s="26" t="s">
        <v>56</v>
      </c>
      <c r="C9" s="27" t="s">
        <v>114</v>
      </c>
      <c r="D9" s="35" t="b">
        <f>FALSE()</f>
        <v>0</v>
      </c>
      <c r="K9" t="s">
        <v>13</v>
      </c>
      <c r="L9" s="2">
        <v>150</v>
      </c>
      <c r="M9" s="2">
        <f>SUMIF(Wydatki8[kategoria],Budżet7134[[#This Row],[kategoria]],Wydatki8[kwota])</f>
        <v>150</v>
      </c>
      <c r="N9" s="2">
        <f>Budżet7134[[#This Row],[budżet]]-Budżet7134[[#This Row],[wydatki]]</f>
        <v>0</v>
      </c>
    </row>
    <row r="10" spans="1:14" x14ac:dyDescent="0.3">
      <c r="A10" s="25">
        <f>18*3</f>
        <v>54</v>
      </c>
      <c r="B10" s="26" t="s">
        <v>11</v>
      </c>
      <c r="C10" s="27" t="s">
        <v>174</v>
      </c>
      <c r="D10" s="35" t="b">
        <f>FALSE()</f>
        <v>0</v>
      </c>
      <c r="K10" t="s">
        <v>14</v>
      </c>
      <c r="L10" s="2">
        <v>570.9</v>
      </c>
      <c r="M10" s="2">
        <f>SUMIF(Wydatki8[kategoria],Budżet7134[[#This Row],[kategoria]],Wydatki8[kwota])</f>
        <v>570.9</v>
      </c>
      <c r="N10" s="2">
        <f>Budżet7134[[#This Row],[budżet]]-Budżet7134[[#This Row],[wydatki]]</f>
        <v>0</v>
      </c>
    </row>
    <row r="11" spans="1:14" x14ac:dyDescent="0.3">
      <c r="A11" s="38">
        <v>86.98</v>
      </c>
      <c r="B11" s="36" t="s">
        <v>56</v>
      </c>
      <c r="C11" s="30" t="s">
        <v>228</v>
      </c>
      <c r="D11" s="30" t="b">
        <f>FALSE()</f>
        <v>0</v>
      </c>
      <c r="K11" t="s">
        <v>48</v>
      </c>
      <c r="L11" s="2">
        <f>SUM(Budżet7134[budżet])</f>
        <v>11157.67</v>
      </c>
      <c r="M11" s="2">
        <f>SUM(Budżet7134[wydatki])</f>
        <v>11157.669999999998</v>
      </c>
      <c r="N11" s="2">
        <f>SUM(Budżet7134[pozostało])</f>
        <v>0</v>
      </c>
    </row>
    <row r="12" spans="1:14" x14ac:dyDescent="0.3">
      <c r="A12" s="38">
        <v>80</v>
      </c>
      <c r="B12" s="36" t="s">
        <v>45</v>
      </c>
      <c r="C12" s="30" t="s">
        <v>229</v>
      </c>
      <c r="D12" s="30" t="b">
        <f>FALSE()</f>
        <v>0</v>
      </c>
    </row>
    <row r="13" spans="1:14" x14ac:dyDescent="0.3">
      <c r="A13" s="38">
        <v>71.73</v>
      </c>
      <c r="B13" s="36" t="s">
        <v>56</v>
      </c>
      <c r="C13" s="30" t="s">
        <v>131</v>
      </c>
      <c r="D13" s="30" t="b">
        <v>1</v>
      </c>
      <c r="K13" t="s">
        <v>49</v>
      </c>
      <c r="L13" s="2">
        <f>SUM(Przychody8[kwota])-Budżet7134[[#Totals],[budżet]]</f>
        <v>-1872.92</v>
      </c>
    </row>
    <row r="14" spans="1:14" x14ac:dyDescent="0.3">
      <c r="A14" s="38">
        <v>24.98</v>
      </c>
      <c r="B14" s="36" t="s">
        <v>56</v>
      </c>
      <c r="C14" s="30" t="s">
        <v>98</v>
      </c>
      <c r="D14" s="30" t="b">
        <f>FALSE()</f>
        <v>0</v>
      </c>
      <c r="F14" s="2"/>
    </row>
    <row r="15" spans="1:14" x14ac:dyDescent="0.3">
      <c r="A15" s="38">
        <v>100</v>
      </c>
      <c r="B15" s="36" t="s">
        <v>56</v>
      </c>
      <c r="C15" s="30" t="s">
        <v>230</v>
      </c>
      <c r="D15" s="30" t="b">
        <f>FALSE()</f>
        <v>0</v>
      </c>
    </row>
    <row r="16" spans="1:14" x14ac:dyDescent="0.3">
      <c r="A16" s="38">
        <v>100</v>
      </c>
      <c r="B16" s="36" t="s">
        <v>11</v>
      </c>
      <c r="C16" s="30" t="s">
        <v>177</v>
      </c>
      <c r="D16" s="30" t="b">
        <f>FALSE()</f>
        <v>0</v>
      </c>
    </row>
    <row r="17" spans="1:4" x14ac:dyDescent="0.3">
      <c r="A17">
        <f>-329.92+436.05</f>
        <v>106.13</v>
      </c>
      <c r="B17" s="26" t="s">
        <v>14</v>
      </c>
      <c r="C17" s="27" t="s">
        <v>236</v>
      </c>
      <c r="D17" s="27" t="b">
        <v>1</v>
      </c>
    </row>
    <row r="18" spans="1:4" x14ac:dyDescent="0.3">
      <c r="A18" s="25">
        <f>4.99+1.48+4.89</f>
        <v>11.36</v>
      </c>
      <c r="B18" s="26" t="s">
        <v>56</v>
      </c>
      <c r="C18" s="27" t="s">
        <v>89</v>
      </c>
      <c r="D18" s="27" t="b">
        <f>FALSE()</f>
        <v>0</v>
      </c>
    </row>
    <row r="19" spans="1:4" x14ac:dyDescent="0.3">
      <c r="A19">
        <v>153.91999999999999</v>
      </c>
      <c r="B19" s="26" t="s">
        <v>56</v>
      </c>
      <c r="C19" s="27" t="s">
        <v>162</v>
      </c>
      <c r="D19" s="27" t="b">
        <f>FALSE()</f>
        <v>0</v>
      </c>
    </row>
    <row r="20" spans="1:4" x14ac:dyDescent="0.3">
      <c r="A20" s="25">
        <v>19.170000000000002</v>
      </c>
      <c r="B20" s="26" t="s">
        <v>56</v>
      </c>
      <c r="C20" s="27" t="s">
        <v>96</v>
      </c>
      <c r="D20" s="27" t="b">
        <v>1</v>
      </c>
    </row>
    <row r="21" spans="1:4" x14ac:dyDescent="0.3">
      <c r="A21" s="25">
        <v>126.7</v>
      </c>
      <c r="B21" s="26" t="s">
        <v>56</v>
      </c>
      <c r="C21" s="27" t="s">
        <v>89</v>
      </c>
      <c r="D21" s="27" t="b">
        <f>FALSE()</f>
        <v>0</v>
      </c>
    </row>
    <row r="22" spans="1:4" x14ac:dyDescent="0.3">
      <c r="A22" s="25">
        <v>94.98</v>
      </c>
      <c r="B22" s="26" t="s">
        <v>56</v>
      </c>
      <c r="C22" s="27" t="s">
        <v>237</v>
      </c>
      <c r="D22" s="27" t="b">
        <v>1</v>
      </c>
    </row>
    <row r="23" spans="1:4" x14ac:dyDescent="0.3">
      <c r="A23" s="25">
        <v>237.46</v>
      </c>
      <c r="B23" s="26" t="s">
        <v>56</v>
      </c>
      <c r="C23" s="27" t="s">
        <v>238</v>
      </c>
      <c r="D23" s="27" t="b">
        <v>1</v>
      </c>
    </row>
    <row r="24" spans="1:4" x14ac:dyDescent="0.3">
      <c r="A24" s="25">
        <v>148.37</v>
      </c>
      <c r="B24" s="26" t="s">
        <v>56</v>
      </c>
      <c r="C24" s="27" t="s">
        <v>85</v>
      </c>
      <c r="D24" s="27" t="b">
        <f>FALSE()</f>
        <v>0</v>
      </c>
    </row>
    <row r="25" spans="1:4" x14ac:dyDescent="0.3">
      <c r="A25" s="25">
        <v>40</v>
      </c>
      <c r="B25" s="26" t="s">
        <v>13</v>
      </c>
      <c r="C25" s="27" t="s">
        <v>241</v>
      </c>
      <c r="D25" s="27" t="b">
        <f>FALSE()</f>
        <v>0</v>
      </c>
    </row>
    <row r="26" spans="1:4" x14ac:dyDescent="0.3">
      <c r="A26" s="25">
        <v>70</v>
      </c>
      <c r="B26" s="26" t="s">
        <v>42</v>
      </c>
      <c r="C26" s="27" t="s">
        <v>242</v>
      </c>
      <c r="D26" s="27" t="b">
        <v>1</v>
      </c>
    </row>
    <row r="27" spans="1:4" x14ac:dyDescent="0.3">
      <c r="A27" s="25">
        <v>13</v>
      </c>
      <c r="B27" s="26" t="s">
        <v>14</v>
      </c>
      <c r="C27" s="27" t="s">
        <v>243</v>
      </c>
      <c r="D27" s="27" t="b">
        <v>1</v>
      </c>
    </row>
    <row r="28" spans="1:4" x14ac:dyDescent="0.3">
      <c r="A28" s="25"/>
      <c r="B28" s="26" t="s">
        <v>14</v>
      </c>
      <c r="C28" s="27" t="s">
        <v>244</v>
      </c>
      <c r="D28" s="27" t="b">
        <v>1</v>
      </c>
    </row>
    <row r="29" spans="1:4" x14ac:dyDescent="0.3">
      <c r="A29" s="25">
        <v>199.06</v>
      </c>
      <c r="B29" s="26" t="s">
        <v>56</v>
      </c>
      <c r="C29" s="27" t="s">
        <v>141</v>
      </c>
      <c r="D29" s="27" t="b">
        <f>FALSE()</f>
        <v>0</v>
      </c>
    </row>
    <row r="30" spans="1:4" x14ac:dyDescent="0.3">
      <c r="A30" s="25">
        <v>139.97999999999999</v>
      </c>
      <c r="B30" s="26" t="s">
        <v>41</v>
      </c>
      <c r="C30" s="27" t="s">
        <v>245</v>
      </c>
      <c r="D30" s="27" t="b">
        <f>FALSE()</f>
        <v>0</v>
      </c>
    </row>
    <row r="31" spans="1:4" x14ac:dyDescent="0.3">
      <c r="A31" s="25">
        <v>42.3</v>
      </c>
      <c r="B31" s="26" t="s">
        <v>11</v>
      </c>
      <c r="C31" s="27" t="s">
        <v>246</v>
      </c>
      <c r="D31" s="27" t="b">
        <f>FALSE()</f>
        <v>0</v>
      </c>
    </row>
    <row r="32" spans="1:4" x14ac:dyDescent="0.3">
      <c r="A32" s="25">
        <v>40</v>
      </c>
      <c r="B32" s="26" t="s">
        <v>13</v>
      </c>
      <c r="C32" s="27" t="s">
        <v>247</v>
      </c>
      <c r="D32" s="27" t="b">
        <f>FALSE()</f>
        <v>0</v>
      </c>
    </row>
    <row r="33" spans="1:4" x14ac:dyDescent="0.3">
      <c r="A33" s="25">
        <v>10</v>
      </c>
      <c r="B33" s="26" t="s">
        <v>14</v>
      </c>
      <c r="C33" s="27" t="s">
        <v>248</v>
      </c>
      <c r="D33" s="27" t="b">
        <v>1</v>
      </c>
    </row>
    <row r="34" spans="1:4" x14ac:dyDescent="0.3">
      <c r="A34" s="25">
        <v>87.51</v>
      </c>
      <c r="B34" s="26" t="s">
        <v>14</v>
      </c>
      <c r="C34" s="27" t="s">
        <v>249</v>
      </c>
      <c r="D34" s="27" t="b">
        <f>FALSE()</f>
        <v>0</v>
      </c>
    </row>
    <row r="35" spans="1:4" x14ac:dyDescent="0.3">
      <c r="A35" s="25">
        <v>12.5</v>
      </c>
      <c r="B35" s="26" t="s">
        <v>14</v>
      </c>
      <c r="C35" s="27" t="s">
        <v>250</v>
      </c>
      <c r="D35" s="27" t="b">
        <v>1</v>
      </c>
    </row>
    <row r="36" spans="1:4" x14ac:dyDescent="0.3">
      <c r="A36" s="25">
        <v>77.819999999999993</v>
      </c>
      <c r="B36" s="26" t="s">
        <v>14</v>
      </c>
      <c r="C36" s="27" t="s">
        <v>251</v>
      </c>
      <c r="D36" s="27" t="b">
        <f>FALSE()</f>
        <v>0</v>
      </c>
    </row>
    <row r="37" spans="1:4" x14ac:dyDescent="0.3">
      <c r="A37" s="25">
        <v>32</v>
      </c>
      <c r="B37" s="26" t="s">
        <v>253</v>
      </c>
      <c r="C37" s="27" t="s">
        <v>257</v>
      </c>
      <c r="D37" s="27" t="b">
        <f>FALSE()</f>
        <v>0</v>
      </c>
    </row>
    <row r="38" spans="1:4" x14ac:dyDescent="0.3">
      <c r="A38" s="25">
        <v>120</v>
      </c>
      <c r="B38" s="26" t="s">
        <v>14</v>
      </c>
      <c r="C38" s="27" t="s">
        <v>254</v>
      </c>
      <c r="D38" s="27" t="b">
        <v>1</v>
      </c>
    </row>
    <row r="39" spans="1:4" x14ac:dyDescent="0.3">
      <c r="A39" s="25">
        <v>35</v>
      </c>
      <c r="B39" s="26" t="s">
        <v>14</v>
      </c>
      <c r="C39" s="27" t="s">
        <v>255</v>
      </c>
      <c r="D39" s="27" t="b">
        <f>FALSE()</f>
        <v>0</v>
      </c>
    </row>
    <row r="40" spans="1:4" x14ac:dyDescent="0.3">
      <c r="A40" s="25">
        <v>30</v>
      </c>
      <c r="B40" s="26" t="s">
        <v>14</v>
      </c>
      <c r="C40" s="27" t="s">
        <v>256</v>
      </c>
      <c r="D40" s="27" t="b">
        <v>1</v>
      </c>
    </row>
    <row r="41" spans="1:4" x14ac:dyDescent="0.3">
      <c r="A41" s="25">
        <v>19.739999999999998</v>
      </c>
      <c r="B41" s="26" t="s">
        <v>14</v>
      </c>
      <c r="C41" s="27" t="s">
        <v>249</v>
      </c>
      <c r="D41" s="27" t="b">
        <f>FALSE()</f>
        <v>0</v>
      </c>
    </row>
    <row r="42" spans="1:4" x14ac:dyDescent="0.3">
      <c r="A42" s="25">
        <v>42.3</v>
      </c>
      <c r="B42" s="26" t="s">
        <v>11</v>
      </c>
      <c r="C42" s="27" t="s">
        <v>258</v>
      </c>
      <c r="D42" s="27" t="b">
        <v>1</v>
      </c>
    </row>
    <row r="43" spans="1:4" x14ac:dyDescent="0.3">
      <c r="A43" s="25">
        <v>11.4</v>
      </c>
      <c r="B43" s="26" t="s">
        <v>14</v>
      </c>
      <c r="C43" s="27" t="s">
        <v>259</v>
      </c>
      <c r="D43" s="27" t="b">
        <f>FALSE()</f>
        <v>0</v>
      </c>
    </row>
    <row r="44" spans="1:4" x14ac:dyDescent="0.3">
      <c r="A44" s="25">
        <v>130.68</v>
      </c>
      <c r="B44" s="26" t="s">
        <v>41</v>
      </c>
      <c r="C44" s="27" t="s">
        <v>260</v>
      </c>
      <c r="D44" s="27" t="s">
        <v>261</v>
      </c>
    </row>
    <row r="45" spans="1:4" x14ac:dyDescent="0.3">
      <c r="A45" s="25">
        <v>20</v>
      </c>
      <c r="B45" s="26" t="s">
        <v>56</v>
      </c>
      <c r="C45" s="27" t="s">
        <v>262</v>
      </c>
      <c r="D45" s="27" t="b">
        <f>FALSE()</f>
        <v>0</v>
      </c>
    </row>
    <row r="46" spans="1:4" x14ac:dyDescent="0.3">
      <c r="A46" s="25">
        <v>110.02</v>
      </c>
      <c r="B46" s="26" t="s">
        <v>56</v>
      </c>
      <c r="C46" s="27" t="s">
        <v>89</v>
      </c>
      <c r="D46" s="27" t="b">
        <f>FALSE()</f>
        <v>0</v>
      </c>
    </row>
    <row r="47" spans="1:4" x14ac:dyDescent="0.3">
      <c r="A47" s="25">
        <v>484.84</v>
      </c>
      <c r="B47" s="26" t="s">
        <v>42</v>
      </c>
      <c r="C47" s="27" t="s">
        <v>99</v>
      </c>
      <c r="D47" s="27" t="b">
        <v>1</v>
      </c>
    </row>
    <row r="48" spans="1:4" x14ac:dyDescent="0.3">
      <c r="A48" s="25">
        <v>438</v>
      </c>
      <c r="B48" s="26" t="s">
        <v>44</v>
      </c>
      <c r="C48" s="27" t="s">
        <v>263</v>
      </c>
      <c r="D48" s="27" t="b">
        <f>FALSE()</f>
        <v>0</v>
      </c>
    </row>
    <row r="49" spans="1:4" x14ac:dyDescent="0.3">
      <c r="A49" s="25">
        <v>1440</v>
      </c>
      <c r="B49" s="26" t="s">
        <v>45</v>
      </c>
      <c r="C49" s="27" t="s">
        <v>264</v>
      </c>
      <c r="D49" s="27" t="b">
        <f>FALSE()</f>
        <v>0</v>
      </c>
    </row>
    <row r="50" spans="1:4" x14ac:dyDescent="0.3">
      <c r="A50" s="25">
        <v>20.61</v>
      </c>
      <c r="B50" s="26" t="s">
        <v>56</v>
      </c>
      <c r="C50" s="27" t="s">
        <v>195</v>
      </c>
      <c r="D50" s="27" t="b">
        <f>FALSE()</f>
        <v>0</v>
      </c>
    </row>
    <row r="51" spans="1:4" x14ac:dyDescent="0.3">
      <c r="A51" s="25">
        <v>2.99</v>
      </c>
      <c r="B51" s="26" t="s">
        <v>56</v>
      </c>
      <c r="C51" s="27" t="s">
        <v>98</v>
      </c>
      <c r="D51" s="27" t="b">
        <f>FALSE()</f>
        <v>0</v>
      </c>
    </row>
    <row r="52" spans="1:4" x14ac:dyDescent="0.3">
      <c r="A52" s="25">
        <v>73.03</v>
      </c>
      <c r="B52" s="26" t="s">
        <v>56</v>
      </c>
      <c r="C52" s="27" t="s">
        <v>85</v>
      </c>
      <c r="D52" s="27" t="b">
        <f>FALSE()</f>
        <v>0</v>
      </c>
    </row>
    <row r="53" spans="1:4" x14ac:dyDescent="0.3">
      <c r="A53" s="25">
        <v>48.96</v>
      </c>
      <c r="B53" s="26" t="s">
        <v>56</v>
      </c>
      <c r="C53" s="27" t="s">
        <v>268</v>
      </c>
      <c r="D53" s="27" t="b">
        <v>1</v>
      </c>
    </row>
    <row r="54" spans="1:4" x14ac:dyDescent="0.3">
      <c r="A54" s="25">
        <v>26.75</v>
      </c>
      <c r="B54" s="26" t="s">
        <v>56</v>
      </c>
      <c r="C54" s="27" t="s">
        <v>95</v>
      </c>
      <c r="D54" s="27" t="b">
        <f>FALSE()</f>
        <v>0</v>
      </c>
    </row>
    <row r="55" spans="1:4" x14ac:dyDescent="0.3">
      <c r="A55" s="25">
        <f>87.88-70</f>
        <v>17.879999999999995</v>
      </c>
      <c r="B55" s="26" t="s">
        <v>56</v>
      </c>
      <c r="C55" s="27" t="s">
        <v>188</v>
      </c>
      <c r="D55" s="27" t="b">
        <v>1</v>
      </c>
    </row>
    <row r="56" spans="1:4" x14ac:dyDescent="0.3">
      <c r="A56" s="25">
        <v>70</v>
      </c>
      <c r="B56" s="26" t="s">
        <v>13</v>
      </c>
      <c r="C56" s="27" t="s">
        <v>269</v>
      </c>
      <c r="D56" s="27" t="b">
        <f>FALSE()</f>
        <v>0</v>
      </c>
    </row>
    <row r="57" spans="1:4" x14ac:dyDescent="0.3">
      <c r="A57" s="25">
        <v>339.99</v>
      </c>
      <c r="B57" s="26" t="s">
        <v>56</v>
      </c>
      <c r="C57" s="27" t="s">
        <v>271</v>
      </c>
      <c r="D57" s="27" t="b">
        <f>FALSE()</f>
        <v>0</v>
      </c>
    </row>
    <row r="58" spans="1:4" x14ac:dyDescent="0.3">
      <c r="A58" s="25">
        <v>13.59</v>
      </c>
      <c r="B58" s="26" t="s">
        <v>56</v>
      </c>
      <c r="C58" s="27" t="s">
        <v>94</v>
      </c>
      <c r="D58" s="27" t="b">
        <f>FALSE()</f>
        <v>0</v>
      </c>
    </row>
    <row r="59" spans="1:4" x14ac:dyDescent="0.3">
      <c r="A59" s="25">
        <v>63.62</v>
      </c>
      <c r="B59" s="26" t="s">
        <v>56</v>
      </c>
      <c r="C59" s="27" t="s">
        <v>141</v>
      </c>
      <c r="D59" s="27" t="b">
        <f>FALSE()</f>
        <v>0</v>
      </c>
    </row>
    <row r="60" spans="1:4" x14ac:dyDescent="0.3">
      <c r="A60" s="25">
        <v>47.8</v>
      </c>
      <c r="B60" s="26" t="s">
        <v>14</v>
      </c>
      <c r="C60" s="27" t="s">
        <v>270</v>
      </c>
      <c r="D60" s="27" t="b">
        <v>1</v>
      </c>
    </row>
    <row r="61" spans="1:4" x14ac:dyDescent="0.3">
      <c r="A61" s="25">
        <v>96.49</v>
      </c>
      <c r="B61" s="26" t="s">
        <v>56</v>
      </c>
      <c r="C61" s="27" t="s">
        <v>85</v>
      </c>
      <c r="D61" s="27" t="b">
        <f>FALSE()</f>
        <v>0</v>
      </c>
    </row>
    <row r="62" spans="1:4" x14ac:dyDescent="0.3">
      <c r="A62" s="25"/>
      <c r="B62" s="26"/>
      <c r="C62" s="27"/>
      <c r="D62" s="27" t="b">
        <f>FALSE()</f>
        <v>0</v>
      </c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38D6D"/>
  </sheetPr>
  <dimension ref="A1:N44"/>
  <sheetViews>
    <sheetView tabSelected="1" workbookViewId="0">
      <selection activeCell="G15" sqref="G15"/>
    </sheetView>
  </sheetViews>
  <sheetFormatPr defaultRowHeight="14.4" x14ac:dyDescent="0.3"/>
  <cols>
    <col min="1" max="1" width="13.5546875" style="1" customWidth="1"/>
    <col min="2" max="2" width="15.109375" style="2" customWidth="1"/>
    <col min="3" max="3" width="12.77734375" customWidth="1"/>
    <col min="4" max="4" width="20.33203125" customWidth="1"/>
    <col min="5" max="5" width="8.33203125" customWidth="1"/>
    <col min="6" max="6" width="5.44140625" customWidth="1"/>
    <col min="7" max="7" width="9.44140625" bestFit="1" customWidth="1"/>
    <col min="9" max="9" width="8.88671875" customWidth="1"/>
    <col min="10" max="10" width="9.44140625" bestFit="1" customWidth="1"/>
    <col min="11" max="11" width="15.33203125" customWidth="1"/>
    <col min="12" max="12" width="14.44140625" customWidth="1"/>
    <col min="13" max="13" width="18.109375" customWidth="1"/>
    <col min="14" max="14" width="12.5546875" customWidth="1"/>
  </cols>
  <sheetData>
    <row r="1" spans="1:14" x14ac:dyDescent="0.3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 x14ac:dyDescent="0.3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9065.1</v>
      </c>
      <c r="H2" t="s">
        <v>231</v>
      </c>
      <c r="I2" s="23">
        <v>45139</v>
      </c>
      <c r="K2" t="s">
        <v>44</v>
      </c>
      <c r="L2" s="2">
        <v>3604.06</v>
      </c>
      <c r="M2" s="2">
        <f>SUMIF(Wydatki9[kategoria],Budżet713436[[#This Row],[kategoria]],Wydatki9[kwota])</f>
        <v>3604.06</v>
      </c>
      <c r="N2" s="2">
        <f>Budżet713436[[#This Row],[budżet]]-Budżet713436[[#This Row],[wydatki]]</f>
        <v>0</v>
      </c>
    </row>
    <row r="3" spans="1:14" x14ac:dyDescent="0.3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/>
      <c r="K3" t="s">
        <v>11</v>
      </c>
      <c r="L3" s="2">
        <v>200</v>
      </c>
      <c r="M3" s="2">
        <f>SUMIF(Wydatki9[kategoria],Budżet713436[[#This Row],[kategoria]],Wydatki9[kwota])</f>
        <v>73.5</v>
      </c>
      <c r="N3" s="2">
        <f>Budżet713436[[#This Row],[budżet]]-Budżet713436[[#This Row],[wydatki]]</f>
        <v>126.5</v>
      </c>
    </row>
    <row r="4" spans="1:14" x14ac:dyDescent="0.3">
      <c r="A4" s="25">
        <v>860</v>
      </c>
      <c r="B4" s="7" t="s">
        <v>44</v>
      </c>
      <c r="C4" s="4" t="s">
        <v>233</v>
      </c>
      <c r="D4" s="27" t="b">
        <f>FALSE()</f>
        <v>0</v>
      </c>
      <c r="K4" t="s">
        <v>9</v>
      </c>
      <c r="L4" s="2">
        <v>2108.98</v>
      </c>
      <c r="M4" s="2">
        <f>SUMIF(Wydatki9[kategoria],Budżet713436[[#This Row],[kategoria]],Wydatki9[kwota])</f>
        <v>2108.98</v>
      </c>
      <c r="N4" s="2">
        <f>Budżet713436[[#This Row],[budżet]]-Budżet713436[[#This Row],[wydatki]]</f>
        <v>0</v>
      </c>
    </row>
    <row r="5" spans="1:14" x14ac:dyDescent="0.3">
      <c r="A5" s="25">
        <v>1708</v>
      </c>
      <c r="B5" s="26" t="s">
        <v>44</v>
      </c>
      <c r="C5" s="4" t="s">
        <v>234</v>
      </c>
      <c r="D5" s="35" t="b">
        <f>FALSE()</f>
        <v>0</v>
      </c>
      <c r="K5" t="s">
        <v>56</v>
      </c>
      <c r="L5" s="2">
        <v>1500</v>
      </c>
      <c r="M5" s="2">
        <f>SUMIF(Wydatki9[kategoria],Budżet713436[[#This Row],[kategoria]],Wydatki9[kwota])</f>
        <v>662.81</v>
      </c>
      <c r="N5" s="2">
        <f>Budżet713436[[#This Row],[budżet]]-Budżet713436[[#This Row],[wydatki]]</f>
        <v>837.19</v>
      </c>
    </row>
    <row r="6" spans="1:14" x14ac:dyDescent="0.3">
      <c r="A6" s="25">
        <v>337.06</v>
      </c>
      <c r="B6" s="26" t="s">
        <v>44</v>
      </c>
      <c r="C6" s="27" t="s">
        <v>165</v>
      </c>
      <c r="D6" s="27" t="b">
        <f>FALSE()</f>
        <v>0</v>
      </c>
      <c r="K6" t="s">
        <v>41</v>
      </c>
      <c r="L6" s="2">
        <v>100</v>
      </c>
      <c r="M6" s="2">
        <f>SUMIF(Wydatki9[kategoria],Budżet713436[[#This Row],[kategoria]],Wydatki9[kwota])</f>
        <v>0</v>
      </c>
      <c r="N6" s="2">
        <f>Budżet713436[[#This Row],[budżet]]-Budżet713436[[#This Row],[wydatki]]</f>
        <v>100</v>
      </c>
    </row>
    <row r="7" spans="1:14" x14ac:dyDescent="0.3">
      <c r="A7" s="25">
        <v>88.12</v>
      </c>
      <c r="B7" s="26" t="s">
        <v>9</v>
      </c>
      <c r="C7" s="27" t="s">
        <v>186</v>
      </c>
      <c r="D7" s="35" t="b">
        <f>FALSE()</f>
        <v>0</v>
      </c>
      <c r="E7" t="s">
        <v>128</v>
      </c>
      <c r="K7" t="s">
        <v>42</v>
      </c>
      <c r="L7" s="2">
        <v>500</v>
      </c>
      <c r="M7" s="2">
        <f>SUMIF(Wydatki9[kategoria],Budżet713436[[#This Row],[kategoria]],Wydatki9[kwota])</f>
        <v>120.2</v>
      </c>
      <c r="N7" s="2">
        <f>Budżet713436[[#This Row],[budżet]]-Budżet713436[[#This Row],[wydatki]]</f>
        <v>379.8</v>
      </c>
    </row>
    <row r="8" spans="1:14" x14ac:dyDescent="0.3">
      <c r="A8" s="25">
        <v>12</v>
      </c>
      <c r="B8" s="26" t="s">
        <v>56</v>
      </c>
      <c r="C8" s="27" t="s">
        <v>172</v>
      </c>
      <c r="D8" s="35" t="b">
        <f>FALSE()</f>
        <v>0</v>
      </c>
      <c r="K8" t="s">
        <v>45</v>
      </c>
      <c r="L8" s="2">
        <v>100</v>
      </c>
      <c r="M8" s="2">
        <f>SUMIF(Wydatki9[kategoria],Budżet713436[[#This Row],[kategoria]],Wydatki9[kwota])</f>
        <v>0</v>
      </c>
      <c r="N8" s="2">
        <f>Budżet713436[[#This Row],[budżet]]-Budżet713436[[#This Row],[wydatki]]</f>
        <v>100</v>
      </c>
    </row>
    <row r="9" spans="1:14" x14ac:dyDescent="0.3">
      <c r="A9" s="25">
        <v>19.989999999999998</v>
      </c>
      <c r="B9" s="26" t="s">
        <v>56</v>
      </c>
      <c r="C9" s="27" t="s">
        <v>114</v>
      </c>
      <c r="D9" s="35" t="b">
        <f>FALSE()</f>
        <v>0</v>
      </c>
      <c r="K9" t="s">
        <v>13</v>
      </c>
      <c r="L9" s="2">
        <v>50</v>
      </c>
      <c r="M9" s="2">
        <f>SUMIF(Wydatki9[kategoria],Budżet713436[[#This Row],[kategoria]],Wydatki9[kwota])</f>
        <v>0</v>
      </c>
      <c r="N9" s="2">
        <f>Budżet713436[[#This Row],[budżet]]-Budżet713436[[#This Row],[wydatki]]</f>
        <v>50</v>
      </c>
    </row>
    <row r="10" spans="1:14" x14ac:dyDescent="0.3">
      <c r="A10" s="25">
        <f>18*3</f>
        <v>54</v>
      </c>
      <c r="B10" s="26" t="s">
        <v>11</v>
      </c>
      <c r="C10" s="27" t="s">
        <v>174</v>
      </c>
      <c r="D10" s="35" t="b">
        <f>FALSE()</f>
        <v>0</v>
      </c>
      <c r="K10" t="s">
        <v>14</v>
      </c>
      <c r="L10" s="2">
        <v>200</v>
      </c>
      <c r="M10" s="2">
        <f>SUMIF(Wydatki9[kategoria],Budżet713436[[#This Row],[kategoria]],Wydatki9[kwota])</f>
        <v>113.98</v>
      </c>
      <c r="N10" s="2">
        <f>Budżet713436[[#This Row],[budżet]]-Budżet713436[[#This Row],[wydatki]]</f>
        <v>86.02</v>
      </c>
    </row>
    <row r="11" spans="1:14" x14ac:dyDescent="0.3">
      <c r="A11" s="25">
        <v>2.99</v>
      </c>
      <c r="B11" s="26" t="s">
        <v>56</v>
      </c>
      <c r="C11" s="26" t="s">
        <v>272</v>
      </c>
      <c r="D11" s="27" t="b">
        <f>FALSE()</f>
        <v>0</v>
      </c>
      <c r="K11" t="s">
        <v>48</v>
      </c>
      <c r="L11" s="2">
        <f>SUM(Budżet713436[budżet])</f>
        <v>8363.0400000000009</v>
      </c>
      <c r="M11" s="2">
        <f>SUM(Budżet713436[wydatki])</f>
        <v>6683.53</v>
      </c>
      <c r="N11" s="2">
        <f>SUM(Budżet713436[pozostało])</f>
        <v>1679.51</v>
      </c>
    </row>
    <row r="12" spans="1:14" x14ac:dyDescent="0.3">
      <c r="A12" s="25"/>
      <c r="B12" s="26"/>
      <c r="C12" s="27"/>
      <c r="D12" s="27"/>
    </row>
    <row r="13" spans="1:14" x14ac:dyDescent="0.3">
      <c r="A13" s="25">
        <v>3.8</v>
      </c>
      <c r="B13" s="39" t="s">
        <v>56</v>
      </c>
      <c r="C13" s="39" t="s">
        <v>98</v>
      </c>
      <c r="D13" s="27" t="b">
        <f>FALSE()</f>
        <v>0</v>
      </c>
      <c r="K13" t="s">
        <v>49</v>
      </c>
      <c r="L13" s="2">
        <f>SUM(Przychody8[kwota])-Budżet713436[[#Totals],[budżet]]</f>
        <v>921.70999999999913</v>
      </c>
    </row>
    <row r="14" spans="1:14" x14ac:dyDescent="0.3">
      <c r="A14" s="25">
        <v>60.16</v>
      </c>
      <c r="B14" s="39" t="s">
        <v>56</v>
      </c>
      <c r="C14" s="39" t="s">
        <v>95</v>
      </c>
      <c r="D14" s="27" t="b">
        <f>FALSE()</f>
        <v>0</v>
      </c>
    </row>
    <row r="15" spans="1:14" x14ac:dyDescent="0.3">
      <c r="A15" s="25">
        <v>84.53</v>
      </c>
      <c r="B15" s="39" t="s">
        <v>56</v>
      </c>
      <c r="C15" s="39" t="s">
        <v>85</v>
      </c>
      <c r="D15" s="27" t="b">
        <f>FALSE()</f>
        <v>0</v>
      </c>
    </row>
    <row r="16" spans="1:14" x14ac:dyDescent="0.3">
      <c r="A16" s="25">
        <v>19.5</v>
      </c>
      <c r="B16" s="39" t="s">
        <v>11</v>
      </c>
      <c r="C16" s="39" t="s">
        <v>273</v>
      </c>
      <c r="D16" s="27" t="b">
        <v>1</v>
      </c>
    </row>
    <row r="17" spans="1:4" x14ac:dyDescent="0.3">
      <c r="A17" s="25">
        <v>51</v>
      </c>
      <c r="B17" s="39" t="s">
        <v>14</v>
      </c>
      <c r="C17" s="39" t="s">
        <v>274</v>
      </c>
      <c r="D17" s="27" t="b">
        <v>1</v>
      </c>
    </row>
    <row r="18" spans="1:4" x14ac:dyDescent="0.3">
      <c r="A18" s="25">
        <v>51</v>
      </c>
      <c r="B18" s="39" t="s">
        <v>14</v>
      </c>
      <c r="C18" s="39" t="s">
        <v>275</v>
      </c>
      <c r="D18" s="27" t="b">
        <v>1</v>
      </c>
    </row>
    <row r="19" spans="1:4" x14ac:dyDescent="0.3">
      <c r="A19" s="25">
        <v>346.98</v>
      </c>
      <c r="B19" s="39" t="s">
        <v>56</v>
      </c>
      <c r="C19" s="39" t="s">
        <v>238</v>
      </c>
      <c r="D19" s="27" t="b">
        <f>FALSE()</f>
        <v>0</v>
      </c>
    </row>
    <row r="20" spans="1:4" x14ac:dyDescent="0.3">
      <c r="A20" s="25">
        <v>120.2</v>
      </c>
      <c r="B20" s="39" t="s">
        <v>42</v>
      </c>
      <c r="C20" s="39" t="s">
        <v>276</v>
      </c>
      <c r="D20" s="27" t="b">
        <v>1</v>
      </c>
    </row>
    <row r="21" spans="1:4" x14ac:dyDescent="0.3">
      <c r="A21" s="25">
        <v>106.55</v>
      </c>
      <c r="B21" s="39" t="s">
        <v>56</v>
      </c>
      <c r="C21" s="39" t="s">
        <v>89</v>
      </c>
      <c r="D21" s="27" t="b">
        <f>FALSE()</f>
        <v>0</v>
      </c>
    </row>
    <row r="22" spans="1:4" x14ac:dyDescent="0.3">
      <c r="A22" s="25">
        <v>25.81</v>
      </c>
      <c r="B22" s="39" t="s">
        <v>56</v>
      </c>
      <c r="C22" s="39" t="s">
        <v>95</v>
      </c>
      <c r="D22" s="27" t="b">
        <f>FALSE()</f>
        <v>0</v>
      </c>
    </row>
    <row r="23" spans="1:4" x14ac:dyDescent="0.3">
      <c r="A23" s="25">
        <v>439</v>
      </c>
      <c r="B23" s="39" t="s">
        <v>44</v>
      </c>
      <c r="C23" s="39" t="s">
        <v>277</v>
      </c>
      <c r="D23" s="27" t="b">
        <f>FALSE()</f>
        <v>0</v>
      </c>
    </row>
    <row r="24" spans="1:4" x14ac:dyDescent="0.3">
      <c r="A24" s="25">
        <v>11.98</v>
      </c>
      <c r="B24" s="39" t="s">
        <v>14</v>
      </c>
      <c r="C24" s="39" t="s">
        <v>141</v>
      </c>
      <c r="D24" s="27" t="b">
        <v>1</v>
      </c>
    </row>
    <row r="25" spans="1:4" x14ac:dyDescent="0.3">
      <c r="C25" s="1"/>
    </row>
    <row r="26" spans="1:4" x14ac:dyDescent="0.3">
      <c r="C26" s="1"/>
    </row>
    <row r="27" spans="1:4" x14ac:dyDescent="0.3">
      <c r="C27" s="1"/>
    </row>
    <row r="28" spans="1:4" x14ac:dyDescent="0.3">
      <c r="C28" s="1"/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57F97"/>
  </sheetPr>
  <dimension ref="A1:L3"/>
  <sheetViews>
    <sheetView workbookViewId="0">
      <selection activeCell="I14" sqref="I14"/>
    </sheetView>
  </sheetViews>
  <sheetFormatPr defaultRowHeight="14.4" x14ac:dyDescent="0.3"/>
  <cols>
    <col min="1" max="1" width="12.6640625" customWidth="1"/>
    <col min="3" max="3" width="10.88671875" customWidth="1"/>
    <col min="6" max="6" width="13.88671875" customWidth="1"/>
    <col min="9" max="9" width="11.33203125" customWidth="1"/>
    <col min="10" max="10" width="12.5546875" customWidth="1"/>
  </cols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986DE"/>
  </sheetPr>
  <dimension ref="A1:L3"/>
  <sheetViews>
    <sheetView workbookViewId="0">
      <selection activeCell="I1" sqref="I1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48CE0"/>
  </sheetPr>
  <dimension ref="A1:L3"/>
  <sheetViews>
    <sheetView workbookViewId="0">
      <selection activeCell="I1" sqref="I1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K27"/>
  <sheetViews>
    <sheetView workbookViewId="0">
      <selection activeCell="K9" sqref="K9"/>
    </sheetView>
  </sheetViews>
  <sheetFormatPr defaultRowHeight="14.4" x14ac:dyDescent="0.3"/>
  <cols>
    <col min="1" max="1" width="9.88671875" bestFit="1" customWidth="1"/>
    <col min="2" max="2" width="13.5546875" style="2" customWidth="1"/>
    <col min="3" max="3" width="14.5546875" style="3" customWidth="1"/>
    <col min="4" max="4" width="18.88671875" style="2" customWidth="1"/>
    <col min="5" max="5" width="22.109375" style="3" customWidth="1"/>
    <col min="6" max="6" width="21.88671875" style="2" customWidth="1"/>
    <col min="7" max="7" width="24.44140625" customWidth="1"/>
    <col min="8" max="8" width="15.5546875" customWidth="1"/>
    <col min="9" max="9" width="16.88671875" style="14" customWidth="1"/>
  </cols>
  <sheetData>
    <row r="1" spans="1:11" x14ac:dyDescent="0.3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 x14ac:dyDescent="0.3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 x14ac:dyDescent="0.3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 x14ac:dyDescent="0.3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 x14ac:dyDescent="0.3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 x14ac:dyDescent="0.3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 x14ac:dyDescent="0.3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 x14ac:dyDescent="0.3">
      <c r="A8" s="1" t="s">
        <v>28</v>
      </c>
      <c r="B8" s="2">
        <f>SUM(Przychody7[kwota])</f>
        <v>9148.9500000000007</v>
      </c>
      <c r="C8" s="5">
        <f>SUM(Wydatki7[kwota])</f>
        <v>8895.1999999999989</v>
      </c>
      <c r="D8" s="5" cm="1">
        <f t="array" ref="D8">SUM(_xlfn._xlws.FILTER(Wydatki7[kwota],NOT(Wydatki7[przyjemności]),0))</f>
        <v>6776.35</v>
      </c>
      <c r="E8" s="3">
        <f>IF(Rok[[#This Row],[Wydatki]]&gt;0,Rok[[#This Row],[Wydatki konieczne]]/Rok[[#This Row],[Wydatki]],0)</f>
        <v>0.76179849806637301</v>
      </c>
      <c r="F8" s="5">
        <f>SUM(_xlfn._xlws.FILTER(Wydatki7[kwota],Wydatki7[przyjemności],0))</f>
        <v>2118.85</v>
      </c>
      <c r="G8" s="3">
        <f>IF(Rok[[#This Row],[Wydatki]]&gt;0,Rok[[#This Row],[Wydatki przyjemności]]/Rok[[#This Row],[Wydatki]],0)</f>
        <v>0.23820150193362713</v>
      </c>
      <c r="H8" s="2">
        <f>Rok[[#This Row],[Dochód]]-Rok[[#This Row],[Wydatki]]</f>
        <v>253.75000000000182</v>
      </c>
      <c r="I8" s="3">
        <f>IF(Rok[[#This Row],[Dochód]]&gt;0,Rok[[#This Row],[Oszczędności]]/Rok[[#This Row],[Dochód]],0)</f>
        <v>2.7735423190639558E-2</v>
      </c>
      <c r="K8" t="s">
        <v>227</v>
      </c>
    </row>
    <row r="9" spans="1:11" x14ac:dyDescent="0.3">
      <c r="A9" s="1" t="s">
        <v>29</v>
      </c>
      <c r="B9" s="2">
        <f>SUM(Przychody8[kwota])</f>
        <v>9284.75</v>
      </c>
      <c r="C9" s="5">
        <f>SUM(Wydatki8[kwota])</f>
        <v>11189.669999999996</v>
      </c>
      <c r="D9" s="5" t="e" cm="1">
        <f t="array" ref="D9">SUM(_xlfn._xlws.FILTER(Wydatki8[kwota],NOT(Wydatki8[przyjemności]),0))</f>
        <v>#VALUE!</v>
      </c>
      <c r="E9" s="3" t="e">
        <f>IF(Rok[[#This Row],[Wydatki]]&gt;0,Rok[[#This Row],[Wydatki konieczne]]/Rok[[#This Row],[Wydatki]],0)</f>
        <v>#VALUE!</v>
      </c>
      <c r="F9" s="5" t="e">
        <f>SUM(_xlfn._xlws.FILTER(Wydatki8[kwota],Wydatki8[przyjemności],0))</f>
        <v>#VALUE!</v>
      </c>
      <c r="G9" s="3" t="e">
        <f>IF(Rok[[#This Row],[Wydatki]]&gt;0,Rok[[#This Row],[Wydatki przyjemności]]/Rok[[#This Row],[Wydatki]],0)</f>
        <v>#VALUE!</v>
      </c>
      <c r="H9" s="2">
        <f>Rok[[#This Row],[Dochód]]-Rok[[#This Row],[Wydatki]]</f>
        <v>-1904.9199999999964</v>
      </c>
      <c r="I9" s="3">
        <f>IF(Rok[[#This Row],[Dochód]]&gt;0,Rok[[#This Row],[Oszczędności]]/Rok[[#This Row],[Dochód]],0)</f>
        <v>-0.20516653652494643</v>
      </c>
      <c r="K9" t="s">
        <v>265</v>
      </c>
    </row>
    <row r="10" spans="1:11" x14ac:dyDescent="0.3">
      <c r="A10" s="1" t="s">
        <v>18</v>
      </c>
      <c r="B10" s="2">
        <f>SUM(Przychody9[kwota])</f>
        <v>9065.1</v>
      </c>
      <c r="C10" s="5">
        <f>SUM(Wydatki9[kwota])</f>
        <v>6683.53</v>
      </c>
      <c r="D10" s="5" cm="1">
        <f t="array" ref="D10">SUM(_xlfn._xlws.FILTER(Wydatki9[kwota],NOT(Wydatki9[przyjemności]),0))</f>
        <v>6429.85</v>
      </c>
      <c r="E10" s="3">
        <f>IF(Rok[[#This Row],[Wydatki]]&gt;0,Rok[[#This Row],[Wydatki konieczne]]/Rok[[#This Row],[Wydatki]],0)</f>
        <v>0.96204400967752079</v>
      </c>
      <c r="F10" s="5">
        <f>SUM(_xlfn._xlws.FILTER(Wydatki9[kwota],Wydatki9[przyjemności],0))</f>
        <v>253.67999999999998</v>
      </c>
      <c r="G10" s="3">
        <f>IF(Rok[[#This Row],[Wydatki]]&gt;0,Rok[[#This Row],[Wydatki przyjemności]]/Rok[[#This Row],[Wydatki]],0)</f>
        <v>3.7955990322479288E-2</v>
      </c>
      <c r="H10" s="2">
        <f>Rok[[#This Row],[Dochód]]-Rok[[#This Row],[Wydatki]]</f>
        <v>2381.5700000000006</v>
      </c>
      <c r="I10" s="3">
        <f>IF(Rok[[#This Row],[Dochód]]&gt;0,Rok[[#This Row],[Oszczędności]]/Rok[[#This Row],[Dochód]],0)</f>
        <v>0.26271855798612265</v>
      </c>
    </row>
    <row r="11" spans="1:11" x14ac:dyDescent="0.3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 x14ac:dyDescent="0.3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 x14ac:dyDescent="0.3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 x14ac:dyDescent="0.3">
      <c r="A14" s="1"/>
      <c r="C14" s="5"/>
      <c r="D14" s="5"/>
      <c r="G14" s="3"/>
    </row>
    <row r="15" spans="1:11" x14ac:dyDescent="0.3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 x14ac:dyDescent="0.3">
      <c r="A16" s="11" t="s">
        <v>30</v>
      </c>
      <c r="B16" s="12">
        <f>SUM(Rok[Dochód])</f>
        <v>73774.600000000006</v>
      </c>
      <c r="C16" s="12">
        <f>SUM(Rok[Wydatki])</f>
        <v>68526.399999999994</v>
      </c>
      <c r="D16" s="13" t="e">
        <f>SUM(Rok[Wydatki konieczne])</f>
        <v>#VALUE!</v>
      </c>
      <c r="E16" s="5" t="e">
        <f>IF(Okres[[#This Row],[Wydatki]]&gt;0,Okres[[#This Row],[Wydatki konieczne]]/Okres[[#This Row],[Wydatki]],0)</f>
        <v>#VALUE!</v>
      </c>
      <c r="F16" s="12" t="e">
        <f>SUM(Rok[Wydatki przyjemności])</f>
        <v>#VALUE!</v>
      </c>
      <c r="G16" s="5" t="e">
        <f>IF(Okres[[#This Row],[Wydatki]]&gt;0,Okres[[#This Row],[Wydatki przyjemności]]/Okres[[#This Row],[Wydatki]],0)</f>
        <v>#VALUE!</v>
      </c>
      <c r="H16" s="12">
        <f>SUM(Rok[Oszczędności])</f>
        <v>5248.200000000008</v>
      </c>
      <c r="I16" s="15">
        <f>IF(Okres[[#This Row],[Dochód]]&gt;0,Okres[[#This Row],[Oszczędności]]/Okres[[#This Row],[Dochód]],0)</f>
        <v>7.1138305053500897E-2</v>
      </c>
    </row>
    <row r="17" spans="1:7" x14ac:dyDescent="0.3">
      <c r="A17" s="1"/>
      <c r="C17" s="5"/>
      <c r="D17" s="5"/>
      <c r="G17" s="3"/>
    </row>
    <row r="18" spans="1:7" x14ac:dyDescent="0.3">
      <c r="B18"/>
    </row>
    <row r="19" spans="1:7" x14ac:dyDescent="0.3">
      <c r="B19"/>
      <c r="C19"/>
    </row>
    <row r="20" spans="1:7" x14ac:dyDescent="0.3">
      <c r="B20"/>
      <c r="C20"/>
    </row>
    <row r="21" spans="1:7" x14ac:dyDescent="0.3">
      <c r="B21"/>
      <c r="C21"/>
    </row>
    <row r="22" spans="1:7" x14ac:dyDescent="0.3">
      <c r="B22"/>
      <c r="C22"/>
    </row>
    <row r="23" spans="1:7" x14ac:dyDescent="0.3">
      <c r="B23"/>
      <c r="C23"/>
    </row>
    <row r="24" spans="1:7" x14ac:dyDescent="0.3">
      <c r="B24"/>
      <c r="C24"/>
    </row>
    <row r="25" spans="1:7" x14ac:dyDescent="0.3">
      <c r="B25"/>
      <c r="C25"/>
    </row>
    <row r="26" spans="1:7" x14ac:dyDescent="0.3">
      <c r="B26"/>
      <c r="C26"/>
    </row>
    <row r="27" spans="1:7" x14ac:dyDescent="0.3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Nazwane zakresy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Nati</cp:lastModifiedBy>
  <dcterms:created xsi:type="dcterms:W3CDTF">2015-06-05T18:17:20Z</dcterms:created>
  <dcterms:modified xsi:type="dcterms:W3CDTF">2023-09-17T13:46:23Z</dcterms:modified>
</cp:coreProperties>
</file>