
<file path=[Content_Types].xml><?xml version="1.0" encoding="utf-8"?>
<Types xmlns="http://schemas.openxmlformats.org/package/2006/content-types">
  <Override PartName="/xl/tables/table4.xml" ContentType="application/vnd.openxmlformats-officedocument.spreadsheetml.table+xml"/>
  <Override PartName="/xl/tables/table16.xml" ContentType="application/vnd.openxmlformats-officedocument.spreadsheetml.table+xml"/>
  <Override PartName="/xl/tables/table25.xml" ContentType="application/vnd.openxmlformats-officedocument.spreadsheetml.table+xml"/>
  <Override PartName="/xl/tables/table34.xml" ContentType="application/vnd.openxmlformats-officedocument.spreadsheetml.table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2.xml" ContentType="application/vnd.openxmlformats-officedocument.spreadsheetml.table+xml"/>
  <Override PartName="/xl/tables/table14.xml" ContentType="application/vnd.openxmlformats-officedocument.spreadsheetml.table+xml"/>
  <Override PartName="/xl/tables/table23.xml" ContentType="application/vnd.openxmlformats-officedocument.spreadsheetml.table+xml"/>
  <Override PartName="/xl/tables/table32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19.xml" ContentType="application/vnd.openxmlformats-officedocument.spreadsheetml.table+xml"/>
  <Override PartName="/xl/tables/table29.xml" ContentType="application/vnd.openxmlformats-officedocument.spreadsheetml.table+xml"/>
  <Override PartName="/xl/metadata.xml" ContentType="application/vnd.openxmlformats-officedocument.spreadsheetml.sheetMetadata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docProps/core.xml" ContentType="application/vnd.openxmlformats-package.core-properties+xml"/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15.xml" ContentType="application/vnd.openxmlformats-officedocument.spreadsheetml.table+xml"/>
  <Override PartName="/xl/tables/table24.xml" ContentType="application/vnd.openxmlformats-officedocument.spreadsheetml.table+xml"/>
  <Override PartName="/xl/tables/table1.xml" ContentType="application/vnd.openxmlformats-officedocument.spreadsheetml.table+xml"/>
  <Override PartName="/xl/tables/table13.xml" ContentType="application/vnd.openxmlformats-officedocument.spreadsheetml.table+xml"/>
  <Override PartName="/xl/tables/table22.xml" ContentType="application/vnd.openxmlformats-officedocument.spreadsheetml.table+xml"/>
  <Override PartName="/xl/tables/table33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10" yWindow="-110" windowWidth="23260" windowHeight="12460" tabRatio="596" activeTab="12"/>
  </bookViews>
  <sheets>
    <sheet name="I" sheetId="1" r:id="rId1"/>
    <sheet name="II" sheetId="7" r:id="rId2"/>
    <sheet name="III" sheetId="8" r:id="rId3"/>
    <sheet name="IV" sheetId="9" r:id="rId4"/>
    <sheet name="V" sheetId="10" r:id="rId5"/>
    <sheet name="VI" sheetId="11" r:id="rId6"/>
    <sheet name="VII" sheetId="12" r:id="rId7"/>
    <sheet name="VIII" sheetId="13" r:id="rId8"/>
    <sheet name="IX" sheetId="2" r:id="rId9"/>
    <sheet name="X" sheetId="4" r:id="rId10"/>
    <sheet name="XI" sheetId="5" r:id="rId11"/>
    <sheet name="XII" sheetId="6" r:id="rId12"/>
    <sheet name="rok" sheetId="3" r:id="rId13"/>
  </sheets>
  <definedNames>
    <definedName name="Budżet7">#REF!</definedName>
    <definedName name="stawka">III!$H$2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5" i="13"/>
  <c r="D14"/>
  <c r="D2"/>
  <c r="D3"/>
  <c r="D13"/>
  <c r="D11"/>
  <c r="D10"/>
  <c r="A9"/>
  <c r="M3" s="1"/>
  <c r="N3" s="1"/>
  <c r="L2"/>
  <c r="L11" s="1"/>
  <c r="L13" s="1"/>
  <c r="M2"/>
  <c r="M5"/>
  <c r="N5" s="1"/>
  <c r="M6"/>
  <c r="N6" s="1"/>
  <c r="M7"/>
  <c r="N7" s="1"/>
  <c r="M8"/>
  <c r="N8" s="1"/>
  <c r="M9"/>
  <c r="N9" s="1"/>
  <c r="M10"/>
  <c r="N10" s="1"/>
  <c r="D4"/>
  <c r="D5"/>
  <c r="D6"/>
  <c r="D7"/>
  <c r="D8"/>
  <c r="D9"/>
  <c r="A2"/>
  <c r="M4" s="1"/>
  <c r="N4" s="1"/>
  <c r="B9" i="12"/>
  <c r="E49"/>
  <c r="E39"/>
  <c r="E38"/>
  <c r="E37"/>
  <c r="N2" i="13" l="1"/>
  <c r="N11" s="1"/>
  <c r="M11"/>
  <c r="N2" i="12"/>
  <c r="M2"/>
  <c r="M11"/>
  <c r="M13" s="1"/>
  <c r="N3"/>
  <c r="O3" s="1"/>
  <c r="E36"/>
  <c r="E35"/>
  <c r="E34"/>
  <c r="E33"/>
  <c r="B31"/>
  <c r="E30"/>
  <c r="E28"/>
  <c r="E26"/>
  <c r="E24"/>
  <c r="E21"/>
  <c r="E20"/>
  <c r="E19"/>
  <c r="E18"/>
  <c r="B15"/>
  <c r="E15"/>
  <c r="E42" i="11"/>
  <c r="B9"/>
  <c r="N5" i="12"/>
  <c r="O5" s="1"/>
  <c r="N6"/>
  <c r="O6" s="1"/>
  <c r="N7"/>
  <c r="O7" s="1"/>
  <c r="N8"/>
  <c r="O8" s="1"/>
  <c r="N9"/>
  <c r="O9" s="1"/>
  <c r="N10"/>
  <c r="O10" s="1"/>
  <c r="E4"/>
  <c r="E5"/>
  <c r="E7"/>
  <c r="E8"/>
  <c r="E9"/>
  <c r="E2"/>
  <c r="B2"/>
  <c r="N4" s="1"/>
  <c r="O4" s="1"/>
  <c r="E41" i="11"/>
  <c r="E38"/>
  <c r="E36"/>
  <c r="M2"/>
  <c r="M11" s="1"/>
  <c r="M13" s="1"/>
  <c r="E35"/>
  <c r="E33"/>
  <c r="E32"/>
  <c r="E31"/>
  <c r="E30"/>
  <c r="E29"/>
  <c r="E28"/>
  <c r="E27"/>
  <c r="E26"/>
  <c r="E25"/>
  <c r="E24"/>
  <c r="E23"/>
  <c r="E22"/>
  <c r="E20"/>
  <c r="E19"/>
  <c r="E17"/>
  <c r="E16"/>
  <c r="B14"/>
  <c r="E15"/>
  <c r="E14"/>
  <c r="E13"/>
  <c r="E12"/>
  <c r="E11"/>
  <c r="E9"/>
  <c r="E7"/>
  <c r="B6"/>
  <c r="N10"/>
  <c r="O10" s="1"/>
  <c r="E5"/>
  <c r="E4"/>
  <c r="F2" i="10"/>
  <c r="F3"/>
  <c r="B6"/>
  <c r="F45"/>
  <c r="F43"/>
  <c r="F42"/>
  <c r="F40"/>
  <c r="F39"/>
  <c r="F36"/>
  <c r="F35"/>
  <c r="F32"/>
  <c r="B30"/>
  <c r="F28"/>
  <c r="F27"/>
  <c r="F26"/>
  <c r="F25"/>
  <c r="F24"/>
  <c r="F20"/>
  <c r="F19"/>
  <c r="F17"/>
  <c r="F16"/>
  <c r="F15"/>
  <c r="F13"/>
  <c r="E12" i="8"/>
  <c r="E35"/>
  <c r="E36"/>
  <c r="E37"/>
  <c r="E38"/>
  <c r="E8"/>
  <c r="E7" i="9"/>
  <c r="E4"/>
  <c r="E39"/>
  <c r="E38"/>
  <c r="E37"/>
  <c r="E34"/>
  <c r="E33"/>
  <c r="E31"/>
  <c r="E29"/>
  <c r="E28"/>
  <c r="E27"/>
  <c r="O2" i="10"/>
  <c r="O4"/>
  <c r="P4" s="1"/>
  <c r="O5"/>
  <c r="P5" s="1"/>
  <c r="O6"/>
  <c r="P6" s="1"/>
  <c r="O7"/>
  <c r="P7" s="1"/>
  <c r="O8"/>
  <c r="P8" s="1"/>
  <c r="O9"/>
  <c r="P9" s="1"/>
  <c r="O10"/>
  <c r="P10" s="1"/>
  <c r="F8"/>
  <c r="E2"/>
  <c r="E3"/>
  <c r="E4"/>
  <c r="E5"/>
  <c r="E6"/>
  <c r="F7"/>
  <c r="E26" i="9"/>
  <c r="E25"/>
  <c r="M3"/>
  <c r="E22"/>
  <c r="E21"/>
  <c r="E20"/>
  <c r="E17"/>
  <c r="E16"/>
  <c r="F4" i="10"/>
  <c r="F5"/>
  <c r="F6"/>
  <c r="F2" i="3"/>
  <c r="O2" i="12" l="1"/>
  <c r="O11" s="1"/>
  <c r="N11"/>
  <c r="N2" i="11"/>
  <c r="O2" s="1"/>
  <c r="N3"/>
  <c r="O3" s="1"/>
  <c r="N4"/>
  <c r="O4" s="1"/>
  <c r="N5"/>
  <c r="O5" s="1"/>
  <c r="N6"/>
  <c r="O6" s="1"/>
  <c r="N7"/>
  <c r="O7" s="1"/>
  <c r="N8"/>
  <c r="O8" s="1"/>
  <c r="N9"/>
  <c r="O9" s="1"/>
  <c r="O3" i="10"/>
  <c r="P3" s="1"/>
  <c r="P2"/>
  <c r="N11"/>
  <c r="N13" s="1"/>
  <c r="E15" i="9"/>
  <c r="E14"/>
  <c r="B8"/>
  <c r="E11"/>
  <c r="N4"/>
  <c r="N5"/>
  <c r="N6"/>
  <c r="N7"/>
  <c r="N8"/>
  <c r="N9"/>
  <c r="N10"/>
  <c r="N2"/>
  <c r="O11" i="11" l="1"/>
  <c r="N11"/>
  <c r="O11" i="10"/>
  <c r="P11"/>
  <c r="N3" i="9"/>
  <c r="C5" i="3"/>
  <c r="E9" i="9" l="1"/>
  <c r="B7" i="8"/>
  <c r="E8" i="9"/>
  <c r="E6"/>
  <c r="E5"/>
  <c r="E3"/>
  <c r="E2"/>
  <c r="O2"/>
  <c r="O3"/>
  <c r="O4"/>
  <c r="O5"/>
  <c r="O6"/>
  <c r="O7"/>
  <c r="O8"/>
  <c r="O9"/>
  <c r="O10"/>
  <c r="M11"/>
  <c r="M13" s="1"/>
  <c r="E39" i="8"/>
  <c r="E34"/>
  <c r="E33"/>
  <c r="E32"/>
  <c r="E31"/>
  <c r="E30"/>
  <c r="E29"/>
  <c r="D5" i="3" l="1"/>
  <c r="F5"/>
  <c r="O11" i="9"/>
  <c r="N11"/>
  <c r="M3" i="8"/>
  <c r="E26"/>
  <c r="E25"/>
  <c r="E24" l="1"/>
  <c r="E23"/>
  <c r="E22"/>
  <c r="F13" i="3"/>
  <c r="F12"/>
  <c r="F11"/>
  <c r="F10"/>
  <c r="D13" a="1"/>
  <c r="D13" s="1"/>
  <c r="D12" a="1"/>
  <c r="D12" s="1"/>
  <c r="D11" a="1"/>
  <c r="D11" s="1"/>
  <c r="D10" a="1"/>
  <c r="D10" s="1"/>
  <c r="C9"/>
  <c r="C8"/>
  <c r="B9"/>
  <c r="B8"/>
  <c r="E21" i="8"/>
  <c r="D8" i="3" a="1"/>
  <c r="F9"/>
  <c r="D9" a="1"/>
  <c r="F8"/>
  <c r="D9" l="1"/>
  <c r="D8"/>
  <c r="E14" i="8"/>
  <c r="E20"/>
  <c r="E19"/>
  <c r="E18"/>
  <c r="E17"/>
  <c r="E16"/>
  <c r="N3"/>
  <c r="O3" s="1"/>
  <c r="E13"/>
  <c r="E11"/>
  <c r="E10"/>
  <c r="E9"/>
  <c r="N2"/>
  <c r="O2" s="1"/>
  <c r="N4"/>
  <c r="O4" s="1"/>
  <c r="N5"/>
  <c r="O5" s="1"/>
  <c r="N6"/>
  <c r="O6" s="1"/>
  <c r="N7"/>
  <c r="O7" s="1"/>
  <c r="N8"/>
  <c r="O8" s="1"/>
  <c r="N9"/>
  <c r="O9" s="1"/>
  <c r="N10"/>
  <c r="O10" s="1"/>
  <c r="B7" i="7"/>
  <c r="C7" i="3"/>
  <c r="B7"/>
  <c r="C6"/>
  <c r="B6"/>
  <c r="B5"/>
  <c r="D2" a="1"/>
  <c r="D2" s="1"/>
  <c r="B4"/>
  <c r="B2"/>
  <c r="C2"/>
  <c r="B3"/>
  <c r="C3"/>
  <c r="D7" a="1"/>
  <c r="F6"/>
  <c r="D6" a="1"/>
  <c r="F7"/>
  <c r="D7" l="1"/>
  <c r="E7" s="1"/>
  <c r="D6"/>
  <c r="C4"/>
  <c r="E7" i="8"/>
  <c r="E6"/>
  <c r="E5"/>
  <c r="E4"/>
  <c r="E3"/>
  <c r="E2"/>
  <c r="M3" i="7"/>
  <c r="E4"/>
  <c r="E5"/>
  <c r="E7"/>
  <c r="E8"/>
  <c r="E9"/>
  <c r="E10"/>
  <c r="E11"/>
  <c r="E12"/>
  <c r="E13"/>
  <c r="E14"/>
  <c r="E16"/>
  <c r="N10"/>
  <c r="O10" s="1"/>
  <c r="N9"/>
  <c r="O9" s="1"/>
  <c r="N8"/>
  <c r="O8" s="1"/>
  <c r="N7"/>
  <c r="O7" s="1"/>
  <c r="N6"/>
  <c r="O6" s="1"/>
  <c r="N5"/>
  <c r="O5" s="1"/>
  <c r="N4"/>
  <c r="O4" s="1"/>
  <c r="N3"/>
  <c r="O3" s="1"/>
  <c r="M11"/>
  <c r="M13" s="1"/>
  <c r="N2"/>
  <c r="O2" s="1"/>
  <c r="M11" i="1"/>
  <c r="M13" s="1"/>
  <c r="N3"/>
  <c r="N4"/>
  <c r="O4" s="1"/>
  <c r="N5"/>
  <c r="O5" s="1"/>
  <c r="N6"/>
  <c r="O6" s="1"/>
  <c r="N7"/>
  <c r="O7" s="1"/>
  <c r="N8"/>
  <c r="O8" s="1"/>
  <c r="N9"/>
  <c r="O9" s="1"/>
  <c r="N10"/>
  <c r="O10" s="1"/>
  <c r="N2"/>
  <c r="O2" s="1"/>
  <c r="C10" i="3"/>
  <c r="E10" s="1"/>
  <c r="E2"/>
  <c r="G6"/>
  <c r="E9"/>
  <c r="I2"/>
  <c r="H6"/>
  <c r="B10"/>
  <c r="B11"/>
  <c r="I11" s="1"/>
  <c r="C13"/>
  <c r="E13" s="1"/>
  <c r="C12"/>
  <c r="G12" s="1"/>
  <c r="B13"/>
  <c r="I13" s="1"/>
  <c r="B12"/>
  <c r="I12" s="1"/>
  <c r="E5"/>
  <c r="E8"/>
  <c r="G5"/>
  <c r="G8"/>
  <c r="E11"/>
  <c r="C11"/>
  <c r="H5"/>
  <c r="I5" s="1"/>
  <c r="D3" l="1" a="1"/>
  <c r="D3" s="1"/>
  <c r="F3"/>
  <c r="G3" s="1"/>
  <c r="F4"/>
  <c r="G4" s="1"/>
  <c r="D4" a="1"/>
  <c r="D4" s="1"/>
  <c r="D16" s="1"/>
  <c r="N11" i="8"/>
  <c r="M11"/>
  <c r="M13" s="1"/>
  <c r="N11" i="7"/>
  <c r="O3" i="1"/>
  <c r="O11" s="1"/>
  <c r="O11" i="7"/>
  <c r="N11" i="1"/>
  <c r="I6" i="3"/>
  <c r="E6"/>
  <c r="G7"/>
  <c r="E3"/>
  <c r="G2"/>
  <c r="G9"/>
  <c r="G10"/>
  <c r="H13"/>
  <c r="G13"/>
  <c r="E12"/>
  <c r="H12"/>
  <c r="G11"/>
  <c r="B16"/>
  <c r="C16"/>
  <c r="H9"/>
  <c r="I9" s="1"/>
  <c r="H10"/>
  <c r="I10" s="1"/>
  <c r="H7"/>
  <c r="I7" s="1"/>
  <c r="H8"/>
  <c r="I8" s="1"/>
  <c r="H3"/>
  <c r="I3" s="1"/>
  <c r="H4"/>
  <c r="I4" s="1"/>
  <c r="H11"/>
  <c r="H2"/>
  <c r="E4" l="1"/>
  <c r="O11" i="8"/>
  <c r="E16" i="3"/>
  <c r="H16"/>
  <c r="I16" s="1"/>
  <c r="F16"/>
  <c r="G16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 xmlns:xda="http://schemas.microsoft.com/office/spreadsheetml/2017/dynamicarray"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<sst xmlns="http://schemas.openxmlformats.org/spreadsheetml/2006/main" count="841" uniqueCount="235">
  <si>
    <t>data</t>
  </si>
  <si>
    <t>źródło</t>
  </si>
  <si>
    <t>kwota</t>
  </si>
  <si>
    <t>na co</t>
  </si>
  <si>
    <t>na/za co</t>
  </si>
  <si>
    <t>gdzie</t>
  </si>
  <si>
    <t>kosmetyki</t>
  </si>
  <si>
    <t>stałe</t>
  </si>
  <si>
    <t>kategoria</t>
  </si>
  <si>
    <t>mieszkanie</t>
  </si>
  <si>
    <t>jedzenie</t>
  </si>
  <si>
    <t>transport</t>
  </si>
  <si>
    <t>przyjemności</t>
  </si>
  <si>
    <t>darowizna</t>
  </si>
  <si>
    <t>rozrywka</t>
  </si>
  <si>
    <t>Dochód</t>
  </si>
  <si>
    <t>Wydatki</t>
  </si>
  <si>
    <t>Wydatki konieczne</t>
  </si>
  <si>
    <t>wrzesień</t>
  </si>
  <si>
    <t>październik</t>
  </si>
  <si>
    <t>listopad</t>
  </si>
  <si>
    <t>grudzień</t>
  </si>
  <si>
    <t>styczeń</t>
  </si>
  <si>
    <t>luty</t>
  </si>
  <si>
    <t>marzec</t>
  </si>
  <si>
    <t>kwiecień</t>
  </si>
  <si>
    <t>maj</t>
  </si>
  <si>
    <t>czerwiec</t>
  </si>
  <si>
    <t>lipiec</t>
  </si>
  <si>
    <t>sierpień</t>
  </si>
  <si>
    <t>rok</t>
  </si>
  <si>
    <t>Wydatki konieczne [%]</t>
  </si>
  <si>
    <t>Wydatki przyjemności [%]</t>
  </si>
  <si>
    <t>Wydatki przyjemności</t>
  </si>
  <si>
    <t>Oszczędności [%]</t>
  </si>
  <si>
    <t>Oszczędności</t>
  </si>
  <si>
    <t>okres</t>
  </si>
  <si>
    <t>miesiąc</t>
  </si>
  <si>
    <t>budżet</t>
  </si>
  <si>
    <t>wydatki</t>
  </si>
  <si>
    <t>pozostało</t>
  </si>
  <si>
    <t>zdrowie</t>
  </si>
  <si>
    <t>piękno</t>
  </si>
  <si>
    <t>podatki</t>
  </si>
  <si>
    <t>biznes</t>
  </si>
  <si>
    <t>rozwój</t>
  </si>
  <si>
    <t>SB Software</t>
  </si>
  <si>
    <t>księgowa</t>
  </si>
  <si>
    <t>SUMA</t>
  </si>
  <si>
    <t>oszczędności</t>
  </si>
  <si>
    <t>0,00 zł</t>
  </si>
  <si>
    <t>prezent jess</t>
  </si>
  <si>
    <t>prezent Kamy</t>
  </si>
  <si>
    <t>czynsz</t>
  </si>
  <si>
    <t>perfumy</t>
  </si>
  <si>
    <t>wisior baphomet</t>
  </si>
  <si>
    <t>dom</t>
  </si>
  <si>
    <t>Carrefour</t>
  </si>
  <si>
    <t>Auchan</t>
  </si>
  <si>
    <t>pociąg do i z G</t>
  </si>
  <si>
    <t>mangi</t>
  </si>
  <si>
    <t>opłata za kartę</t>
  </si>
  <si>
    <t>apteka</t>
  </si>
  <si>
    <t>SB</t>
  </si>
  <si>
    <t>książka FLO</t>
  </si>
  <si>
    <t>FEDERA</t>
  </si>
  <si>
    <t>łańcuszki</t>
  </si>
  <si>
    <t xml:space="preserve">książki </t>
  </si>
  <si>
    <t>kuchenne</t>
  </si>
  <si>
    <t>chleb</t>
  </si>
  <si>
    <t>Leroy</t>
  </si>
  <si>
    <t>do musli</t>
  </si>
  <si>
    <t>kremy i sera</t>
  </si>
  <si>
    <t>kapcie</t>
  </si>
  <si>
    <t>pizza</t>
  </si>
  <si>
    <t>doładowanie</t>
  </si>
  <si>
    <t>opłata za Komfort</t>
  </si>
  <si>
    <t>Jess</t>
  </si>
  <si>
    <t>zwrot za pizze</t>
  </si>
  <si>
    <t>W.J</t>
  </si>
  <si>
    <t>rysunek</t>
  </si>
  <si>
    <t>enea</t>
  </si>
  <si>
    <t>spofify</t>
  </si>
  <si>
    <t>leki</t>
  </si>
  <si>
    <t>ciuchy</t>
  </si>
  <si>
    <t>auchan</t>
  </si>
  <si>
    <t>piżamowe</t>
  </si>
  <si>
    <t>laptop</t>
  </si>
  <si>
    <t>caffefour</t>
  </si>
  <si>
    <t>carrefour</t>
  </si>
  <si>
    <t>bilet z karą</t>
  </si>
  <si>
    <t>bilet niewykożystany</t>
  </si>
  <si>
    <t>pierścionek</t>
  </si>
  <si>
    <t>kwiatek</t>
  </si>
  <si>
    <t>?</t>
  </si>
  <si>
    <t>stokrotka</t>
  </si>
  <si>
    <t>empik</t>
  </si>
  <si>
    <t>elixir</t>
  </si>
  <si>
    <t>żabka</t>
  </si>
  <si>
    <t>monnari</t>
  </si>
  <si>
    <t>PKP</t>
  </si>
  <si>
    <t>zwrot biletu</t>
  </si>
  <si>
    <t>kupno laptopa</t>
  </si>
  <si>
    <t>jj</t>
  </si>
  <si>
    <t>markery</t>
  </si>
  <si>
    <t>razy</t>
  </si>
  <si>
    <t>othertees</t>
  </si>
  <si>
    <t>świeczka</t>
  </si>
  <si>
    <t>słuchawki, ładowarka</t>
  </si>
  <si>
    <t>dream team</t>
  </si>
  <si>
    <t>rodzice</t>
  </si>
  <si>
    <t>histigen</t>
  </si>
  <si>
    <t>neurovit</t>
  </si>
  <si>
    <t>hebe</t>
  </si>
  <si>
    <t>spotify</t>
  </si>
  <si>
    <t>kinderki</t>
  </si>
  <si>
    <t>piaskowanie</t>
  </si>
  <si>
    <t>obrus</t>
  </si>
  <si>
    <t>VAT</t>
  </si>
  <si>
    <t>sephora</t>
  </si>
  <si>
    <t>Enea</t>
  </si>
  <si>
    <t>nutella</t>
  </si>
  <si>
    <t>multikino</t>
  </si>
  <si>
    <t>rossmann</t>
  </si>
  <si>
    <t>house</t>
  </si>
  <si>
    <t>sushi</t>
  </si>
  <si>
    <t>spotkanie</t>
  </si>
  <si>
    <t>zioła</t>
  </si>
  <si>
    <t>x</t>
  </si>
  <si>
    <t>mama</t>
  </si>
  <si>
    <t>reszta</t>
  </si>
  <si>
    <t>papiernicze</t>
  </si>
  <si>
    <t>grufice</t>
  </si>
  <si>
    <t>kaufland</t>
  </si>
  <si>
    <t>paperconcept</t>
  </si>
  <si>
    <t>stoktortka</t>
  </si>
  <si>
    <t>srrokrotka</t>
  </si>
  <si>
    <t>pyszne.pl</t>
  </si>
  <si>
    <t>piórniki</t>
  </si>
  <si>
    <t>amazon</t>
  </si>
  <si>
    <t>dr max</t>
  </si>
  <si>
    <t>lidl</t>
  </si>
  <si>
    <t>allegro</t>
  </si>
  <si>
    <t>gra</t>
  </si>
  <si>
    <t>pociąg do i z Międzyzdoi</t>
  </si>
  <si>
    <t>restauracja</t>
  </si>
  <si>
    <t>międzyzdroje</t>
  </si>
  <si>
    <t>pluszak</t>
  </si>
  <si>
    <t>netto</t>
  </si>
  <si>
    <t>jerame?</t>
  </si>
  <si>
    <t>lody</t>
  </si>
  <si>
    <t>figurki</t>
  </si>
  <si>
    <t>trygław</t>
  </si>
  <si>
    <t>koku sushi</t>
  </si>
  <si>
    <t>NHT</t>
  </si>
  <si>
    <t>biżuteria</t>
  </si>
  <si>
    <t>slavieszki</t>
  </si>
  <si>
    <t>drożdżówka</t>
  </si>
  <si>
    <t>kwiatek - mama</t>
  </si>
  <si>
    <t>ubrania</t>
  </si>
  <si>
    <t>orsay</t>
  </si>
  <si>
    <t>kwiaty</t>
  </si>
  <si>
    <t>ZP</t>
  </si>
  <si>
    <t>doM</t>
  </si>
  <si>
    <t>DOM</t>
  </si>
  <si>
    <t>ZUS</t>
  </si>
  <si>
    <t>Urząd Sarbowy</t>
  </si>
  <si>
    <t>zwrot PIT za 2022</t>
  </si>
  <si>
    <t>księgowa za 05/23</t>
  </si>
  <si>
    <t>bizns</t>
  </si>
  <si>
    <t>VAT za 05/23</t>
  </si>
  <si>
    <t>rysunek za 06/23</t>
  </si>
  <si>
    <t>Komfort</t>
  </si>
  <si>
    <t>do i z Międzyzdroi</t>
  </si>
  <si>
    <t>do i z Gryfic</t>
  </si>
  <si>
    <t>DreamTeam</t>
  </si>
  <si>
    <t>na rzeczy</t>
  </si>
  <si>
    <t>mobilet</t>
  </si>
  <si>
    <t>słodycze</t>
  </si>
  <si>
    <t>na gorfry</t>
  </si>
  <si>
    <t>oceanarium</t>
  </si>
  <si>
    <t>homela</t>
  </si>
  <si>
    <t>buty</t>
  </si>
  <si>
    <t>ccc</t>
  </si>
  <si>
    <t>careffour</t>
  </si>
  <si>
    <t>ekskluzywna.pl</t>
  </si>
  <si>
    <t>ENEA</t>
  </si>
  <si>
    <t>asprod</t>
  </si>
  <si>
    <t>lookah</t>
  </si>
  <si>
    <t>odsetki VAT</t>
  </si>
  <si>
    <t>PIT za 05/23</t>
  </si>
  <si>
    <t>VAT za 03/23 (nr konta)</t>
  </si>
  <si>
    <t>VAT za 04/23 (nr konta)</t>
  </si>
  <si>
    <t>dopłata vat - zwróci się przez ZUS</t>
  </si>
  <si>
    <t>Kolumna1</t>
  </si>
  <si>
    <t>społem</t>
  </si>
  <si>
    <t>dopłata VAT (zwróci się przez ZUS)</t>
  </si>
  <si>
    <t>deichmann</t>
  </si>
  <si>
    <t>marta</t>
  </si>
  <si>
    <t>sole</t>
  </si>
  <si>
    <t>truskawki</t>
  </si>
  <si>
    <t>słodycze na drogę</t>
  </si>
  <si>
    <t>koc i pizza</t>
  </si>
  <si>
    <t>ZUS za 06/23</t>
  </si>
  <si>
    <t>taniec</t>
  </si>
  <si>
    <t>sbsoftware</t>
  </si>
  <si>
    <t>serum</t>
  </si>
  <si>
    <t>suplementy</t>
  </si>
  <si>
    <t>steam gry</t>
  </si>
  <si>
    <t>do Międzyzroi</t>
  </si>
  <si>
    <t>picie</t>
  </si>
  <si>
    <t>jedzenie na mieście</t>
  </si>
  <si>
    <t>jedzenie jess</t>
  </si>
  <si>
    <t>do i z Wolina</t>
  </si>
  <si>
    <t xml:space="preserve">pizza </t>
  </si>
  <si>
    <t>papiernicze Zebra</t>
  </si>
  <si>
    <t>opaski na oczy</t>
  </si>
  <si>
    <t>PIT za 06/23</t>
  </si>
  <si>
    <t>VAT za 06/23</t>
  </si>
  <si>
    <t>savona</t>
  </si>
  <si>
    <t>do świnoujścia</t>
  </si>
  <si>
    <t>z świnoujścia</t>
  </si>
  <si>
    <t>polregio</t>
  </si>
  <si>
    <t>zwrot</t>
  </si>
  <si>
    <t>kolczyki</t>
  </si>
  <si>
    <t>biedronka</t>
  </si>
  <si>
    <t>kawiarnia</t>
  </si>
  <si>
    <t>urlop świnoujście, wolin, trzebiatów</t>
  </si>
  <si>
    <t>poduszka podrozna</t>
  </si>
  <si>
    <t>książki</t>
  </si>
  <si>
    <t>doładowanie telefonu</t>
  </si>
  <si>
    <t>sbbetting</t>
  </si>
  <si>
    <t>księgowa za 07/23</t>
  </si>
  <si>
    <t>PIT za 07/23</t>
  </si>
  <si>
    <t>VAT za 07/23</t>
  </si>
</sst>
</file>

<file path=xl/styles.xml><?xml version="1.0" encoding="utf-8"?>
<styleSheet xmlns="http://schemas.openxmlformats.org/spreadsheetml/2006/main">
  <numFmts count="2">
    <numFmt numFmtId="164" formatCode="#,##0.00\ &quot;zł&quot;"/>
    <numFmt numFmtId="165" formatCode="_-* #,##0.00\ [$zł-415]_-;\-* #,##0.00\ [$zł-415]_-;_-* &quot;-&quot;??\ [$zł-415]_-;_-@_-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Arial"/>
      <family val="2"/>
      <charset val="238"/>
    </font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7"/>
        <bgColor theme="7"/>
      </patternFill>
    </fill>
  </fills>
  <borders count="10">
    <border>
      <left/>
      <right/>
      <top/>
      <bottom/>
      <diagonal/>
    </border>
    <border>
      <left/>
      <right/>
      <top style="thin">
        <color theme="5"/>
      </top>
      <bottom/>
      <diagonal/>
    </border>
    <border>
      <left style="thin">
        <color theme="7"/>
      </left>
      <right/>
      <top style="thin">
        <color theme="7"/>
      </top>
      <bottom style="thin">
        <color theme="7"/>
      </bottom>
      <diagonal/>
    </border>
    <border>
      <left/>
      <right/>
      <top style="thin">
        <color theme="7"/>
      </top>
      <bottom style="thin">
        <color theme="7"/>
      </bottom>
      <diagonal/>
    </border>
    <border>
      <left style="thin">
        <color theme="7" tint="0.39997558519241921"/>
      </left>
      <right/>
      <top/>
      <bottom style="thin">
        <color theme="7" tint="0.39997558519241921"/>
      </bottom>
      <diagonal/>
    </border>
    <border>
      <left/>
      <right/>
      <top/>
      <bottom style="thin">
        <color theme="7" tint="0.39997558519241921"/>
      </bottom>
      <diagonal/>
    </border>
    <border>
      <left/>
      <right style="thin">
        <color theme="7" tint="0.39997558519241921"/>
      </right>
      <top/>
      <bottom style="thin">
        <color theme="7" tint="0.3999755851924192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5"/>
      </left>
      <right/>
      <top style="thin">
        <color theme="5"/>
      </top>
      <bottom/>
      <diagonal/>
    </border>
    <border>
      <left style="thin">
        <color theme="5"/>
      </left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43">
    <xf numFmtId="0" fontId="0" fillId="0" borderId="0" xfId="0"/>
    <xf numFmtId="14" fontId="0" fillId="0" borderId="0" xfId="0" applyNumberFormat="1"/>
    <xf numFmtId="164" fontId="0" fillId="0" borderId="0" xfId="0" applyNumberFormat="1"/>
    <xf numFmtId="10" fontId="0" fillId="0" borderId="0" xfId="1" applyNumberFormat="1" applyFont="1"/>
    <xf numFmtId="0" fontId="0" fillId="0" borderId="1" xfId="0" applyBorder="1"/>
    <xf numFmtId="164" fontId="0" fillId="0" borderId="0" xfId="1" applyNumberFormat="1" applyFont="1"/>
    <xf numFmtId="164" fontId="0" fillId="0" borderId="1" xfId="0" applyNumberFormat="1" applyBorder="1"/>
    <xf numFmtId="14" fontId="0" fillId="0" borderId="1" xfId="0" applyNumberFormat="1" applyBorder="1"/>
    <xf numFmtId="14" fontId="3" fillId="2" borderId="0" xfId="0" applyNumberFormat="1" applyFont="1" applyFill="1"/>
    <xf numFmtId="164" fontId="3" fillId="2" borderId="0" xfId="0" applyNumberFormat="1" applyFont="1" applyFill="1"/>
    <xf numFmtId="0" fontId="3" fillId="2" borderId="0" xfId="0" applyFont="1" applyFill="1"/>
    <xf numFmtId="0" fontId="0" fillId="0" borderId="2" xfId="0" applyBorder="1"/>
    <xf numFmtId="164" fontId="0" fillId="0" borderId="3" xfId="0" applyNumberFormat="1" applyBorder="1"/>
    <xf numFmtId="164" fontId="0" fillId="0" borderId="3" xfId="1" applyNumberFormat="1" applyFont="1" applyBorder="1"/>
    <xf numFmtId="10" fontId="0" fillId="0" borderId="0" xfId="0" applyNumberFormat="1"/>
    <xf numFmtId="10" fontId="0" fillId="0" borderId="3" xfId="0" applyNumberFormat="1" applyBorder="1"/>
    <xf numFmtId="0" fontId="1" fillId="0" borderId="0" xfId="0" applyFont="1" applyAlignment="1">
      <alignment horizontal="center"/>
    </xf>
    <xf numFmtId="0" fontId="3" fillId="3" borderId="4" xfId="0" applyFont="1" applyFill="1" applyBorder="1"/>
    <xf numFmtId="164" fontId="3" fillId="3" borderId="5" xfId="0" applyNumberFormat="1" applyFont="1" applyFill="1" applyBorder="1"/>
    <xf numFmtId="0" fontId="3" fillId="3" borderId="5" xfId="0" applyFont="1" applyFill="1" applyBorder="1"/>
    <xf numFmtId="164" fontId="3" fillId="3" borderId="5" xfId="1" applyNumberFormat="1" applyFont="1" applyFill="1" applyBorder="1"/>
    <xf numFmtId="10" fontId="3" fillId="3" borderId="5" xfId="1" applyNumberFormat="1" applyFont="1" applyFill="1" applyBorder="1"/>
    <xf numFmtId="10" fontId="3" fillId="3" borderId="6" xfId="1" applyNumberFormat="1" applyFont="1" applyFill="1" applyBorder="1"/>
    <xf numFmtId="17" fontId="0" fillId="0" borderId="0" xfId="0" applyNumberFormat="1"/>
    <xf numFmtId="165" fontId="0" fillId="0" borderId="7" xfId="0" applyNumberFormat="1" applyBorder="1"/>
    <xf numFmtId="164" fontId="5" fillId="0" borderId="1" xfId="0" applyNumberFormat="1" applyFont="1" applyBorder="1"/>
    <xf numFmtId="14" fontId="5" fillId="0" borderId="1" xfId="0" applyNumberFormat="1" applyFont="1" applyBorder="1"/>
    <xf numFmtId="0" fontId="5" fillId="0" borderId="1" xfId="0" applyFont="1" applyBorder="1"/>
    <xf numFmtId="2" fontId="0" fillId="0" borderId="8" xfId="0" applyNumberFormat="1" applyBorder="1"/>
    <xf numFmtId="164" fontId="6" fillId="0" borderId="0" xfId="0" applyNumberFormat="1" applyFont="1"/>
    <xf numFmtId="0" fontId="7" fillId="0" borderId="1" xfId="0" applyFont="1" applyBorder="1"/>
    <xf numFmtId="0" fontId="7" fillId="0" borderId="0" xfId="0" applyFont="1"/>
    <xf numFmtId="2" fontId="5" fillId="0" borderId="8" xfId="0" applyNumberFormat="1" applyFont="1" applyBorder="1"/>
    <xf numFmtId="2" fontId="3" fillId="2" borderId="9" xfId="0" applyNumberFormat="1" applyFont="1" applyFill="1" applyBorder="1"/>
    <xf numFmtId="2" fontId="0" fillId="0" borderId="0" xfId="0" applyNumberFormat="1"/>
    <xf numFmtId="0" fontId="5" fillId="0" borderId="0" xfId="0" applyFont="1"/>
    <xf numFmtId="14" fontId="7" fillId="0" borderId="1" xfId="0" applyNumberFormat="1" applyFont="1" applyBorder="1"/>
    <xf numFmtId="14" fontId="0" fillId="0" borderId="1" xfId="0" applyNumberFormat="1" applyFont="1" applyBorder="1"/>
    <xf numFmtId="0" fontId="0" fillId="0" borderId="1" xfId="0" applyFont="1" applyBorder="1"/>
    <xf numFmtId="164" fontId="0" fillId="0" borderId="1" xfId="0" applyNumberFormat="1" applyFont="1" applyBorder="1"/>
    <xf numFmtId="0" fontId="8" fillId="0" borderId="1" xfId="2" applyBorder="1"/>
    <xf numFmtId="0" fontId="5" fillId="0" borderId="0" xfId="0" applyFont="1" applyBorder="1"/>
    <xf numFmtId="164" fontId="7" fillId="0" borderId="1" xfId="0" applyNumberFormat="1" applyFont="1" applyBorder="1"/>
  </cellXfs>
  <cellStyles count="3">
    <cellStyle name="Hiperłącze" xfId="2" builtinId="8"/>
    <cellStyle name="Normalny" xfId="0" builtinId="0"/>
    <cellStyle name="Procentowy" xfId="1" builtinId="5"/>
  </cellStyles>
  <dxfs count="191"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font>
        <color rgb="FFFF0000"/>
      </font>
      <fill>
        <patternFill>
          <bgColor rgb="FFFFE7E7"/>
        </patternFill>
      </fill>
    </dxf>
    <dxf>
      <border outline="0">
        <left style="thin">
          <color theme="5"/>
        </left>
        <right style="thin">
          <color theme="5"/>
        </right>
        <top style="thin">
          <color theme="5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5"/>
          <bgColor theme="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#,##0.00\ &quot;zł&quot;"/>
      <border diagonalUp="0" diagonalDown="0">
        <left/>
        <right/>
        <top style="thin">
          <color theme="5"/>
        </top>
        <bottom/>
        <vertical/>
        <horizontal/>
      </border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font>
        <color rgb="FFFF0000"/>
      </font>
      <fill>
        <patternFill>
          <bgColor rgb="FFFFE7E7"/>
        </patternFill>
      </fill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4" formatCode="0.00%"/>
      <border diagonalUp="0" diagonalDown="0">
        <left/>
        <right/>
        <top style="thin">
          <color theme="7"/>
        </top>
        <bottom style="thin">
          <color theme="7"/>
        </bottom>
        <vertical/>
        <horizontal/>
      </border>
    </dxf>
    <dxf>
      <numFmt numFmtId="164" formatCode="#,##0.00\ &quot;zł&quot;"/>
      <border diagonalUp="0" diagonalDown="0">
        <left/>
        <right/>
        <top style="thin">
          <color theme="7"/>
        </top>
        <bottom style="thin">
          <color theme="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#,##0.00\ &quot;zł&quot;"/>
    </dxf>
    <dxf>
      <numFmt numFmtId="164" formatCode="#,##0.00\ &quot;zł&quot;"/>
      <border diagonalUp="0" diagonalDown="0">
        <left/>
        <right/>
        <top style="thin">
          <color theme="7"/>
        </top>
        <bottom style="thin">
          <color theme="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#,##0.00\ &quot;zł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#,##0.00\ &quot;zł&quot;"/>
      <border diagonalUp="0" diagonalDown="0">
        <left/>
        <right/>
        <top style="thin">
          <color theme="7"/>
        </top>
        <bottom style="thin">
          <color theme="7"/>
        </bottom>
        <vertical/>
        <horizontal/>
      </border>
    </dxf>
    <dxf>
      <numFmt numFmtId="164" formatCode="#,##0.00\ &quot;zł&quot;"/>
      <border diagonalUp="0" diagonalDown="0">
        <left/>
        <right/>
        <top style="thin">
          <color theme="7"/>
        </top>
        <bottom style="thin">
          <color theme="7"/>
        </bottom>
        <vertical/>
        <horizontal/>
      </border>
    </dxf>
    <dxf>
      <numFmt numFmtId="164" formatCode="#,##0.00\ &quot;zł&quot;"/>
      <border diagonalUp="0" diagonalDown="0">
        <left/>
        <right/>
        <top style="thin">
          <color theme="7"/>
        </top>
        <bottom style="thin">
          <color theme="7"/>
        </bottom>
        <vertical/>
        <horizontal/>
      </border>
    </dxf>
    <dxf>
      <border diagonalUp="0" diagonalDown="0">
        <left style="thin">
          <color theme="7"/>
        </left>
        <right/>
        <top style="thin">
          <color theme="7"/>
        </top>
        <bottom style="thin">
          <color theme="7"/>
        </bottom>
        <vertical/>
        <horizontal/>
      </border>
    </dxf>
    <dxf>
      <border outline="0">
        <top style="thin">
          <color theme="7" tint="0.39997558519241921"/>
        </top>
      </border>
    </dxf>
    <dxf>
      <border outline="0">
        <bottom style="thin">
          <color theme="7" tint="0.39997558519241921"/>
        </bottom>
      </border>
    </dxf>
    <dxf>
      <numFmt numFmtId="14" formatCode="0.00%"/>
    </dxf>
    <dxf>
      <numFmt numFmtId="164" formatCode="#,##0.00\ &quot;zł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</dxf>
    <dxf>
      <numFmt numFmtId="164" formatCode="#,##0.00\ &quot;zł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#,##0.00\ &quot;zł&quot;"/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border diagonalUp="0" diagonalDown="0">
        <left/>
        <right/>
        <top style="thin">
          <color theme="5"/>
        </top>
        <bottom/>
        <vertical/>
        <horizontal/>
      </border>
    </dxf>
    <dxf>
      <border outline="0">
        <left style="thin">
          <color theme="5"/>
        </left>
        <right style="thin">
          <color theme="5"/>
        </right>
        <top style="thin">
          <color theme="5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5"/>
          <bgColor theme="5"/>
        </patternFill>
      </fill>
    </dxf>
    <dxf>
      <numFmt numFmtId="164" formatCode="#,##0.00\ &quot;zł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#,##0.00\ &quot;zł&quot;"/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border diagonalUp="0" diagonalDown="0">
        <left/>
        <right/>
        <top style="thin">
          <color theme="5"/>
        </top>
        <bottom/>
        <vertical/>
        <horizontal/>
      </border>
    </dxf>
    <dxf>
      <border outline="0">
        <left style="thin">
          <color theme="5"/>
        </left>
        <right style="thin">
          <color theme="5"/>
        </right>
        <top style="thin">
          <color theme="5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5"/>
          <bgColor theme="5"/>
        </patternFill>
      </fill>
    </dxf>
    <dxf>
      <numFmt numFmtId="164" formatCode="#,##0.00\ &quot;zł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#,##0.00\ &quot;zł&quot;"/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border diagonalUp="0" diagonalDown="0">
        <left/>
        <right/>
        <top style="thin">
          <color theme="5"/>
        </top>
        <bottom/>
        <vertical/>
        <horizontal/>
      </border>
    </dxf>
    <dxf>
      <border outline="0">
        <left style="thin">
          <color theme="5"/>
        </left>
        <right style="thin">
          <color theme="5"/>
        </right>
        <top style="thin">
          <color theme="5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5"/>
          <bgColor theme="5"/>
        </patternFill>
      </fill>
    </dxf>
    <dxf>
      <numFmt numFmtId="164" formatCode="#,##0.00\ &quot;zł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#,##0.00\ &quot;zł&quot;"/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border diagonalUp="0" diagonalDown="0">
        <left/>
        <right/>
        <top style="thin">
          <color theme="5"/>
        </top>
        <bottom/>
        <vertical/>
        <horizontal/>
      </border>
    </dxf>
    <dxf>
      <border outline="0">
        <left style="thin">
          <color theme="5"/>
        </left>
        <right style="thin">
          <color theme="5"/>
        </right>
        <top style="thin">
          <color theme="5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5"/>
          <bgColor theme="5"/>
        </patternFill>
      </fill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#,##0.00\ &quot;zł&quot;"/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border diagonalUp="0" diagonalDown="0">
        <left/>
        <right/>
        <top style="thin">
          <color theme="5"/>
        </top>
        <bottom/>
        <vertical/>
        <horizontal/>
      </border>
    </dxf>
    <dxf>
      <border outline="0">
        <left style="thin">
          <color theme="5"/>
        </left>
        <right style="thin">
          <color theme="5"/>
        </right>
        <top style="thin">
          <color theme="5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5"/>
          <bgColor theme="5"/>
        </patternFill>
      </fill>
    </dxf>
    <dxf>
      <numFmt numFmtId="164" formatCode="#,##0.00\ &quot;zł&quot;"/>
    </dxf>
    <dxf>
      <font>
        <color rgb="FFFF0000"/>
      </font>
      <fill>
        <patternFill>
          <bgColor rgb="FFFFE7E7"/>
        </patternFill>
      </fill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border diagonalUp="0" diagonalDown="0" outline="0">
        <left/>
        <right/>
        <top style="thin">
          <color theme="5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#,##0.00\ &quot;zł&quot;"/>
      <border diagonalUp="0" diagonalDown="0" outline="0">
        <left/>
        <right/>
        <top style="thin">
          <color theme="5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border diagonalUp="0" diagonalDown="0" outline="0">
        <left/>
        <right/>
        <top style="thin">
          <color theme="5"/>
        </top>
        <bottom/>
      </border>
    </dxf>
    <dxf>
      <border outline="0">
        <left style="thin">
          <color theme="5"/>
        </left>
        <right style="thin">
          <color theme="5"/>
        </right>
        <top style="thin">
          <color theme="5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5"/>
          <bgColor theme="5"/>
        </patternFill>
      </fill>
    </dxf>
    <dxf>
      <numFmt numFmtId="164" formatCode="#,##0.00\ &quot;zł&quot;"/>
    </dxf>
    <dxf>
      <font>
        <color rgb="FFFF0000"/>
      </font>
      <fill>
        <patternFill>
          <bgColor rgb="FFFFE7E7"/>
        </patternFill>
      </fill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#,##0.00\ &quot;zł&quot;"/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border diagonalUp="0" diagonalDown="0">
        <left style="thin">
          <color theme="5"/>
        </left>
        <right/>
        <top style="thin">
          <color theme="5"/>
        </top>
        <bottom/>
        <vertical/>
        <horizontal/>
      </border>
    </dxf>
    <dxf>
      <border outline="0">
        <left style="thin">
          <color theme="5"/>
        </left>
        <right style="thin">
          <color theme="5"/>
        </right>
        <top style="thin">
          <color theme="5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5"/>
          <bgColor theme="5"/>
        </patternFill>
      </fill>
    </dxf>
    <dxf>
      <font>
        <color rgb="FFFF0000"/>
      </font>
      <fill>
        <patternFill>
          <bgColor rgb="FFFFE7E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#,##0.00\ &quot;zł&quot;"/>
      <border diagonalUp="0" diagonalDown="0" outline="0">
        <left/>
        <right/>
        <top style="thin">
          <color theme="5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border diagonalUp="0" diagonalDown="0" outline="0">
        <left style="thin">
          <color theme="5"/>
        </left>
        <right/>
        <top style="thin">
          <color theme="5"/>
        </top>
        <bottom/>
      </border>
    </dxf>
    <dxf>
      <border outline="0">
        <right style="thin">
          <color theme="5"/>
        </right>
        <top style="thin">
          <color theme="5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5"/>
          <bgColor theme="5"/>
        </patternFill>
      </fill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font>
        <color rgb="FFFF0000"/>
      </font>
      <fill>
        <patternFill>
          <bgColor rgb="FFFFE7E7"/>
        </patternFill>
      </fill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#,##0.00\ &quot;zł&quot;"/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border diagonalUp="0" diagonalDown="0">
        <left/>
        <right/>
        <top style="thin">
          <color theme="5"/>
        </top>
        <bottom/>
        <vertical/>
        <horizontal/>
      </border>
    </dxf>
    <dxf>
      <border outline="0">
        <left style="thin">
          <color theme="5"/>
        </left>
        <right style="thin">
          <color theme="5"/>
        </right>
        <top style="thin">
          <color theme="5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5"/>
          <bgColor theme="5"/>
        </patternFill>
      </fill>
    </dxf>
    <dxf>
      <numFmt numFmtId="165" formatCode="_-* #,##0.00\ [$zł-415]_-;\-* #,##0.00\ [$zł-415]_-;_-* &quot;-&quot;??\ [$zł-415]_-;_-@_-"/>
    </dxf>
    <dxf>
      <font>
        <color rgb="FFFF0000"/>
      </font>
      <fill>
        <patternFill>
          <bgColor rgb="FFFFE7E7"/>
        </patternFill>
      </fill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#,##0.00\ &quot;zł&quot;"/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border diagonalUp="0" diagonalDown="0">
        <left/>
        <right/>
        <top style="thin">
          <color theme="5"/>
        </top>
        <bottom/>
        <vertical/>
        <horizontal/>
      </border>
    </dxf>
    <dxf>
      <border outline="0">
        <left style="thin">
          <color theme="5"/>
        </left>
        <right style="thin">
          <color theme="5"/>
        </right>
        <top style="thin">
          <color theme="5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5"/>
          <bgColor theme="5"/>
        </patternFill>
      </fill>
    </dxf>
    <dxf>
      <font>
        <color rgb="FFFF0000"/>
      </font>
      <fill>
        <patternFill>
          <bgColor rgb="FFFFE7E7"/>
        </patternFill>
      </fill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#,##0.00\ &quot;zł&quot;"/>
      <border diagonalUp="0" diagonalDown="0" outline="0">
        <left/>
        <right/>
        <top style="thin">
          <color theme="5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border diagonalUp="0" diagonalDown="0">
        <left/>
        <right/>
        <top style="thin">
          <color theme="5"/>
        </top>
        <bottom/>
        <vertical/>
        <horizontal/>
      </border>
    </dxf>
    <dxf>
      <border outline="0">
        <left style="thin">
          <color theme="5"/>
        </left>
        <right style="thin">
          <color theme="5"/>
        </right>
        <top style="thin">
          <color theme="5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5"/>
          <bgColor theme="5"/>
        </patternFill>
      </fill>
    </dxf>
    <dxf>
      <numFmt numFmtId="164" formatCode="#,##0.00\ &quot;zł&quot;"/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E7E7"/>
      <color rgb="FFFFCCCC"/>
      <color rgb="FFFFD1D6"/>
      <color rgb="FFFBCECD"/>
      <color rgb="FFCFF1CB"/>
      <color rgb="FFFBFEBA"/>
      <color rgb="FFB6EAB0"/>
      <color rgb="FFF9B3B1"/>
      <color rgb="FF8EDE86"/>
      <color rgb="FFF4777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4" name="Przychody1" displayName="Przychody1" ref="G1:J3" totalsRowShown="0">
  <autoFilter ref="G1:J3"/>
  <tableColumns count="4">
    <tableColumn id="1" name="0,00 zł"/>
    <tableColumn id="5" name="kwota" dataDxfId="189"/>
    <tableColumn id="2" name="źródło"/>
    <tableColumn id="3" name="na/za co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id="25" name="Wydatki1" displayName="Wydatki1" ref="A1:E17" totalsRowShown="0" headerRowDxfId="188" tableBorderDxfId="187">
  <autoFilter ref="A1:E17"/>
  <tableColumns count="5">
    <tableColumn id="1" name="data" dataDxfId="186"/>
    <tableColumn id="2" name="kwota" dataDxfId="185"/>
    <tableColumn id="3" name="kategoria" dataDxfId="184"/>
    <tableColumn id="4" name="na co" dataDxfId="183"/>
    <tableColumn id="6" name="przyjemności" dataDxfId="182">
      <calculatedColumnFormula>FALSE()</calculatedColumnFormula>
    </tableColumn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id="4" name="Budżet1" displayName="Budżet1" ref="L1:O11" totalsRowCount="1">
  <autoFilter ref="L1:O10"/>
  <tableColumns count="4">
    <tableColumn id="1" name="kategoria" totalsRowLabel="SUMA"/>
    <tableColumn id="2" name="budżet" totalsRowFunction="custom" dataDxfId="181" totalsRowDxfId="180">
      <totalsRowFormula>SUM([budżet])</totalsRowFormula>
    </tableColumn>
    <tableColumn id="3" name="wydatki" totalsRowFunction="custom" dataDxfId="179" totalsRowDxfId="178">
      <calculatedColumnFormula>SUMIF(Wydatki1[kategoria],Budżet1[[#This Row],[kategoria]],Wydatki1[kwota])</calculatedColumnFormula>
      <totalsRowFormula>SUM([wydatki])</totalsRowFormula>
    </tableColumn>
    <tableColumn id="4" name="pozostało" totalsRowFunction="custom" dataDxfId="177" totalsRowDxfId="176">
      <calculatedColumnFormula>Budżet1[[#This Row],[budżet]]-Budżet1[[#This Row],[wydatki]]</calculatedColumnFormula>
      <totalsRowFormula>SUM([pozostało])</totalsRowFormula>
    </tableColumn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id="5" name="Wydatki2" displayName="Wydatki2" ref="A1:E33" totalsRowShown="0" headerRowDxfId="174" dataDxfId="173" tableBorderDxfId="172">
  <autoFilter ref="A1:E33"/>
  <tableColumns count="5">
    <tableColumn id="1" name="data" dataDxfId="171"/>
    <tableColumn id="2" name="kwota" dataDxfId="170"/>
    <tableColumn id="3" name="kategoria" dataDxfId="169"/>
    <tableColumn id="4" name="na co" dataDxfId="168"/>
    <tableColumn id="6" name="przyjemności" dataDxfId="167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id="23" name="Przychody2" displayName="Przychody2" ref="G1:J4" totalsRowShown="0">
  <autoFilter ref="G1:J4"/>
  <tableColumns count="4">
    <tableColumn id="1" name="data"/>
    <tableColumn id="5" name="kwota" dataDxfId="166"/>
    <tableColumn id="2" name="źródło"/>
    <tableColumn id="3" name="na/za co"/>
  </tableColumns>
  <tableStyleInfo name="TableStyleLight14" showFirstColumn="0" showLastColumn="0" showRowStripes="1" showColumnStripes="0"/>
</table>
</file>

<file path=xl/tables/table6.xml><?xml version="1.0" encoding="utf-8"?>
<table xmlns="http://schemas.openxmlformats.org/spreadsheetml/2006/main" id="30" name="Budżet2" displayName="Budżet2" ref="L1:O11" totalsRowCount="1">
  <autoFilter ref="L1:O10"/>
  <tableColumns count="4">
    <tableColumn id="1" name="kategoria" totalsRowLabel="SUMA"/>
    <tableColumn id="2" name="budżet" totalsRowFunction="custom" dataDxfId="165" totalsRowDxfId="164">
      <totalsRowFormula>SUM([budżet])</totalsRowFormula>
    </tableColumn>
    <tableColumn id="3" name="wydatki" totalsRowFunction="custom" dataDxfId="163" totalsRowDxfId="162">
      <calculatedColumnFormula>SUMIF(Wydatki2[kategoria],Budżet2[[#This Row],[kategoria]],Wydatki2[kwota])</calculatedColumnFormula>
      <totalsRowFormula>SUM([wydatki])</totalsRowFormula>
    </tableColumn>
    <tableColumn id="4" name="pozostało" totalsRowFunction="custom" dataDxfId="161" totalsRowDxfId="160">
      <calculatedColumnFormula>Budżet2[[#This Row],[budżet]]-Budżet2[[#This Row],[wydatki]]</calculatedColumnFormula>
      <totalsRowFormula>SUM([pozostało])</totalsRowFormula>
    </tableColumn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id="21" name="Przychody3" displayName="Przychody3" ref="G1:J3" totalsRowShown="0">
  <autoFilter ref="G1:J3"/>
  <tableColumns count="4">
    <tableColumn id="1" name="data"/>
    <tableColumn id="5" name="kwota" dataDxfId="158">
      <calculatedColumnFormula>stawka*G2-J2</calculatedColumnFormula>
    </tableColumn>
    <tableColumn id="2" name="źródło"/>
    <tableColumn id="3" name="na/za co"/>
  </tableColumns>
  <tableStyleInfo name="TableStyleLight14" showFirstColumn="0" showLastColumn="0" showRowStripes="1" showColumnStripes="0"/>
</table>
</file>

<file path=xl/tables/table8.xml><?xml version="1.0" encoding="utf-8"?>
<table xmlns="http://schemas.openxmlformats.org/spreadsheetml/2006/main" id="22" name="Wydatki3" displayName="Wydatki3" ref="A1:E40" totalsRowShown="0" headerRowDxfId="157" dataDxfId="156" tableBorderDxfId="155">
  <autoFilter ref="A1:E40"/>
  <tableColumns count="5">
    <tableColumn id="1" name="data" dataDxfId="154"/>
    <tableColumn id="2" name="kwota" dataDxfId="153"/>
    <tableColumn id="3" name="kategoria" dataDxfId="152"/>
    <tableColumn id="4" name="na co" dataDxfId="151"/>
    <tableColumn id="6" name="przyjemności" dataDxfId="150">
      <calculatedColumnFormula>FALSE()</calculatedColumnFormula>
    </tableColumn>
  </tableColumns>
  <tableStyleInfo name="TableStyleLight10" showFirstColumn="0" showLastColumn="0" showRowStripes="1" showColumnStripes="0"/>
</table>
</file>

<file path=xl/tables/table9.xml><?xml version="1.0" encoding="utf-8"?>
<table xmlns="http://schemas.openxmlformats.org/spreadsheetml/2006/main" id="2" name="Budżet3" displayName="Budżet3" ref="L1:O11" totalsRowCount="1">
  <autoFilter ref="L1:O10"/>
  <tableColumns count="4">
    <tableColumn id="1" name="kategoria" totalsRowLabel="SUMA"/>
    <tableColumn id="2" name="budżet" totalsRowFunction="custom" dataDxfId="149" totalsRowDxfId="148">
      <totalsRowFormula>SUM([budżet])</totalsRowFormula>
    </tableColumn>
    <tableColumn id="3" name="wydatki" totalsRowFunction="custom" dataDxfId="147" totalsRowDxfId="146">
      <calculatedColumnFormula>SUMIF(Wydatki3[kategoria],Budżet3[[#This Row],[kategoria]],Wydatki3[kwota])</calculatedColumnFormula>
      <totalsRowFormula>SUM([wydatki])</totalsRowFormula>
    </tableColumn>
    <tableColumn id="4" name="pozostało" totalsRowFunction="custom" dataDxfId="145" totalsRowDxfId="144">
      <calculatedColumnFormula>Budżet3[[#This Row],[budżet]]-Budżet3[[#This Row],[wydatki]]</calculatedColumnFormula>
      <totalsRowFormula>SUM([pozostało])</totalsRowFormula>
    </tableColumn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id="19" name="Przychody4" displayName="Przychody4" ref="G1:J4" totalsRowShown="0">
  <autoFilter ref="G1:J4"/>
  <tableColumns count="4">
    <tableColumn id="1" name="data"/>
    <tableColumn id="5" name="kwota" dataDxfId="142"/>
    <tableColumn id="2" name="źródło"/>
    <tableColumn id="3" name="na/za co"/>
  </tableColumns>
  <tableStyleInfo name="TableStyleLight14" showFirstColumn="0" showLastColumn="0" showRowStripes="1" showColumnStripes="0"/>
</table>
</file>

<file path=xl/tables/table11.xml><?xml version="1.0" encoding="utf-8"?>
<table xmlns="http://schemas.openxmlformats.org/spreadsheetml/2006/main" id="29" name="Budżet4" displayName="Budżet4" ref="L1:O11" totalsRowCount="1">
  <autoFilter ref="L1:O10"/>
  <tableColumns count="4">
    <tableColumn id="1" name="kategoria" totalsRowLabel="SUMA"/>
    <tableColumn id="2" name="budżet" totalsRowFunction="custom" dataDxfId="141" totalsRowDxfId="140">
      <totalsRowFormula>SUM([budżet])</totalsRowFormula>
    </tableColumn>
    <tableColumn id="3" name="wydatki" totalsRowFunction="custom" dataDxfId="139" totalsRowDxfId="138">
      <calculatedColumnFormula>SUMIF(Wydatki4[kategoria],Budżet4[[#This Row],[kategoria]],Wydatki4[kwota])</calculatedColumnFormula>
      <totalsRowFormula>SUM([wydatki])</totalsRowFormula>
    </tableColumn>
    <tableColumn id="4" name="pozostało" totalsRowFunction="custom" dataDxfId="137" totalsRowDxfId="136">
      <calculatedColumnFormula>Budżet4[[#This Row],[budżet]]-Budżet4[[#This Row],[wydatki]]</calculatedColumnFormula>
      <totalsRowFormula>SUM([pozostało])</totalsRowFormula>
    </tableColumn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id="20" name="Wydatki4" displayName="Wydatki4" ref="A1:E40" totalsRowShown="0" headerRowDxfId="135" tableBorderDxfId="134">
  <autoFilter ref="A1:E40"/>
  <tableColumns count="5">
    <tableColumn id="1" name="razy" dataDxfId="133"/>
    <tableColumn id="2" name="kwota" dataDxfId="132"/>
    <tableColumn id="3" name="kategoria" dataDxfId="131"/>
    <tableColumn id="4" name="na co" dataDxfId="130"/>
    <tableColumn id="5" name="przyjemności" dataDxfId="129">
      <calculatedColumnFormula>FALSE()</calculatedColumnFormula>
    </tableColumn>
  </tableColumns>
  <tableStyleInfo name="TableStyleLight17" showFirstColumn="0" showLastColumn="0" showRowStripes="1" showColumnStripes="0"/>
</table>
</file>

<file path=xl/tables/table13.xml><?xml version="1.0" encoding="utf-8"?>
<table xmlns="http://schemas.openxmlformats.org/spreadsheetml/2006/main" id="18" name="Wydatki5" displayName="Wydatki5" ref="A1:F45" totalsRowShown="0" headerRowDxfId="127" dataDxfId="126" tableBorderDxfId="125">
  <autoFilter ref="A1:F45"/>
  <tableColumns count="6">
    <tableColumn id="1" name="razy" dataDxfId="124"/>
    <tableColumn id="2" name="kwota" dataDxfId="123"/>
    <tableColumn id="3" name="kategoria" dataDxfId="122"/>
    <tableColumn id="4" name="na co" dataDxfId="121"/>
    <tableColumn id="5" name="gdzie" dataDxfId="120"/>
    <tableColumn id="6" name="przyjemności" dataDxfId="119">
      <calculatedColumnFormula>FALSE()</calculatedColumnFormula>
    </tableColumn>
  </tableColumns>
  <tableStyleInfo name="TableStyleLight10" showFirstColumn="0" showLastColumn="0" showRowStripes="1" showColumnStripes="0"/>
</table>
</file>

<file path=xl/tables/table14.xml><?xml version="1.0" encoding="utf-8"?>
<table xmlns="http://schemas.openxmlformats.org/spreadsheetml/2006/main" id="17" name="Przychody5" displayName="Przychody5" ref="H1:K5" totalsRowShown="0">
  <autoFilter ref="H1:K5"/>
  <tableColumns count="4">
    <tableColumn id="1" name="data"/>
    <tableColumn id="5" name="kwota" dataDxfId="118"/>
    <tableColumn id="2" name="źródło"/>
    <tableColumn id="3" name="na/za co"/>
  </tableColumns>
  <tableStyleInfo name="TableStyleLight14" showFirstColumn="0" showLastColumn="0" showRowStripes="1" showColumnStripes="0"/>
</table>
</file>

<file path=xl/tables/table15.xml><?xml version="1.0" encoding="utf-8"?>
<table xmlns="http://schemas.openxmlformats.org/spreadsheetml/2006/main" id="31" name="Budżet5" displayName="Budżet5" ref="M1:P11" totalsRowCount="1">
  <autoFilter ref="M1:P10"/>
  <tableColumns count="4">
    <tableColumn id="1" name="kategoria" totalsRowLabel="SUMA"/>
    <tableColumn id="2" name="budżet" totalsRowFunction="custom" dataDxfId="117" totalsRowDxfId="116">
      <totalsRowFormula>SUM([budżet])</totalsRowFormula>
    </tableColumn>
    <tableColumn id="3" name="wydatki" totalsRowFunction="custom" dataDxfId="115" totalsRowDxfId="114">
      <calculatedColumnFormula>SUMIF(Wydatki5[kategoria],Budżet5[[#This Row],[kategoria]],Wydatki5[kwota])</calculatedColumnFormula>
      <totalsRowFormula>SUM([wydatki])</totalsRowFormula>
    </tableColumn>
    <tableColumn id="4" name="pozostało" totalsRowFunction="custom" dataDxfId="113" totalsRowDxfId="112">
      <calculatedColumnFormula>Budżet5[[#This Row],[budżet]]-Budżet5[[#This Row],[wydatki]]</calculatedColumnFormula>
      <totalsRowFormula>SUM([pozostało])</totalsRowFormula>
    </tableColumn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id="15" name="Przychody6" displayName="Przychody6" ref="G1:J4" totalsRowShown="0">
  <autoFilter ref="G1:J4"/>
  <tableColumns count="4">
    <tableColumn id="1" name="data"/>
    <tableColumn id="5" name="kwota" dataDxfId="110"/>
    <tableColumn id="2" name="źródło"/>
    <tableColumn id="3" name="na/za co"/>
  </tableColumns>
  <tableStyleInfo name="TableStyleLight14" showFirstColumn="0" showLastColumn="0" showRowStripes="1" showColumnStripes="0"/>
</table>
</file>

<file path=xl/tables/table17.xml><?xml version="1.0" encoding="utf-8"?>
<table xmlns="http://schemas.openxmlformats.org/spreadsheetml/2006/main" id="16" name="Wydatki6" displayName="Wydatki6" ref="A1:E43" totalsRowShown="0" headerRowDxfId="109" dataDxfId="108" tableBorderDxfId="107">
  <autoFilter ref="A1:E43"/>
  <tableColumns count="5">
    <tableColumn id="1" name="data" dataDxfId="106"/>
    <tableColumn id="2" name="kwota" dataDxfId="105"/>
    <tableColumn id="3" name="kategoria" dataDxfId="104"/>
    <tableColumn id="4" name="na co" dataDxfId="103"/>
    <tableColumn id="6" name="przyjemności" dataDxfId="102">
      <calculatedColumnFormula>FALSE()</calculatedColumnFormula>
    </tableColumn>
  </tableColumns>
  <tableStyleInfo name="TableStyleLight10" showFirstColumn="0" showLastColumn="0" showRowStripes="1" showColumnStripes="0"/>
</table>
</file>

<file path=xl/tables/table18.xml><?xml version="1.0" encoding="utf-8"?>
<table xmlns="http://schemas.openxmlformats.org/spreadsheetml/2006/main" id="32" name="Budżet6" displayName="Budżet6" ref="L1:P11" totalsRowCount="1">
  <autoFilter ref="L1:P10"/>
  <tableColumns count="5">
    <tableColumn id="1" name="kategoria" totalsRowLabel="SUMA"/>
    <tableColumn id="2" name="budżet" totalsRowFunction="custom" dataDxfId="101" totalsRowDxfId="100">
      <totalsRowFormula>SUM([budżet])</totalsRowFormula>
    </tableColumn>
    <tableColumn id="3" name="wydatki" totalsRowFunction="custom" dataDxfId="99" totalsRowDxfId="98">
      <calculatedColumnFormula>SUMIF(Wydatki6[kategoria],Budżet6[[#This Row],[kategoria]],Wydatki6[kwota])</calculatedColumnFormula>
      <totalsRowFormula>SUM([wydatki])</totalsRowFormula>
    </tableColumn>
    <tableColumn id="4" name="pozostało" totalsRowFunction="custom" dataDxfId="97" totalsRowDxfId="96">
      <calculatedColumnFormula>Budżet6[[#This Row],[budżet]]-Budżet6[[#This Row],[wydatki]]</calculatedColumnFormula>
      <totalsRowFormula>SUM([pozostało])</totalsRowFormula>
    </tableColumn>
    <tableColumn id="5" name="Kolumna1" dataDxfId="95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id="13" name="Przychody7" displayName="Przychody7" ref="G1:J3" totalsRowShown="0">
  <autoFilter ref="G1:J3"/>
  <tableColumns count="4">
    <tableColumn id="1" name="data"/>
    <tableColumn id="5" name="kwota" dataDxfId="93"/>
    <tableColumn id="2" name="źródło"/>
    <tableColumn id="3" name="na/za co"/>
  </tableColumns>
  <tableStyleInfo name="TableStyleLight14" showFirstColumn="0" showLastColumn="0" showRowStripes="1" showColumnStripes="0"/>
</table>
</file>

<file path=xl/tables/table20.xml><?xml version="1.0" encoding="utf-8"?>
<table xmlns="http://schemas.openxmlformats.org/spreadsheetml/2006/main" id="14" name="Wydatki7" displayName="Wydatki7" ref="A1:E49" totalsRowShown="0" headerRowDxfId="92" dataDxfId="91" tableBorderDxfId="90">
  <autoFilter ref="A1:E49"/>
  <tableColumns count="5">
    <tableColumn id="1" name="data" dataDxfId="89"/>
    <tableColumn id="2" name="kwota" dataDxfId="88"/>
    <tableColumn id="3" name="kategoria" dataDxfId="87"/>
    <tableColumn id="4" name="na co" dataDxfId="86"/>
    <tableColumn id="6" name="przyjemności" dataDxfId="85">
      <calculatedColumnFormula>FALSE()</calculatedColumnFormula>
    </tableColumn>
  </tableColumns>
  <tableStyleInfo name="TableStyleLight10" showFirstColumn="0" showLastColumn="0" showRowStripes="1" showColumnStripes="0"/>
</table>
</file>

<file path=xl/tables/table21.xml><?xml version="1.0" encoding="utf-8"?>
<table xmlns="http://schemas.openxmlformats.org/spreadsheetml/2006/main" id="34" name="Budżet71" displayName="Budżet71" ref="L1:O11" totalsRowCount="1">
  <autoFilter ref="L1:O10"/>
  <tableColumns count="4">
    <tableColumn id="1" name="kategoria" totalsRowLabel="SUMA"/>
    <tableColumn id="2" name="budżet" totalsRowFunction="custom" dataDxfId="84" totalsRowDxfId="17">
      <totalsRowFormula>SUM([budżet])</totalsRowFormula>
    </tableColumn>
    <tableColumn id="3" name="wydatki" totalsRowFunction="custom" dataDxfId="83" totalsRowDxfId="16">
      <calculatedColumnFormula>SUMIF(Wydatki7[kategoria],Budżet71[[#This Row],[kategoria]],Wydatki7[kwota])</calculatedColumnFormula>
      <totalsRowFormula>SUM([wydatki])</totalsRowFormula>
    </tableColumn>
    <tableColumn id="4" name="pozostało" totalsRowFunction="custom" dataDxfId="82" totalsRowDxfId="15">
      <calculatedColumnFormula>Budżet71[[#This Row],[budżet]]-Budżet71[[#This Row],[wydatki]]</calculatedColumnFormula>
      <totalsRowFormula>SUM([pozostało])</totalsRowFormula>
    </tableColumn>
  </tableColumns>
  <tableStyleInfo name="TableStyleLight11" showFirstColumn="0" showLastColumn="0" showRowStripes="1" showColumnStripes="0"/>
</table>
</file>

<file path=xl/tables/table22.xml><?xml version="1.0" encoding="utf-8"?>
<table xmlns="http://schemas.openxmlformats.org/spreadsheetml/2006/main" id="11" name="Przychody8" displayName="Przychody8" ref="F1:I3" totalsRowShown="0">
  <autoFilter ref="F1:I3"/>
  <tableColumns count="4">
    <tableColumn id="1" name="data"/>
    <tableColumn id="5" name="kwota" dataDxfId="81"/>
    <tableColumn id="2" name="źródło"/>
    <tableColumn id="3" name="na/za co"/>
  </tableColumns>
  <tableStyleInfo name="TableStyleLight14" showFirstColumn="0" showLastColumn="0" showRowStripes="1" showColumnStripes="0"/>
</table>
</file>

<file path=xl/tables/table23.xml><?xml version="1.0" encoding="utf-8"?>
<table xmlns="http://schemas.openxmlformats.org/spreadsheetml/2006/main" id="12" name="Wydatki8" displayName="Wydatki8" ref="A1:D15" totalsRowShown="0" headerRowDxfId="6" dataDxfId="5" tableBorderDxfId="4">
  <autoFilter ref="A1:D15"/>
  <tableColumns count="4">
    <tableColumn id="2" name="kwota" dataDxfId="10"/>
    <tableColumn id="3" name="kategoria" dataDxfId="9"/>
    <tableColumn id="4" name="na co" dataDxfId="8"/>
    <tableColumn id="6" name="przyjemności" dataDxfId="7">
      <calculatedColumnFormula>FALSE()</calculatedColumnFormula>
    </tableColumn>
  </tableColumns>
  <tableStyleInfo name="TableStyleLight10" showFirstColumn="0" showLastColumn="0" showRowStripes="1" showColumnStripes="0"/>
</table>
</file>

<file path=xl/tables/table24.xml><?xml version="1.0" encoding="utf-8"?>
<table xmlns="http://schemas.openxmlformats.org/spreadsheetml/2006/main" id="33" name="Budżet7134" displayName="Budżet7134" ref="K1:N11" totalsRowCount="1">
  <autoFilter ref="K1:N11"/>
  <tableColumns count="4">
    <tableColumn id="1" name="kategoria" totalsRowLabel="SUMA"/>
    <tableColumn id="2" name="budżet" totalsRowFunction="custom" dataDxfId="13" totalsRowDxfId="2">
      <totalsRowFormula>SUM([budżet])</totalsRowFormula>
    </tableColumn>
    <tableColumn id="3" name="wydatki" totalsRowFunction="custom" dataDxfId="11" totalsRowDxfId="1">
      <calculatedColumnFormula>SUMIF(Wydatki8[kategoria],Budżet7134[[#This Row],[kategoria]],Wydatki8[kwota])</calculatedColumnFormula>
      <totalsRowFormula>SUM([wydatki])</totalsRowFormula>
    </tableColumn>
    <tableColumn id="4" name="pozostało" totalsRowFunction="custom" dataDxfId="12" totalsRowDxfId="0">
      <calculatedColumnFormula>Budżet7134[[#This Row],[budżet]]-Budżet7134[[#This Row],[wydatki]]</calculatedColumnFormula>
      <totalsRowFormula>SUM([pozostało])</totalsRowFormula>
    </tableColumn>
  </tableColumns>
  <tableStyleInfo name="TableStyleLight11" showFirstColumn="0" showLastColumn="0" showRowStripes="1" showColumnStripes="0"/>
</table>
</file>

<file path=xl/tables/table25.xml><?xml version="1.0" encoding="utf-8"?>
<table xmlns="http://schemas.openxmlformats.org/spreadsheetml/2006/main" id="26" name="Przychody9" displayName="Przychody9" ref="I1:L3" totalsRowShown="0">
  <autoFilter ref="I1:L3"/>
  <tableColumns count="4">
    <tableColumn id="1" name="data"/>
    <tableColumn id="5" name="kwota" dataDxfId="80"/>
    <tableColumn id="2" name="źródło"/>
    <tableColumn id="3" name="na/za co"/>
  </tableColumns>
  <tableStyleInfo name="TableStyleLight14" showFirstColumn="0" showLastColumn="0" showRowStripes="1" showColumnStripes="0"/>
</table>
</file>

<file path=xl/tables/table26.xml><?xml version="1.0" encoding="utf-8"?>
<table xmlns="http://schemas.openxmlformats.org/spreadsheetml/2006/main" id="27" name="Wydatki9" displayName="Wydatki9" ref="A1:G3" totalsRowShown="0" headerRowDxfId="79" dataDxfId="78" tableBorderDxfId="77">
  <autoFilter ref="A1:G3"/>
  <tableColumns count="7">
    <tableColumn id="1" name="data" dataDxfId="76"/>
    <tableColumn id="2" name="kwota" dataDxfId="75"/>
    <tableColumn id="3" name="kategoria" dataDxfId="74"/>
    <tableColumn id="4" name="na co" dataDxfId="73"/>
    <tableColumn id="5" name="gdzie" dataDxfId="72"/>
    <tableColumn id="6" name="przyjemności" dataDxfId="71">
      <calculatedColumnFormula>FALSE()</calculatedColumnFormula>
    </tableColumn>
    <tableColumn id="7" name="stałe" dataDxfId="70"/>
  </tableColumns>
  <tableStyleInfo name="TableStyleLight10" showFirstColumn="0" showLastColumn="0" showRowStripes="1" showColumnStripes="0"/>
</table>
</file>

<file path=xl/tables/table27.xml><?xml version="1.0" encoding="utf-8"?>
<table xmlns="http://schemas.openxmlformats.org/spreadsheetml/2006/main" id="1" name="Przychody10" displayName="Przychody10" ref="I1:L3" totalsRowShown="0">
  <autoFilter ref="I1:L3"/>
  <tableColumns count="4">
    <tableColumn id="1" name="data"/>
    <tableColumn id="5" name="kwota" dataDxfId="69"/>
    <tableColumn id="2" name="źródło"/>
    <tableColumn id="3" name="na/za co"/>
  </tableColumns>
  <tableStyleInfo name="TableStyleLight14" showFirstColumn="0" showLastColumn="0" showRowStripes="1" showColumnStripes="0"/>
</table>
</file>

<file path=xl/tables/table28.xml><?xml version="1.0" encoding="utf-8"?>
<table xmlns="http://schemas.openxmlformats.org/spreadsheetml/2006/main" id="3" name="Wydatki10" displayName="Wydatki10" ref="A1:G3" totalsRowShown="0" headerRowDxfId="68" dataDxfId="67" tableBorderDxfId="66">
  <autoFilter ref="A1:G3"/>
  <tableColumns count="7">
    <tableColumn id="1" name="data" dataDxfId="65"/>
    <tableColumn id="2" name="kwota" dataDxfId="64"/>
    <tableColumn id="3" name="kategoria" dataDxfId="63"/>
    <tableColumn id="4" name="na co" dataDxfId="62"/>
    <tableColumn id="5" name="gdzie" dataDxfId="61"/>
    <tableColumn id="6" name="przyjemności" dataDxfId="60">
      <calculatedColumnFormula>FALSE()</calculatedColumnFormula>
    </tableColumn>
    <tableColumn id="7" name="stałe" dataDxfId="59"/>
  </tableColumns>
  <tableStyleInfo name="TableStyleLight10" showFirstColumn="0" showLastColumn="0" showRowStripes="1" showColumnStripes="0"/>
</table>
</file>

<file path=xl/tables/table29.xml><?xml version="1.0" encoding="utf-8"?>
<table xmlns="http://schemas.openxmlformats.org/spreadsheetml/2006/main" id="7" name="Przychody11" displayName="Przychody11" ref="I1:L3" totalsRowShown="0">
  <autoFilter ref="I1:L3"/>
  <tableColumns count="4">
    <tableColumn id="1" name="data"/>
    <tableColumn id="5" name="kwota" dataDxfId="58"/>
    <tableColumn id="2" name="źródło"/>
    <tableColumn id="3" name="na/za co"/>
  </tableColumns>
  <tableStyleInfo name="TableStyleLight14" showFirstColumn="0" showLastColumn="0" showRowStripes="1" showColumnStripes="0"/>
</table>
</file>

<file path=xl/tables/table30.xml><?xml version="1.0" encoding="utf-8"?>
<table xmlns="http://schemas.openxmlformats.org/spreadsheetml/2006/main" id="8" name="Wydatki11" displayName="Wydatki11" ref="A1:G3" totalsRowShown="0" headerRowDxfId="57" dataDxfId="56" tableBorderDxfId="55">
  <autoFilter ref="A1:G3"/>
  <tableColumns count="7">
    <tableColumn id="1" name="data" dataDxfId="54"/>
    <tableColumn id="2" name="kwota" dataDxfId="53"/>
    <tableColumn id="3" name="kategoria" dataDxfId="52"/>
    <tableColumn id="4" name="na co" dataDxfId="51"/>
    <tableColumn id="5" name="gdzie" dataDxfId="50"/>
    <tableColumn id="6" name="przyjemności" dataDxfId="49">
      <calculatedColumnFormula>FALSE()</calculatedColumnFormula>
    </tableColumn>
    <tableColumn id="7" name="stałe" dataDxfId="48"/>
  </tableColumns>
  <tableStyleInfo name="TableStyleLight10" showFirstColumn="0" showLastColumn="0" showRowStripes="1" showColumnStripes="0"/>
</table>
</file>

<file path=xl/tables/table31.xml><?xml version="1.0" encoding="utf-8"?>
<table xmlns="http://schemas.openxmlformats.org/spreadsheetml/2006/main" id="9" name="Przychody12" displayName="Przychody12" ref="I1:L3" totalsRowShown="0">
  <autoFilter ref="I1:L3"/>
  <tableColumns count="4">
    <tableColumn id="1" name="data"/>
    <tableColumn id="5" name="kwota" dataDxfId="47"/>
    <tableColumn id="2" name="źródło"/>
    <tableColumn id="3" name="na/za co"/>
  </tableColumns>
  <tableStyleInfo name="TableStyleLight14" showFirstColumn="0" showLastColumn="0" showRowStripes="1" showColumnStripes="0"/>
</table>
</file>

<file path=xl/tables/table32.xml><?xml version="1.0" encoding="utf-8"?>
<table xmlns="http://schemas.openxmlformats.org/spreadsheetml/2006/main" id="10" name="Wydatki12" displayName="Wydatki12" ref="A1:G3" totalsRowShown="0" headerRowDxfId="46" dataDxfId="45" tableBorderDxfId="44">
  <autoFilter ref="A1:G3"/>
  <tableColumns count="7">
    <tableColumn id="1" name="data" dataDxfId="43"/>
    <tableColumn id="2" name="kwota" dataDxfId="42"/>
    <tableColumn id="3" name="kategoria" dataDxfId="41"/>
    <tableColumn id="4" name="na co" dataDxfId="40"/>
    <tableColumn id="5" name="gdzie" dataDxfId="39"/>
    <tableColumn id="6" name="przyjemności" dataDxfId="38">
      <calculatedColumnFormula>FALSE()</calculatedColumnFormula>
    </tableColumn>
    <tableColumn id="7" name="stałe" dataDxfId="37"/>
  </tableColumns>
  <tableStyleInfo name="TableStyleLight10" showFirstColumn="0" showLastColumn="0" showRowStripes="1" showColumnStripes="0"/>
</table>
</file>

<file path=xl/tables/table33.xml><?xml version="1.0" encoding="utf-8"?>
<table xmlns="http://schemas.openxmlformats.org/spreadsheetml/2006/main" id="6" name="Rok" displayName="Rok" ref="A1:I13" totalsRowShown="0">
  <autoFilter ref="A1:I13"/>
  <tableColumns count="9">
    <tableColumn id="1" name="miesiąc"/>
    <tableColumn id="5" name="Dochód" dataDxfId="36">
      <calculatedColumnFormula>SUM(#REF!)</calculatedColumnFormula>
    </tableColumn>
    <tableColumn id="4" name="Wydatki" dataDxfId="35">
      <calculatedColumnFormula>SUM(Wydatki10[kwota])</calculatedColumnFormula>
    </tableColumn>
    <tableColumn id="6" name="Wydatki konieczne" dataDxfId="34" dataCellStyle="Procentowy">
      <calculatedColumnFormula array="1">SUM(_xlfn._xlws.FILTER(Wydatki10[kwota],NOT(Wydatki10[przyjemności])))</calculatedColumnFormula>
    </tableColumn>
    <tableColumn id="9" name="Wydatki konieczne [%]" dataDxfId="33" dataCellStyle="Procentowy">
      <calculatedColumnFormula>IF(Rok[[#This Row],[Wydatki]]&gt;0,Rok[[#This Row],[Wydatki konieczne]]/Rok[[#This Row],[Wydatki]],0)</calculatedColumnFormula>
    </tableColumn>
    <tableColumn id="7" name="Wydatki przyjemności" dataDxfId="32" dataCellStyle="Procentowy">
      <calculatedColumnFormula>SUM(_xlfn._xlws.FILTER(#REF!,#REF!))</calculatedColumnFormula>
    </tableColumn>
    <tableColumn id="10" name="Wydatki przyjemności [%]" dataDxfId="31" dataCellStyle="Procentowy">
      <calculatedColumnFormula>IF(Rok[[#This Row],[Wydatki]]&gt;0,Rok[[#This Row],[Wydatki przyjemności]]/Rok[[#This Row],[Wydatki]],0)</calculatedColumnFormula>
    </tableColumn>
    <tableColumn id="2" name="Oszczędności" dataDxfId="30">
      <calculatedColumnFormula>Rok[[#This Row],[Dochód]]-Rok[[#This Row],[Wydatki]]</calculatedColumnFormula>
    </tableColumn>
    <tableColumn id="3" name="Oszczędności [%]" dataDxfId="29" dataCellStyle="Procentowy">
      <calculatedColumnFormula>IF(Rok[[#This Row],[Dochód]]&gt;0,Rok[[#This Row],[Oszczędności]]/Rok[[#This Row],[Dochód]],0)</calculatedColumnFormula>
    </tableColumn>
  </tableColumns>
  <tableStyleInfo name="TableStyleMedium5" showFirstColumn="0" showLastColumn="0" showRowStripes="1" showColumnStripes="0"/>
</table>
</file>

<file path=xl/tables/table34.xml><?xml version="1.0" encoding="utf-8"?>
<table xmlns="http://schemas.openxmlformats.org/spreadsheetml/2006/main" id="28" name="Okres" displayName="Okres" ref="A15:I16" totalsRowShown="0" headerRowBorderDxfId="28" tableBorderDxfId="27">
  <autoFilter ref="A15:I16"/>
  <tableColumns count="9">
    <tableColumn id="1" name="okres" dataDxfId="26"/>
    <tableColumn id="2" name="Dochód" dataDxfId="25">
      <calculatedColumnFormula>SUM(Rok[Dochód])</calculatedColumnFormula>
    </tableColumn>
    <tableColumn id="3" name="Wydatki" dataDxfId="24">
      <calculatedColumnFormula>SUM(Rok[Wydatki])</calculatedColumnFormula>
    </tableColumn>
    <tableColumn id="4" name="Wydatki konieczne" dataDxfId="23" dataCellStyle="Procentowy">
      <calculatedColumnFormula>SUM(Rok[Wydatki konieczne])</calculatedColumnFormula>
    </tableColumn>
    <tableColumn id="5" name="Wydatki konieczne [%]" dataDxfId="22" dataCellStyle="Procentowy">
      <calculatedColumnFormula>IF(Okres[[#This Row],[Wydatki]]&gt;0,Okres[[#This Row],[Wydatki konieczne]]/Okres[[#This Row],[Wydatki]],0)</calculatedColumnFormula>
    </tableColumn>
    <tableColumn id="6" name="Wydatki przyjemności" dataDxfId="21">
      <calculatedColumnFormula>SUM(Rok[Wydatki przyjemności])</calculatedColumnFormula>
    </tableColumn>
    <tableColumn id="7" name="Wydatki przyjemności [%]" dataDxfId="20" dataCellStyle="Procentowy">
      <calculatedColumnFormula>IF(Okres[[#This Row],[Wydatki]]&gt;0,Okres[[#This Row],[Wydatki przyjemności]]/Okres[[#This Row],[Wydatki]],0)</calculatedColumnFormula>
    </tableColumn>
    <tableColumn id="8" name="Oszczędności" dataDxfId="19">
      <calculatedColumnFormula>SUM(Rok[Oszczędności])</calculatedColumnFormula>
    </tableColumn>
    <tableColumn id="9" name="Oszczędności [%]" dataDxfId="18">
      <calculatedColumnFormula>IF(Okres[[#This Row],[Dochód]]&gt;0,Okres[[#This Row],[Oszczędności]]/Okres[[#This Row],[Dochód]],0)</calculatedColumnFormula>
    </tableColumn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6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8.xml"/><Relationship Id="rId2" Type="http://schemas.openxmlformats.org/officeDocument/2006/relationships/table" Target="../tables/table17.xml"/><Relationship Id="rId1" Type="http://schemas.openxmlformats.org/officeDocument/2006/relationships/table" Target="../tables/table1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cybe.pl/" TargetMode="External"/><Relationship Id="rId5" Type="http://schemas.openxmlformats.org/officeDocument/2006/relationships/table" Target="../tables/table21.xml"/><Relationship Id="rId4" Type="http://schemas.openxmlformats.org/officeDocument/2006/relationships/table" Target="../tables/table20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3.xml"/><Relationship Id="rId2" Type="http://schemas.openxmlformats.org/officeDocument/2006/relationships/table" Target="../tables/table22.xml"/><Relationship Id="rId1" Type="http://schemas.openxmlformats.org/officeDocument/2006/relationships/printerSettings" Target="../printerSettings/printerSettings5.bin"/><Relationship Id="rId4" Type="http://schemas.openxmlformats.org/officeDocument/2006/relationships/table" Target="../tables/table24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6.xml"/><Relationship Id="rId2" Type="http://schemas.openxmlformats.org/officeDocument/2006/relationships/table" Target="../tables/table25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8.xml"/><Relationship Id="rId1" Type="http://schemas.openxmlformats.org/officeDocument/2006/relationships/table" Target="../tables/table27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0.xml"/><Relationship Id="rId1" Type="http://schemas.openxmlformats.org/officeDocument/2006/relationships/table" Target="../tables/table29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2.xml"/><Relationship Id="rId1" Type="http://schemas.openxmlformats.org/officeDocument/2006/relationships/table" Target="../tables/table31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4.xml"/><Relationship Id="rId2" Type="http://schemas.openxmlformats.org/officeDocument/2006/relationships/table" Target="../tables/table33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8" tint="0.39997558519241921"/>
  </sheetPr>
  <dimension ref="A1:O13"/>
  <sheetViews>
    <sheetView workbookViewId="0">
      <selection activeCell="L4" sqref="L4"/>
    </sheetView>
  </sheetViews>
  <sheetFormatPr defaultRowHeight="14.5"/>
  <cols>
    <col min="1" max="1" width="9.90625" bestFit="1" customWidth="1"/>
    <col min="2" max="2" width="12" style="2" customWidth="1"/>
    <col min="3" max="3" width="14" customWidth="1"/>
    <col min="4" max="4" width="17.453125" customWidth="1"/>
    <col min="5" max="5" width="17.08984375" customWidth="1"/>
    <col min="6" max="6" width="10.453125" customWidth="1"/>
    <col min="7" max="7" width="17.1796875" customWidth="1"/>
    <col min="8" max="8" width="9.54296875" bestFit="1" customWidth="1"/>
    <col min="10" max="10" width="9.90625" bestFit="1" customWidth="1"/>
    <col min="11" max="11" width="8.90625" customWidth="1"/>
    <col min="12" max="12" width="14.6328125" customWidth="1"/>
    <col min="13" max="13" width="16.1796875" customWidth="1"/>
    <col min="14" max="14" width="11.90625" customWidth="1"/>
    <col min="15" max="15" width="13.81640625" customWidth="1"/>
  </cols>
  <sheetData>
    <row r="1" spans="1:15">
      <c r="A1" s="8" t="s">
        <v>0</v>
      </c>
      <c r="B1" s="9" t="s">
        <v>2</v>
      </c>
      <c r="C1" s="10" t="s">
        <v>8</v>
      </c>
      <c r="D1" s="10" t="s">
        <v>3</v>
      </c>
      <c r="E1" s="10" t="s">
        <v>12</v>
      </c>
      <c r="G1" s="2" t="s">
        <v>50</v>
      </c>
      <c r="H1" s="2" t="s">
        <v>2</v>
      </c>
      <c r="I1" t="s">
        <v>1</v>
      </c>
      <c r="J1" t="s">
        <v>4</v>
      </c>
      <c r="L1" s="16" t="s">
        <v>8</v>
      </c>
      <c r="M1" s="16" t="s">
        <v>38</v>
      </c>
      <c r="N1" t="s">
        <v>39</v>
      </c>
      <c r="O1" t="s">
        <v>40</v>
      </c>
    </row>
    <row r="2" spans="1:15">
      <c r="B2" s="2">
        <v>0</v>
      </c>
      <c r="G2" s="1"/>
      <c r="H2" s="2">
        <v>0</v>
      </c>
      <c r="L2" t="s">
        <v>44</v>
      </c>
      <c r="M2" s="2">
        <v>0</v>
      </c>
      <c r="N2" s="2">
        <f>SUMIF(Wydatki1[kategoria],Budżet1[[#This Row],[kategoria]],Wydatki1[kwota])</f>
        <v>0</v>
      </c>
      <c r="O2" s="2">
        <f>Budżet1[[#This Row],[budżet]]-Budżet1[[#This Row],[wydatki]]</f>
        <v>0</v>
      </c>
    </row>
    <row r="3" spans="1:15">
      <c r="G3" s="1"/>
      <c r="H3" s="2"/>
      <c r="L3" t="s">
        <v>11</v>
      </c>
      <c r="M3" s="2">
        <v>0</v>
      </c>
      <c r="N3" s="2">
        <f>SUMIF(Wydatki1[kategoria],Budżet1[[#This Row],[kategoria]],Wydatki1[kwota])</f>
        <v>0</v>
      </c>
      <c r="O3" s="2">
        <f>Budżet1[[#This Row],[budżet]]-Budżet1[[#This Row],[wydatki]]</f>
        <v>0</v>
      </c>
    </row>
    <row r="4" spans="1:15">
      <c r="L4" t="s">
        <v>9</v>
      </c>
      <c r="M4" s="2">
        <v>0</v>
      </c>
      <c r="N4" s="2">
        <f>SUMIF(Wydatki1[kategoria],Budżet1[[#This Row],[kategoria]],Wydatki1[kwota])</f>
        <v>0</v>
      </c>
      <c r="O4" s="2">
        <f>Budżet1[[#This Row],[budżet]]-Budżet1[[#This Row],[wydatki]]</f>
        <v>0</v>
      </c>
    </row>
    <row r="5" spans="1:15">
      <c r="L5" t="s">
        <v>56</v>
      </c>
      <c r="M5" s="2">
        <v>0</v>
      </c>
      <c r="N5" s="2">
        <f>SUMIF(Wydatki1[kategoria],Budżet1[[#This Row],[kategoria]],Wydatki1[kwota])</f>
        <v>0</v>
      </c>
      <c r="O5" s="2">
        <f>Budżet1[[#This Row],[budżet]]-Budżet1[[#This Row],[wydatki]]</f>
        <v>0</v>
      </c>
    </row>
    <row r="6" spans="1:15">
      <c r="L6" t="s">
        <v>41</v>
      </c>
      <c r="M6" s="2">
        <v>0</v>
      </c>
      <c r="N6" s="2">
        <f>SUMIF(Wydatki1[kategoria],Budżet1[[#This Row],[kategoria]],Wydatki1[kwota])</f>
        <v>0</v>
      </c>
      <c r="O6" s="2">
        <f>Budżet1[[#This Row],[budżet]]-Budżet1[[#This Row],[wydatki]]</f>
        <v>0</v>
      </c>
    </row>
    <row r="7" spans="1:15">
      <c r="L7" t="s">
        <v>42</v>
      </c>
      <c r="M7" s="2">
        <v>0</v>
      </c>
      <c r="N7" s="2">
        <f>SUMIF(Wydatki1[kategoria],Budżet1[[#This Row],[kategoria]],Wydatki1[kwota])</f>
        <v>0</v>
      </c>
      <c r="O7" s="2">
        <f>Budżet1[[#This Row],[budżet]]-Budżet1[[#This Row],[wydatki]]</f>
        <v>0</v>
      </c>
    </row>
    <row r="8" spans="1:15">
      <c r="L8" t="s">
        <v>45</v>
      </c>
      <c r="M8" s="2">
        <v>0</v>
      </c>
      <c r="N8" s="2">
        <f>SUMIF(Wydatki1[kategoria],Budżet1[[#This Row],[kategoria]],Wydatki1[kwota])</f>
        <v>0</v>
      </c>
      <c r="O8" s="2">
        <f>Budżet1[[#This Row],[budżet]]-Budżet1[[#This Row],[wydatki]]</f>
        <v>0</v>
      </c>
    </row>
    <row r="9" spans="1:15">
      <c r="L9" t="s">
        <v>13</v>
      </c>
      <c r="M9" s="2">
        <v>0</v>
      </c>
      <c r="N9" s="2">
        <f>SUMIF(Wydatki1[kategoria],Budżet1[[#This Row],[kategoria]],Wydatki1[kwota])</f>
        <v>0</v>
      </c>
      <c r="O9" s="2">
        <f>Budżet1[[#This Row],[budżet]]-Budżet1[[#This Row],[wydatki]]</f>
        <v>0</v>
      </c>
    </row>
    <row r="10" spans="1:15">
      <c r="L10" t="s">
        <v>14</v>
      </c>
      <c r="M10" s="2">
        <v>0</v>
      </c>
      <c r="N10" s="2">
        <f>SUMIF(Wydatki1[kategoria],Budżet1[[#This Row],[kategoria]],Wydatki1[kwota])</f>
        <v>0</v>
      </c>
      <c r="O10" s="2">
        <f>Budżet1[[#This Row],[budżet]]-Budżet1[[#This Row],[wydatki]]</f>
        <v>0</v>
      </c>
    </row>
    <row r="11" spans="1:15">
      <c r="L11" t="s">
        <v>48</v>
      </c>
      <c r="M11" s="2">
        <f>SUM([budżet])</f>
        <v>0</v>
      </c>
      <c r="N11" s="2">
        <f>SUM([wydatki])</f>
        <v>0</v>
      </c>
      <c r="O11" s="2">
        <f>SUM([pozostało])</f>
        <v>0</v>
      </c>
    </row>
    <row r="13" spans="1:15">
      <c r="L13" t="s">
        <v>49</v>
      </c>
      <c r="M13" s="2">
        <f>SUM(Przychody1[kwota])-Budżet1[[#Totals],[budżet]]</f>
        <v>0</v>
      </c>
    </row>
  </sheetData>
  <conditionalFormatting sqref="O2:O10">
    <cfRule type="cellIs" dxfId="190" priority="1" operator="lessThan">
      <formula>0</formula>
    </cfRule>
  </conditionalFormatting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99E5E9"/>
  </sheetPr>
  <dimension ref="A1:Q33"/>
  <sheetViews>
    <sheetView workbookViewId="0">
      <selection activeCell="M8" sqref="M8"/>
    </sheetView>
  </sheetViews>
  <sheetFormatPr defaultRowHeight="14.5"/>
  <cols>
    <col min="1" max="1" width="9.90625" bestFit="1" customWidth="1"/>
    <col min="2" max="2" width="17.36328125" customWidth="1"/>
    <col min="3" max="3" width="10.81640625" customWidth="1"/>
    <col min="4" max="4" width="17.6328125" customWidth="1"/>
    <col min="6" max="6" width="13.81640625" customWidth="1"/>
    <col min="8" max="8" width="14" customWidth="1"/>
    <col min="10" max="10" width="9.54296875" bestFit="1" customWidth="1"/>
    <col min="12" max="12" width="12.08984375" customWidth="1"/>
    <col min="13" max="13" width="12.6328125" customWidth="1"/>
    <col min="14" max="14" width="12.81640625" customWidth="1"/>
    <col min="15" max="15" width="15.08984375" customWidth="1"/>
    <col min="16" max="16" width="16.36328125" customWidth="1"/>
    <col min="17" max="17" width="12.08984375" customWidth="1"/>
  </cols>
  <sheetData>
    <row r="1" spans="1:17">
      <c r="A1" s="8" t="s">
        <v>0</v>
      </c>
      <c r="B1" s="9" t="s">
        <v>2</v>
      </c>
      <c r="C1" s="10" t="s">
        <v>8</v>
      </c>
      <c r="D1" s="10" t="s">
        <v>3</v>
      </c>
      <c r="E1" s="10" t="s">
        <v>12</v>
      </c>
      <c r="G1" t="s">
        <v>0</v>
      </c>
      <c r="H1" s="2" t="s">
        <v>2</v>
      </c>
      <c r="I1" t="s">
        <v>1</v>
      </c>
      <c r="J1" t="s">
        <v>4</v>
      </c>
      <c r="L1" s="16" t="s">
        <v>8</v>
      </c>
      <c r="M1" s="16" t="s">
        <v>38</v>
      </c>
      <c r="N1" t="s">
        <v>39</v>
      </c>
      <c r="O1" t="s">
        <v>40</v>
      </c>
    </row>
    <row r="2" spans="1:17">
      <c r="A2" s="7"/>
      <c r="B2" s="6">
        <v>578.9</v>
      </c>
      <c r="C2" s="7" t="s">
        <v>42</v>
      </c>
      <c r="D2" s="4" t="s">
        <v>54</v>
      </c>
      <c r="E2" s="4" t="b">
        <v>1</v>
      </c>
      <c r="G2" s="1"/>
      <c r="H2" s="2">
        <v>9240</v>
      </c>
      <c r="I2" t="s">
        <v>46</v>
      </c>
      <c r="J2" s="23">
        <v>44927</v>
      </c>
      <c r="L2" t="s">
        <v>44</v>
      </c>
      <c r="M2" s="2">
        <v>1292.56</v>
      </c>
      <c r="N2" s="2">
        <f>SUMIF(Wydatki2[kategoria],Budżet2[[#This Row],[kategoria]],Wydatki2[kwota])</f>
        <v>1292.56</v>
      </c>
      <c r="O2" s="2">
        <f>Budżet2[[#This Row],[budżet]]-Budżet2[[#This Row],[wydatki]]</f>
        <v>0</v>
      </c>
    </row>
    <row r="3" spans="1:17">
      <c r="A3" s="7"/>
      <c r="B3" s="6">
        <v>92.4</v>
      </c>
      <c r="C3" s="7" t="s">
        <v>42</v>
      </c>
      <c r="D3" s="4" t="s">
        <v>55</v>
      </c>
      <c r="E3" s="4" t="b">
        <v>1</v>
      </c>
      <c r="G3" s="1"/>
      <c r="H3" s="2">
        <v>63</v>
      </c>
      <c r="I3" t="s">
        <v>77</v>
      </c>
      <c r="J3" t="s">
        <v>78</v>
      </c>
      <c r="L3" t="s">
        <v>11</v>
      </c>
      <c r="M3" s="2">
        <f>18*2</f>
        <v>36</v>
      </c>
      <c r="N3" s="2">
        <f>SUMIF(Wydatki2[kategoria],Budżet2[[#This Row],[kategoria]],Wydatki2[kwota])</f>
        <v>36</v>
      </c>
      <c r="O3" s="2">
        <f>Budżet2[[#This Row],[budżet]]-Budżet2[[#This Row],[wydatki]]</f>
        <v>0</v>
      </c>
    </row>
    <row r="4" spans="1:17">
      <c r="A4" s="7"/>
      <c r="B4" s="6">
        <v>1024.56</v>
      </c>
      <c r="C4" s="7" t="s">
        <v>44</v>
      </c>
      <c r="D4" s="4" t="s">
        <v>43</v>
      </c>
      <c r="E4" s="4" t="b">
        <f>FALSE()</f>
        <v>0</v>
      </c>
      <c r="H4" s="2">
        <v>41</v>
      </c>
      <c r="I4" t="s">
        <v>79</v>
      </c>
      <c r="J4" t="s">
        <v>78</v>
      </c>
      <c r="L4" t="s">
        <v>9</v>
      </c>
      <c r="M4" s="2">
        <v>2085.06</v>
      </c>
      <c r="N4" s="2">
        <f>SUMIF(Wydatki2[kategoria],Budżet2[[#This Row],[kategoria]],Wydatki2[kwota])</f>
        <v>2085.06</v>
      </c>
      <c r="O4" s="2">
        <f>Budżet2[[#This Row],[budżet]]-Budżet2[[#This Row],[wydatki]]</f>
        <v>0</v>
      </c>
    </row>
    <row r="5" spans="1:17">
      <c r="A5" s="7"/>
      <c r="B5" s="6">
        <v>260</v>
      </c>
      <c r="C5" s="7" t="s">
        <v>44</v>
      </c>
      <c r="D5" s="4" t="s">
        <v>47</v>
      </c>
      <c r="E5" s="4" t="b">
        <f>FALSE()</f>
        <v>0</v>
      </c>
      <c r="L5" t="s">
        <v>56</v>
      </c>
      <c r="M5" s="2">
        <v>1142.73</v>
      </c>
      <c r="N5" s="2">
        <f>SUMIF(Wydatki2[kategoria],Budżet2[[#This Row],[kategoria]],Wydatki2[kwota])</f>
        <v>1142.73</v>
      </c>
      <c r="O5" s="2">
        <f>Budżet2[[#This Row],[budżet]]-Budżet2[[#This Row],[wydatki]]</f>
        <v>0</v>
      </c>
      <c r="P5" s="2"/>
      <c r="Q5" s="2"/>
    </row>
    <row r="6" spans="1:17">
      <c r="A6" s="7"/>
      <c r="B6" s="6">
        <v>296.02</v>
      </c>
      <c r="C6" s="7" t="s">
        <v>41</v>
      </c>
      <c r="D6" s="4" t="s">
        <v>62</v>
      </c>
      <c r="E6" s="4" t="b">
        <v>0</v>
      </c>
      <c r="L6" t="s">
        <v>41</v>
      </c>
      <c r="M6" s="2">
        <v>296.02</v>
      </c>
      <c r="N6" s="2">
        <f>SUMIF(Wydatki2[kategoria],Budżet2[[#This Row],[kategoria]],Wydatki2[kwota])</f>
        <v>296.02</v>
      </c>
      <c r="O6" s="2">
        <f>Budżet2[[#This Row],[budżet]]-Budżet2[[#This Row],[wydatki]]</f>
        <v>0</v>
      </c>
      <c r="P6" s="2"/>
      <c r="Q6" s="2"/>
    </row>
    <row r="7" spans="1:17">
      <c r="A7" s="7"/>
      <c r="B7" s="6">
        <f>2085.06</f>
        <v>2085.06</v>
      </c>
      <c r="C7" s="7" t="s">
        <v>9</v>
      </c>
      <c r="D7" s="4" t="s">
        <v>53</v>
      </c>
      <c r="E7" s="4" t="b">
        <f>FALSE()</f>
        <v>0</v>
      </c>
      <c r="L7" t="s">
        <v>42</v>
      </c>
      <c r="M7" s="2">
        <v>722.89</v>
      </c>
      <c r="N7" s="2">
        <f>SUMIF(Wydatki2[kategoria],Budżet2[[#This Row],[kategoria]],Wydatki2[kwota])</f>
        <v>722.89</v>
      </c>
      <c r="O7" s="2">
        <f>Budżet2[[#This Row],[budżet]]-Budżet2[[#This Row],[wydatki]]</f>
        <v>0</v>
      </c>
      <c r="P7" s="2"/>
      <c r="Q7" s="2"/>
    </row>
    <row r="8" spans="1:17">
      <c r="A8" s="7"/>
      <c r="B8" s="6">
        <v>50</v>
      </c>
      <c r="C8" s="7" t="s">
        <v>13</v>
      </c>
      <c r="D8" s="4" t="s">
        <v>65</v>
      </c>
      <c r="E8" s="4" t="b">
        <f>FALSE()</f>
        <v>0</v>
      </c>
      <c r="L8" t="s">
        <v>45</v>
      </c>
      <c r="M8" s="2">
        <v>93.61</v>
      </c>
      <c r="N8" s="2">
        <f>SUMIF(Wydatki2[kategoria],Budżet2[[#This Row],[kategoria]],Wydatki2[kwota])</f>
        <v>93.61</v>
      </c>
      <c r="O8" s="2">
        <f>Budżet2[[#This Row],[budżet]]-Budżet2[[#This Row],[wydatki]]</f>
        <v>0</v>
      </c>
      <c r="P8" s="2"/>
      <c r="Q8" s="2"/>
    </row>
    <row r="9" spans="1:17">
      <c r="A9" s="7"/>
      <c r="B9" s="6">
        <v>200</v>
      </c>
      <c r="C9" s="7" t="s">
        <v>13</v>
      </c>
      <c r="D9" s="4" t="s">
        <v>51</v>
      </c>
      <c r="E9" s="4" t="b">
        <f>FALSE()</f>
        <v>0</v>
      </c>
      <c r="L9" t="s">
        <v>13</v>
      </c>
      <c r="M9" s="2">
        <v>300</v>
      </c>
      <c r="N9" s="2">
        <f>SUMIF(Wydatki2[kategoria],Budżet2[[#This Row],[kategoria]],Wydatki2[kwota])</f>
        <v>300</v>
      </c>
      <c r="O9" s="2">
        <f>Budżet2[[#This Row],[budżet]]-Budżet2[[#This Row],[wydatki]]</f>
        <v>0</v>
      </c>
      <c r="P9" s="2"/>
      <c r="Q9" s="2"/>
    </row>
    <row r="10" spans="1:17">
      <c r="A10" s="7"/>
      <c r="B10" s="6">
        <v>50</v>
      </c>
      <c r="C10" s="7" t="s">
        <v>13</v>
      </c>
      <c r="D10" s="4" t="s">
        <v>52</v>
      </c>
      <c r="E10" s="4" t="b">
        <f>FALSE()</f>
        <v>0</v>
      </c>
      <c r="L10" t="s">
        <v>14</v>
      </c>
      <c r="M10" s="2">
        <v>210.98</v>
      </c>
      <c r="N10" s="2">
        <f>SUMIF(Wydatki2[kategoria],Budżet2[[#This Row],[kategoria]],Wydatki2[kwota])</f>
        <v>210.98</v>
      </c>
      <c r="O10" s="2">
        <f>Budżet2[[#This Row],[budżet]]-Budżet2[[#This Row],[wydatki]]</f>
        <v>0</v>
      </c>
      <c r="P10" s="2"/>
      <c r="Q10" s="2"/>
    </row>
    <row r="11" spans="1:17">
      <c r="A11" s="7"/>
      <c r="B11" s="6">
        <v>34.61</v>
      </c>
      <c r="C11" s="7" t="s">
        <v>56</v>
      </c>
      <c r="D11" s="4" t="s">
        <v>57</v>
      </c>
      <c r="E11" s="4" t="b">
        <f>FALSE()</f>
        <v>0</v>
      </c>
      <c r="L11" t="s">
        <v>48</v>
      </c>
      <c r="M11" s="2">
        <f>SUM([budżet])</f>
        <v>6179.85</v>
      </c>
      <c r="N11" s="2">
        <f>SUM([wydatki])</f>
        <v>6179.85</v>
      </c>
      <c r="O11" s="2">
        <f>SUM([pozostało])</f>
        <v>0</v>
      </c>
      <c r="P11" s="2"/>
      <c r="Q11" s="2"/>
    </row>
    <row r="12" spans="1:17">
      <c r="A12" s="7"/>
      <c r="B12" s="6">
        <v>127.47</v>
      </c>
      <c r="C12" s="7" t="s">
        <v>56</v>
      </c>
      <c r="D12" s="4" t="s">
        <v>58</v>
      </c>
      <c r="E12" s="4" t="b">
        <f>FALSE()</f>
        <v>0</v>
      </c>
    </row>
    <row r="13" spans="1:17">
      <c r="A13" s="7"/>
      <c r="B13" s="6">
        <v>36</v>
      </c>
      <c r="C13" s="7" t="s">
        <v>11</v>
      </c>
      <c r="D13" s="4" t="s">
        <v>59</v>
      </c>
      <c r="E13" s="4" t="b">
        <f>FALSE()</f>
        <v>0</v>
      </c>
      <c r="L13" t="s">
        <v>49</v>
      </c>
      <c r="M13" s="2">
        <f>SUM(Przychody2[kwota])-Budżet2[[#Totals],[budżet]]</f>
        <v>3164.1499999999996</v>
      </c>
    </row>
    <row r="14" spans="1:17">
      <c r="A14" s="7"/>
      <c r="B14" s="6">
        <v>132.63999999999999</v>
      </c>
      <c r="C14" s="7" t="s">
        <v>56</v>
      </c>
      <c r="D14" s="4" t="s">
        <v>57</v>
      </c>
      <c r="E14" s="4" t="b">
        <f>FALSE()</f>
        <v>0</v>
      </c>
    </row>
    <row r="15" spans="1:17">
      <c r="A15" s="7"/>
      <c r="B15" s="6">
        <v>59.98</v>
      </c>
      <c r="C15" s="7" t="s">
        <v>14</v>
      </c>
      <c r="D15" s="4" t="s">
        <v>60</v>
      </c>
      <c r="E15" s="4" t="b">
        <v>1</v>
      </c>
    </row>
    <row r="16" spans="1:17">
      <c r="A16" s="7"/>
      <c r="B16" s="6">
        <v>8</v>
      </c>
      <c r="C16" s="7" t="s">
        <v>44</v>
      </c>
      <c r="D16" s="4" t="s">
        <v>61</v>
      </c>
      <c r="E16" s="4" t="b">
        <f>FALSE()</f>
        <v>0</v>
      </c>
    </row>
    <row r="17" spans="1:5">
      <c r="A17" s="7"/>
      <c r="B17" s="6">
        <v>32.700000000000003</v>
      </c>
      <c r="C17" s="7" t="s">
        <v>45</v>
      </c>
      <c r="D17" s="4" t="s">
        <v>64</v>
      </c>
      <c r="E17" s="4" t="b">
        <v>1</v>
      </c>
    </row>
    <row r="18" spans="1:5">
      <c r="A18" s="7"/>
      <c r="B18" s="6">
        <v>62.1</v>
      </c>
      <c r="C18" s="7" t="s">
        <v>56</v>
      </c>
      <c r="D18" s="4" t="s">
        <v>57</v>
      </c>
      <c r="E18" s="4" t="b">
        <v>0</v>
      </c>
    </row>
    <row r="19" spans="1:5">
      <c r="A19" s="7"/>
      <c r="B19" s="6">
        <v>51.59</v>
      </c>
      <c r="C19" s="7" t="s">
        <v>42</v>
      </c>
      <c r="D19" s="4" t="s">
        <v>66</v>
      </c>
      <c r="E19" s="4" t="b">
        <v>1</v>
      </c>
    </row>
    <row r="20" spans="1:5">
      <c r="A20" s="7"/>
      <c r="B20" s="6">
        <v>62.1</v>
      </c>
      <c r="C20" s="7" t="s">
        <v>56</v>
      </c>
      <c r="D20" s="4" t="s">
        <v>57</v>
      </c>
      <c r="E20" s="4" t="b">
        <v>0</v>
      </c>
    </row>
    <row r="21" spans="1:5">
      <c r="A21" s="7"/>
      <c r="B21" s="6">
        <v>60.91</v>
      </c>
      <c r="C21" s="7" t="s">
        <v>45</v>
      </c>
      <c r="D21" s="4" t="s">
        <v>67</v>
      </c>
      <c r="E21" s="4" t="b">
        <v>1</v>
      </c>
    </row>
    <row r="22" spans="1:5">
      <c r="A22" s="7"/>
      <c r="B22" s="6">
        <v>48.54</v>
      </c>
      <c r="C22" s="7" t="s">
        <v>56</v>
      </c>
      <c r="D22" s="4" t="s">
        <v>57</v>
      </c>
      <c r="E22" s="4" t="b">
        <v>0</v>
      </c>
    </row>
    <row r="23" spans="1:5">
      <c r="A23" s="7"/>
      <c r="B23" s="6">
        <v>132.4</v>
      </c>
      <c r="C23" s="7" t="s">
        <v>56</v>
      </c>
      <c r="D23" s="4" t="s">
        <v>68</v>
      </c>
      <c r="E23" s="4" t="b">
        <v>0</v>
      </c>
    </row>
    <row r="24" spans="1:5">
      <c r="A24" s="7"/>
      <c r="B24" s="6">
        <v>107.42</v>
      </c>
      <c r="C24" s="7" t="s">
        <v>56</v>
      </c>
      <c r="D24" s="4" t="s">
        <v>57</v>
      </c>
      <c r="E24" s="4" t="b">
        <v>0</v>
      </c>
    </row>
    <row r="25" spans="1:5">
      <c r="A25" s="7"/>
      <c r="B25" s="6">
        <v>5.99</v>
      </c>
      <c r="C25" s="7" t="s">
        <v>56</v>
      </c>
      <c r="D25" s="4" t="s">
        <v>69</v>
      </c>
      <c r="E25" s="4" t="b">
        <v>0</v>
      </c>
    </row>
    <row r="26" spans="1:5">
      <c r="A26" s="7"/>
      <c r="B26" s="6">
        <v>70.95</v>
      </c>
      <c r="C26" s="7" t="s">
        <v>56</v>
      </c>
      <c r="D26" s="4" t="s">
        <v>70</v>
      </c>
      <c r="E26" s="4" t="b">
        <v>0</v>
      </c>
    </row>
    <row r="27" spans="1:5">
      <c r="A27" s="7"/>
      <c r="B27">
        <v>163.29</v>
      </c>
      <c r="C27" s="7" t="s">
        <v>56</v>
      </c>
      <c r="D27" s="4" t="s">
        <v>71</v>
      </c>
      <c r="E27" s="4" t="b">
        <v>0</v>
      </c>
    </row>
    <row r="28" spans="1:5">
      <c r="A28" s="7"/>
      <c r="B28">
        <v>63.24</v>
      </c>
      <c r="C28" t="s">
        <v>56</v>
      </c>
      <c r="D28" t="s">
        <v>57</v>
      </c>
      <c r="E28" t="b">
        <v>0</v>
      </c>
    </row>
    <row r="29" spans="1:5">
      <c r="A29" s="7"/>
      <c r="B29" s="6">
        <v>94.98</v>
      </c>
      <c r="C29" s="7" t="s">
        <v>56</v>
      </c>
      <c r="D29" s="4" t="s">
        <v>73</v>
      </c>
      <c r="E29" s="4" t="b">
        <v>0</v>
      </c>
    </row>
    <row r="30" spans="1:5">
      <c r="A30" s="7"/>
      <c r="B30" s="6">
        <v>151</v>
      </c>
      <c r="C30" s="7" t="s">
        <v>14</v>
      </c>
      <c r="D30" s="4" t="s">
        <v>74</v>
      </c>
      <c r="E30" s="4" t="b">
        <v>1</v>
      </c>
    </row>
    <row r="31" spans="1:5">
      <c r="A31" s="7"/>
      <c r="B31" s="6">
        <v>25</v>
      </c>
      <c r="C31" s="7" t="s">
        <v>56</v>
      </c>
      <c r="D31" s="4" t="s">
        <v>75</v>
      </c>
      <c r="E31" s="4" t="b">
        <v>0</v>
      </c>
    </row>
    <row r="32" spans="1:5">
      <c r="A32" s="7"/>
      <c r="B32" s="6">
        <v>12</v>
      </c>
      <c r="C32" s="7" t="s">
        <v>56</v>
      </c>
      <c r="D32" s="4" t="s">
        <v>76</v>
      </c>
      <c r="E32" s="4" t="b">
        <v>0</v>
      </c>
    </row>
    <row r="33" spans="1:5">
      <c r="A33" s="7"/>
      <c r="B33" s="6"/>
      <c r="C33" s="7"/>
      <c r="D33" s="4"/>
      <c r="E33" s="4"/>
    </row>
  </sheetData>
  <conditionalFormatting sqref="O2:O10">
    <cfRule type="colorScale" priority="1">
      <colorScale>
        <cfvo type="num" val="0"/>
        <cfvo type="percentile" val="50"/>
        <cfvo type="num" val="100"/>
        <color rgb="FFFBCECD"/>
        <color rgb="FFFBFEBA"/>
        <color rgb="FFCFF1CB"/>
      </colorScale>
    </cfRule>
    <cfRule type="cellIs" dxfId="175" priority="3" operator="lessThan">
      <formula>0</formula>
    </cfRule>
  </conditionalFormatting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7CDEC4"/>
  </sheetPr>
  <dimension ref="A1:O40"/>
  <sheetViews>
    <sheetView workbookViewId="0">
      <selection activeCell="N9" sqref="N9"/>
    </sheetView>
  </sheetViews>
  <sheetFormatPr defaultRowHeight="14.5"/>
  <cols>
    <col min="1" max="1" width="12.90625" customWidth="1"/>
    <col min="2" max="2" width="11.81640625" customWidth="1"/>
    <col min="3" max="3" width="13.08984375" customWidth="1"/>
    <col min="4" max="4" width="14.6328125" customWidth="1"/>
    <col min="5" max="5" width="15.81640625" customWidth="1"/>
    <col min="8" max="8" width="12.1796875" customWidth="1"/>
    <col min="12" max="12" width="15.453125" customWidth="1"/>
    <col min="13" max="13" width="13" customWidth="1"/>
    <col min="14" max="15" width="14.1796875" customWidth="1"/>
  </cols>
  <sheetData>
    <row r="1" spans="1:15">
      <c r="A1" s="8" t="s">
        <v>0</v>
      </c>
      <c r="B1" s="9" t="s">
        <v>2</v>
      </c>
      <c r="C1" s="10" t="s">
        <v>8</v>
      </c>
      <c r="D1" s="10" t="s">
        <v>3</v>
      </c>
      <c r="E1" s="10" t="s">
        <v>12</v>
      </c>
      <c r="G1" t="s">
        <v>0</v>
      </c>
      <c r="H1" s="2" t="s">
        <v>2</v>
      </c>
      <c r="I1" t="s">
        <v>1</v>
      </c>
      <c r="J1" t="s">
        <v>4</v>
      </c>
      <c r="L1" s="16" t="s">
        <v>8</v>
      </c>
      <c r="M1" s="16" t="s">
        <v>38</v>
      </c>
      <c r="N1" t="s">
        <v>39</v>
      </c>
      <c r="O1" t="s">
        <v>40</v>
      </c>
    </row>
    <row r="2" spans="1:15">
      <c r="A2" s="7"/>
      <c r="B2" s="6">
        <v>1009</v>
      </c>
      <c r="C2" s="7" t="s">
        <v>44</v>
      </c>
      <c r="D2" s="4" t="s">
        <v>43</v>
      </c>
      <c r="E2" s="4" t="b">
        <f>FALSE()</f>
        <v>0</v>
      </c>
      <c r="G2" s="1"/>
      <c r="H2" s="24">
        <v>7920</v>
      </c>
      <c r="I2" t="s">
        <v>63</v>
      </c>
      <c r="J2" s="23">
        <v>44958</v>
      </c>
      <c r="L2" t="s">
        <v>44</v>
      </c>
      <c r="M2" s="2">
        <v>1300</v>
      </c>
      <c r="N2" s="2">
        <f>SUMIF(Wydatki3[kategoria],Budżet3[[#This Row],[kategoria]],Wydatki3[kwota])</f>
        <v>6047</v>
      </c>
      <c r="O2" s="2">
        <f>Budżet3[[#This Row],[budżet]]-Budżet3[[#This Row],[wydatki]]</f>
        <v>-4747</v>
      </c>
    </row>
    <row r="3" spans="1:15">
      <c r="A3" s="7"/>
      <c r="B3" s="6">
        <v>230</v>
      </c>
      <c r="C3" s="7" t="s">
        <v>44</v>
      </c>
      <c r="D3" s="4" t="s">
        <v>47</v>
      </c>
      <c r="E3" s="4" t="b">
        <f>FALSE()</f>
        <v>0</v>
      </c>
      <c r="G3" s="1"/>
      <c r="H3" s="2">
        <v>16.2</v>
      </c>
      <c r="I3" t="s">
        <v>100</v>
      </c>
      <c r="J3" t="s">
        <v>101</v>
      </c>
      <c r="L3" t="s">
        <v>11</v>
      </c>
      <c r="M3" s="2">
        <f>18*4+78+18</f>
        <v>168</v>
      </c>
      <c r="N3" s="2">
        <f>SUMIF(Wydatki3[kategoria],Budżet3[[#This Row],[kategoria]],Wydatki3[kwota])</f>
        <v>168</v>
      </c>
      <c r="O3" s="2">
        <f>Budżet3[[#This Row],[budżet]]-Budżet3[[#This Row],[wydatki]]</f>
        <v>0</v>
      </c>
    </row>
    <row r="4" spans="1:15">
      <c r="A4" s="7"/>
      <c r="B4" s="6">
        <v>1864.02</v>
      </c>
      <c r="C4" s="7" t="s">
        <v>9</v>
      </c>
      <c r="D4" s="4" t="s">
        <v>53</v>
      </c>
      <c r="E4" s="4" t="b">
        <f>FALSE()</f>
        <v>0</v>
      </c>
      <c r="L4" t="s">
        <v>9</v>
      </c>
      <c r="M4" s="2">
        <v>1939.83</v>
      </c>
      <c r="N4" s="2">
        <f>SUMIF(Wydatki3[kategoria],Budżet3[[#This Row],[kategoria]],Wydatki3[kwota])</f>
        <v>1939.83</v>
      </c>
      <c r="O4" s="2">
        <f>Budżet3[[#This Row],[budżet]]-Budżet3[[#This Row],[wydatki]]</f>
        <v>0</v>
      </c>
    </row>
    <row r="5" spans="1:15">
      <c r="A5" s="7"/>
      <c r="B5" s="6">
        <v>12</v>
      </c>
      <c r="C5" s="7" t="s">
        <v>56</v>
      </c>
      <c r="D5" s="4" t="s">
        <v>97</v>
      </c>
      <c r="E5" s="4" t="b">
        <f>FALSE()</f>
        <v>0</v>
      </c>
      <c r="L5" t="s">
        <v>56</v>
      </c>
      <c r="M5" s="2">
        <v>1419.93</v>
      </c>
      <c r="N5" s="2">
        <f>SUMIF(Wydatki3[kategoria],Budżet3[[#This Row],[kategoria]],Wydatki3[kwota])</f>
        <v>1419.93</v>
      </c>
      <c r="O5" s="2">
        <f>Budżet3[[#This Row],[budżet]]-Budżet3[[#This Row],[wydatki]]</f>
        <v>0</v>
      </c>
    </row>
    <row r="6" spans="1:15">
      <c r="A6" s="7"/>
      <c r="B6" s="6">
        <v>8</v>
      </c>
      <c r="C6" s="7" t="s">
        <v>44</v>
      </c>
      <c r="D6" s="4" t="s">
        <v>61</v>
      </c>
      <c r="E6" s="4" t="b">
        <f>FALSE()</f>
        <v>0</v>
      </c>
      <c r="L6" t="s">
        <v>41</v>
      </c>
      <c r="M6" s="2">
        <v>328.3</v>
      </c>
      <c r="N6" s="2">
        <f>SUMIF(Wydatki3[kategoria],Budżet3[[#This Row],[kategoria]],Wydatki3[kwota])</f>
        <v>328.3</v>
      </c>
      <c r="O6" s="2">
        <f>Budżet3[[#This Row],[budżet]]-Budżet3[[#This Row],[wydatki]]</f>
        <v>0</v>
      </c>
    </row>
    <row r="7" spans="1:15">
      <c r="A7" s="7"/>
      <c r="B7" s="6">
        <f>18*4</f>
        <v>72</v>
      </c>
      <c r="C7" s="7" t="s">
        <v>11</v>
      </c>
      <c r="D7" s="4" t="s">
        <v>59</v>
      </c>
      <c r="E7" s="4" t="b">
        <f>FALSE()</f>
        <v>0</v>
      </c>
      <c r="L7" t="s">
        <v>42</v>
      </c>
      <c r="M7" s="2">
        <v>996.17</v>
      </c>
      <c r="N7" s="2">
        <f>SUMIF(Wydatki3[kategoria],Budżet3[[#This Row],[kategoria]],Wydatki3[kwota])</f>
        <v>996.17000000000007</v>
      </c>
      <c r="O7" s="2">
        <f>Budżet3[[#This Row],[budżet]]-Budżet3[[#This Row],[wydatki]]</f>
        <v>0</v>
      </c>
    </row>
    <row r="8" spans="1:15">
      <c r="A8" s="7"/>
      <c r="B8" s="6">
        <v>374.72</v>
      </c>
      <c r="C8" s="7" t="s">
        <v>42</v>
      </c>
      <c r="D8" s="4" t="s">
        <v>72</v>
      </c>
      <c r="E8" s="4" t="b">
        <f>FALSE()</f>
        <v>0</v>
      </c>
      <c r="L8" t="s">
        <v>45</v>
      </c>
      <c r="M8" s="2">
        <v>165.95</v>
      </c>
      <c r="N8" s="2">
        <f>SUMIF(Wydatki3[kategoria],Budżet3[[#This Row],[kategoria]],Wydatki3[kwota])</f>
        <v>165.95</v>
      </c>
      <c r="O8" s="2">
        <f>Budżet3[[#This Row],[budżet]]-Budżet3[[#This Row],[wydatki]]</f>
        <v>0</v>
      </c>
    </row>
    <row r="9" spans="1:15">
      <c r="A9" s="7"/>
      <c r="B9" s="6">
        <v>100</v>
      </c>
      <c r="C9" s="7" t="s">
        <v>56</v>
      </c>
      <c r="D9" s="4" t="s">
        <v>75</v>
      </c>
      <c r="E9" s="4" t="b">
        <f>FALSE()</f>
        <v>0</v>
      </c>
      <c r="L9" t="s">
        <v>13</v>
      </c>
      <c r="M9" s="2">
        <v>0</v>
      </c>
      <c r="N9" s="2">
        <f>SUMIF(Wydatki3[kategoria],Budżet3[[#This Row],[kategoria]],Wydatki3[kwota])</f>
        <v>0</v>
      </c>
      <c r="O9" s="2">
        <f>Budżet3[[#This Row],[budżet]]-Budżet3[[#This Row],[wydatki]]</f>
        <v>0</v>
      </c>
    </row>
    <row r="10" spans="1:15">
      <c r="A10" s="7"/>
      <c r="B10" s="6">
        <v>0</v>
      </c>
      <c r="C10" s="7" t="s">
        <v>45</v>
      </c>
      <c r="D10" s="4" t="s">
        <v>80</v>
      </c>
      <c r="E10" s="4" t="b">
        <f>FALSE()</f>
        <v>0</v>
      </c>
      <c r="L10" t="s">
        <v>14</v>
      </c>
      <c r="M10" s="2">
        <v>19.989999999999998</v>
      </c>
      <c r="N10" s="2">
        <f>SUMIF(Wydatki3[kategoria],Budżet3[[#This Row],[kategoria]],Wydatki3[kwota])</f>
        <v>19.989999999999998</v>
      </c>
      <c r="O10" s="2">
        <f>Budżet3[[#This Row],[budżet]]-Budżet3[[#This Row],[wydatki]]</f>
        <v>0</v>
      </c>
    </row>
    <row r="11" spans="1:15">
      <c r="A11" s="7"/>
      <c r="B11" s="6">
        <v>75.81</v>
      </c>
      <c r="C11" s="7" t="s">
        <v>9</v>
      </c>
      <c r="D11" s="4" t="s">
        <v>81</v>
      </c>
      <c r="E11" s="4" t="b">
        <f>FALSE()</f>
        <v>0</v>
      </c>
      <c r="L11" t="s">
        <v>48</v>
      </c>
      <c r="M11" s="2">
        <f>SUM([budżet])</f>
        <v>6338.17</v>
      </c>
      <c r="N11" s="2">
        <f>SUM([wydatki])</f>
        <v>11085.17</v>
      </c>
      <c r="O11" s="2">
        <f>SUM([pozostało])</f>
        <v>-4747</v>
      </c>
    </row>
    <row r="12" spans="1:15">
      <c r="A12" s="7"/>
      <c r="B12" s="6">
        <v>19.989999999999998</v>
      </c>
      <c r="C12" s="7" t="s">
        <v>14</v>
      </c>
      <c r="D12" s="4" t="s">
        <v>82</v>
      </c>
      <c r="E12" s="4" t="b">
        <f>TRUE()</f>
        <v>1</v>
      </c>
    </row>
    <row r="13" spans="1:15">
      <c r="A13" s="7"/>
      <c r="B13" s="6">
        <v>98.98</v>
      </c>
      <c r="C13" s="7" t="s">
        <v>41</v>
      </c>
      <c r="D13" s="4" t="s">
        <v>83</v>
      </c>
      <c r="E13" s="4" t="b">
        <f>FALSE()</f>
        <v>0</v>
      </c>
      <c r="L13" t="s">
        <v>49</v>
      </c>
      <c r="M13" s="2">
        <f>SUM(Przychody3[kwota])-Budżet3[[#Totals],[budżet]]</f>
        <v>1598.0299999999997</v>
      </c>
    </row>
    <row r="14" spans="1:15">
      <c r="A14" s="7"/>
      <c r="B14" s="6">
        <v>231.97</v>
      </c>
      <c r="C14" s="7" t="s">
        <v>42</v>
      </c>
      <c r="D14" s="4" t="s">
        <v>6</v>
      </c>
      <c r="E14" s="4" t="b">
        <f>FALSE()</f>
        <v>0</v>
      </c>
    </row>
    <row r="15" spans="1:15">
      <c r="A15" s="7"/>
      <c r="B15" s="6">
        <v>294.79000000000002</v>
      </c>
      <c r="C15" s="7" t="s">
        <v>42</v>
      </c>
      <c r="D15" s="4" t="s">
        <v>84</v>
      </c>
      <c r="E15" s="4" t="b">
        <v>1</v>
      </c>
    </row>
    <row r="16" spans="1:15">
      <c r="A16" s="7"/>
      <c r="B16" s="6">
        <v>109.03</v>
      </c>
      <c r="C16" s="7" t="s">
        <v>56</v>
      </c>
      <c r="D16" s="4" t="s">
        <v>85</v>
      </c>
      <c r="E16" s="4" t="b">
        <f>FALSE()</f>
        <v>0</v>
      </c>
    </row>
    <row r="17" spans="1:5">
      <c r="A17" s="7"/>
      <c r="B17" s="6">
        <v>247.5</v>
      </c>
      <c r="C17" s="7" t="s">
        <v>56</v>
      </c>
      <c r="D17" s="4" t="s">
        <v>86</v>
      </c>
      <c r="E17" s="4" t="b">
        <f>FALSE()</f>
        <v>0</v>
      </c>
    </row>
    <row r="18" spans="1:5">
      <c r="A18" s="7"/>
      <c r="B18" s="6">
        <v>78.36</v>
      </c>
      <c r="C18" s="7" t="s">
        <v>56</v>
      </c>
      <c r="D18" s="4" t="s">
        <v>85</v>
      </c>
      <c r="E18" s="4" t="b">
        <f>FALSE()</f>
        <v>0</v>
      </c>
    </row>
    <row r="19" spans="1:5">
      <c r="A19" s="7"/>
      <c r="B19" s="6">
        <v>7.99</v>
      </c>
      <c r="C19" s="7" t="s">
        <v>56</v>
      </c>
      <c r="D19" s="4" t="s">
        <v>69</v>
      </c>
      <c r="E19" s="4" t="b">
        <f>FALSE()</f>
        <v>0</v>
      </c>
    </row>
    <row r="20" spans="1:5">
      <c r="A20" s="7"/>
      <c r="B20" s="6">
        <v>4800</v>
      </c>
      <c r="C20" s="7" t="s">
        <v>44</v>
      </c>
      <c r="D20" s="4" t="s">
        <v>87</v>
      </c>
      <c r="E20" s="4" t="b">
        <f>FALSE()</f>
        <v>0</v>
      </c>
    </row>
    <row r="21" spans="1:5">
      <c r="A21" s="7"/>
      <c r="B21" s="6">
        <v>89.98</v>
      </c>
      <c r="C21" s="7" t="s">
        <v>56</v>
      </c>
      <c r="D21" s="4" t="s">
        <v>88</v>
      </c>
      <c r="E21" s="4" t="b">
        <f>FALSE()</f>
        <v>0</v>
      </c>
    </row>
    <row r="22" spans="1:5">
      <c r="A22" s="7"/>
      <c r="B22" s="6">
        <v>7.99</v>
      </c>
      <c r="C22" s="7" t="s">
        <v>56</v>
      </c>
      <c r="D22" s="4" t="s">
        <v>69</v>
      </c>
      <c r="E22" s="4" t="b">
        <f>FALSE()</f>
        <v>0</v>
      </c>
    </row>
    <row r="23" spans="1:5">
      <c r="A23" s="7"/>
      <c r="B23" s="6">
        <v>80.680000000000007</v>
      </c>
      <c r="C23" s="7" t="s">
        <v>56</v>
      </c>
      <c r="D23" s="4" t="s">
        <v>89</v>
      </c>
      <c r="E23" s="4" t="b">
        <f>FALSE()</f>
        <v>0</v>
      </c>
    </row>
    <row r="24" spans="1:5">
      <c r="A24" s="7"/>
      <c r="B24" s="6">
        <v>78</v>
      </c>
      <c r="C24" s="7" t="s">
        <v>11</v>
      </c>
      <c r="D24" s="4" t="s">
        <v>90</v>
      </c>
      <c r="E24" s="4" t="b">
        <f>FALSE()</f>
        <v>0</v>
      </c>
    </row>
    <row r="25" spans="1:5">
      <c r="A25" s="7"/>
      <c r="B25" s="6">
        <v>18</v>
      </c>
      <c r="C25" s="7" t="s">
        <v>11</v>
      </c>
      <c r="D25" s="4" t="s">
        <v>91</v>
      </c>
      <c r="E25" s="4" t="b">
        <f>FALSE()</f>
        <v>0</v>
      </c>
    </row>
    <row r="26" spans="1:5">
      <c r="A26" s="7"/>
      <c r="B26" s="6">
        <v>134.37</v>
      </c>
      <c r="C26" s="7" t="s">
        <v>56</v>
      </c>
      <c r="D26" s="4" t="s">
        <v>88</v>
      </c>
      <c r="E26" s="4" t="b">
        <f>FALSE()</f>
        <v>0</v>
      </c>
    </row>
    <row r="27" spans="1:5">
      <c r="A27" s="7"/>
      <c r="B27" s="6">
        <v>94.69</v>
      </c>
      <c r="C27" s="7" t="s">
        <v>42</v>
      </c>
      <c r="D27" s="4" t="s">
        <v>92</v>
      </c>
      <c r="E27" s="4" t="b">
        <v>1</v>
      </c>
    </row>
    <row r="28" spans="1:5">
      <c r="A28" s="7"/>
      <c r="B28" s="6">
        <v>46.5</v>
      </c>
      <c r="C28" s="7" t="s">
        <v>56</v>
      </c>
      <c r="D28" s="4" t="s">
        <v>93</v>
      </c>
      <c r="E28" s="4" t="b">
        <v>1</v>
      </c>
    </row>
    <row r="29" spans="1:5">
      <c r="A29" s="7"/>
      <c r="B29" s="6">
        <v>105</v>
      </c>
      <c r="C29" s="7" t="s">
        <v>56</v>
      </c>
      <c r="D29" s="4" t="s">
        <v>89</v>
      </c>
      <c r="E29" s="4" t="b">
        <f>FALSE()</f>
        <v>0</v>
      </c>
    </row>
    <row r="30" spans="1:5">
      <c r="A30" s="7" t="s">
        <v>94</v>
      </c>
      <c r="B30" s="6">
        <v>4</v>
      </c>
      <c r="C30" s="7" t="s">
        <v>56</v>
      </c>
      <c r="D30" s="4" t="s">
        <v>61</v>
      </c>
      <c r="E30" s="4" t="b">
        <f>FALSE()</f>
        <v>0</v>
      </c>
    </row>
    <row r="31" spans="1:5">
      <c r="A31" s="7" t="s">
        <v>94</v>
      </c>
      <c r="B31" s="6">
        <v>4</v>
      </c>
      <c r="C31" s="7" t="s">
        <v>56</v>
      </c>
      <c r="D31" s="4" t="s">
        <v>61</v>
      </c>
      <c r="E31" s="4" t="b">
        <f>FALSE()</f>
        <v>0</v>
      </c>
    </row>
    <row r="32" spans="1:5">
      <c r="A32" s="7"/>
      <c r="B32" s="6">
        <v>110.42</v>
      </c>
      <c r="C32" s="7" t="s">
        <v>56</v>
      </c>
      <c r="D32" s="4" t="s">
        <v>89</v>
      </c>
      <c r="E32" s="4" t="b">
        <f>FALSE()</f>
        <v>0</v>
      </c>
    </row>
    <row r="33" spans="1:5">
      <c r="A33" s="7"/>
      <c r="B33" s="6">
        <v>2.29</v>
      </c>
      <c r="C33" s="7" t="s">
        <v>56</v>
      </c>
      <c r="D33" s="4" t="s">
        <v>89</v>
      </c>
      <c r="E33" s="4" t="b">
        <f>FALSE()</f>
        <v>0</v>
      </c>
    </row>
    <row r="34" spans="1:5">
      <c r="A34" s="7"/>
      <c r="B34" s="6">
        <v>66.569999999999993</v>
      </c>
      <c r="C34" s="7" t="s">
        <v>56</v>
      </c>
      <c r="D34" s="4" t="s">
        <v>95</v>
      </c>
      <c r="E34" s="4" t="b">
        <f>FALSE()</f>
        <v>0</v>
      </c>
    </row>
    <row r="35" spans="1:5">
      <c r="A35" s="7"/>
      <c r="B35" s="6">
        <v>165.95</v>
      </c>
      <c r="C35" s="7" t="s">
        <v>45</v>
      </c>
      <c r="D35" s="4" t="s">
        <v>96</v>
      </c>
      <c r="E35" s="4" t="b">
        <f>FALSE()</f>
        <v>0</v>
      </c>
    </row>
    <row r="36" spans="1:5">
      <c r="A36" s="7"/>
      <c r="B36" s="6">
        <v>31.48</v>
      </c>
      <c r="C36" s="7" t="s">
        <v>56</v>
      </c>
      <c r="D36" s="4" t="s">
        <v>98</v>
      </c>
      <c r="E36" s="4" t="b">
        <f>FALSE()</f>
        <v>0</v>
      </c>
    </row>
    <row r="37" spans="1:5">
      <c r="A37" s="7"/>
      <c r="B37">
        <v>65.17</v>
      </c>
      <c r="C37" t="s">
        <v>56</v>
      </c>
      <c r="D37" t="s">
        <v>89</v>
      </c>
      <c r="E37" s="4" t="b">
        <f>FALSE()</f>
        <v>0</v>
      </c>
    </row>
    <row r="38" spans="1:5">
      <c r="A38" s="7"/>
      <c r="B38" s="6">
        <v>116.6</v>
      </c>
      <c r="C38" s="7" t="s">
        <v>56</v>
      </c>
      <c r="D38" s="4" t="s">
        <v>89</v>
      </c>
      <c r="E38" s="4" t="b">
        <f>FALSE()</f>
        <v>0</v>
      </c>
    </row>
    <row r="39" spans="1:5">
      <c r="A39" s="7"/>
      <c r="B39" s="6">
        <v>229.32</v>
      </c>
      <c r="C39" s="7" t="s">
        <v>41</v>
      </c>
      <c r="D39" s="4" t="s">
        <v>62</v>
      </c>
      <c r="E39" s="4" t="b">
        <f>FALSE()</f>
        <v>0</v>
      </c>
    </row>
    <row r="40" spans="1:5">
      <c r="A40" s="7"/>
      <c r="B40" s="6"/>
      <c r="C40" s="7"/>
      <c r="D40" s="4"/>
      <c r="E40" s="4"/>
    </row>
  </sheetData>
  <conditionalFormatting sqref="O2:O10">
    <cfRule type="colorScale" priority="1">
      <colorScale>
        <cfvo type="num" val="0"/>
        <cfvo type="percentile" val="50"/>
        <cfvo type="num" val="100"/>
        <color rgb="FFFBCECD"/>
        <color rgb="FFFBFEBA"/>
        <color rgb="FFCFF1CB"/>
      </colorScale>
    </cfRule>
    <cfRule type="cellIs" dxfId="159" priority="2" operator="lessThan">
      <formula>0</formula>
    </cfRule>
  </conditionalFormatting>
  <pageMargins left="0.7" right="0.7" top="0.75" bottom="0.75" header="0.3" footer="0.3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9BD9A4"/>
  </sheetPr>
  <dimension ref="A1:U40"/>
  <sheetViews>
    <sheetView workbookViewId="0">
      <selection activeCell="M6" sqref="M6"/>
    </sheetView>
  </sheetViews>
  <sheetFormatPr defaultRowHeight="14.5"/>
  <cols>
    <col min="1" max="1" width="9.90625" style="34" bestFit="1" customWidth="1"/>
    <col min="2" max="2" width="14.08984375" customWidth="1"/>
    <col min="3" max="3" width="16" customWidth="1"/>
    <col min="4" max="4" width="15.453125" customWidth="1"/>
    <col min="5" max="5" width="14" customWidth="1"/>
    <col min="8" max="8" width="14.08984375" customWidth="1"/>
    <col min="10" max="10" width="9.54296875" bestFit="1" customWidth="1"/>
    <col min="13" max="13" width="14.36328125" customWidth="1"/>
    <col min="14" max="14" width="14.08984375" customWidth="1"/>
    <col min="15" max="15" width="13" customWidth="1"/>
    <col min="16" max="16" width="13.54296875" customWidth="1"/>
    <col min="17" max="17" width="17.81640625" customWidth="1"/>
  </cols>
  <sheetData>
    <row r="1" spans="1:21">
      <c r="A1" s="33" t="s">
        <v>105</v>
      </c>
      <c r="B1" s="9" t="s">
        <v>2</v>
      </c>
      <c r="C1" s="10" t="s">
        <v>8</v>
      </c>
      <c r="D1" s="10" t="s">
        <v>3</v>
      </c>
      <c r="E1" s="10" t="s">
        <v>12</v>
      </c>
      <c r="G1" t="s">
        <v>0</v>
      </c>
      <c r="H1" s="2" t="s">
        <v>2</v>
      </c>
      <c r="I1" t="s">
        <v>1</v>
      </c>
      <c r="J1" t="s">
        <v>4</v>
      </c>
      <c r="L1" s="16" t="s">
        <v>8</v>
      </c>
      <c r="M1" s="16" t="s">
        <v>38</v>
      </c>
      <c r="N1" t="s">
        <v>39</v>
      </c>
      <c r="O1" t="s">
        <v>40</v>
      </c>
      <c r="R1" s="16"/>
      <c r="S1" s="16"/>
    </row>
    <row r="2" spans="1:21">
      <c r="A2" s="28"/>
      <c r="B2" s="6">
        <v>970.21</v>
      </c>
      <c r="C2" s="7" t="s">
        <v>44</v>
      </c>
      <c r="D2" s="4" t="s">
        <v>43</v>
      </c>
      <c r="E2" s="4" t="b">
        <f>FALSE()</f>
        <v>0</v>
      </c>
      <c r="G2" s="1"/>
      <c r="H2" s="29">
        <v>10079.85</v>
      </c>
      <c r="I2" t="s">
        <v>63</v>
      </c>
      <c r="J2" s="23">
        <v>44986</v>
      </c>
      <c r="L2" t="s">
        <v>44</v>
      </c>
      <c r="M2" s="2">
        <v>2607.11</v>
      </c>
      <c r="N2" s="2">
        <f>SUMIF(Wydatki4[kategoria],Budżet4[[#This Row],[kategoria]],Wydatki4[kwota])</f>
        <v>2607.11</v>
      </c>
      <c r="O2" s="2">
        <f>Budżet4[[#This Row],[budżet]]-Budżet4[[#This Row],[wydatki]]</f>
        <v>0</v>
      </c>
      <c r="R2" s="2"/>
      <c r="S2" s="2"/>
      <c r="T2" s="2"/>
      <c r="U2" s="2"/>
    </row>
    <row r="3" spans="1:21">
      <c r="A3" s="28"/>
      <c r="B3" s="6">
        <v>280</v>
      </c>
      <c r="C3" s="7" t="s">
        <v>44</v>
      </c>
      <c r="D3" s="4" t="s">
        <v>47</v>
      </c>
      <c r="E3" s="4" t="b">
        <f>FALSE()</f>
        <v>0</v>
      </c>
      <c r="G3" s="1"/>
      <c r="H3" s="2">
        <v>350</v>
      </c>
      <c r="I3" t="s">
        <v>103</v>
      </c>
      <c r="J3" t="s">
        <v>53</v>
      </c>
      <c r="L3" t="s">
        <v>11</v>
      </c>
      <c r="M3" s="2">
        <f>18*5</f>
        <v>90</v>
      </c>
      <c r="N3" s="2">
        <f>SUMIF(Wydatki4[kategoria],Budżet4[[#This Row],[kategoria]],Wydatki4[kwota])</f>
        <v>90</v>
      </c>
      <c r="O3" s="2">
        <f>Budżet4[[#This Row],[budżet]]-Budżet4[[#This Row],[wydatki]]</f>
        <v>0</v>
      </c>
      <c r="R3" s="2"/>
      <c r="S3" s="2"/>
      <c r="T3" s="2"/>
      <c r="U3" s="2"/>
    </row>
    <row r="4" spans="1:21">
      <c r="A4" s="32"/>
      <c r="B4" s="25">
        <v>969</v>
      </c>
      <c r="C4" s="26" t="s">
        <v>44</v>
      </c>
      <c r="D4" s="27" t="s">
        <v>118</v>
      </c>
      <c r="E4" s="4" t="b">
        <f>FALSE()</f>
        <v>0</v>
      </c>
      <c r="H4" s="2"/>
      <c r="L4" t="s">
        <v>9</v>
      </c>
      <c r="M4" s="2">
        <v>1864</v>
      </c>
      <c r="N4" s="2">
        <f>SUMIF(Wydatki4[kategoria],Budżet4[[#This Row],[kategoria]],Wydatki4[kwota])</f>
        <v>1864</v>
      </c>
      <c r="O4" s="2">
        <f>Budżet4[[#This Row],[budżet]]-Budżet4[[#This Row],[wydatki]]</f>
        <v>0</v>
      </c>
      <c r="R4" s="2"/>
      <c r="S4" s="2"/>
      <c r="T4" s="2"/>
      <c r="U4" s="2"/>
    </row>
    <row r="5" spans="1:21">
      <c r="A5" s="32"/>
      <c r="B5" s="25">
        <v>1864</v>
      </c>
      <c r="C5" s="26" t="s">
        <v>9</v>
      </c>
      <c r="D5" s="27" t="s">
        <v>53</v>
      </c>
      <c r="E5" s="27" t="b">
        <f>FALSE()</f>
        <v>0</v>
      </c>
      <c r="L5" t="s">
        <v>56</v>
      </c>
      <c r="M5" s="2">
        <v>1374.62</v>
      </c>
      <c r="N5" s="2">
        <f>SUMIF(Wydatki4[kategoria],Budżet4[[#This Row],[kategoria]],Wydatki4[kwota])</f>
        <v>1374.6200000000001</v>
      </c>
      <c r="O5" s="2">
        <f>Budżet4[[#This Row],[budżet]]-Budżet4[[#This Row],[wydatki]]</f>
        <v>0</v>
      </c>
      <c r="R5" s="2"/>
      <c r="S5" s="2"/>
      <c r="T5" s="2"/>
      <c r="U5" s="2"/>
    </row>
    <row r="6" spans="1:21">
      <c r="A6" s="32"/>
      <c r="B6" s="25">
        <v>12</v>
      </c>
      <c r="C6" s="26" t="s">
        <v>56</v>
      </c>
      <c r="D6" s="27" t="s">
        <v>97</v>
      </c>
      <c r="E6" s="27" t="b">
        <f>FALSE()</f>
        <v>0</v>
      </c>
      <c r="L6" t="s">
        <v>41</v>
      </c>
      <c r="M6" s="2">
        <v>412.94</v>
      </c>
      <c r="N6" s="2">
        <f>SUMIF(Wydatki4[kategoria],Budżet4[[#This Row],[kategoria]],Wydatki4[kwota])</f>
        <v>412.94</v>
      </c>
      <c r="O6" s="2">
        <f>Budżet4[[#This Row],[budżet]]-Budżet4[[#This Row],[wydatki]]</f>
        <v>0</v>
      </c>
      <c r="R6" s="2"/>
      <c r="S6" s="2"/>
      <c r="T6" s="2"/>
      <c r="U6" s="2"/>
    </row>
    <row r="7" spans="1:21">
      <c r="A7" s="32"/>
      <c r="B7" s="25">
        <v>50</v>
      </c>
      <c r="C7" s="26" t="s">
        <v>13</v>
      </c>
      <c r="D7" s="27" t="s">
        <v>109</v>
      </c>
      <c r="E7" s="27" t="b">
        <f>FALSE()</f>
        <v>0</v>
      </c>
      <c r="L7" t="s">
        <v>42</v>
      </c>
      <c r="M7" s="2">
        <v>879.12</v>
      </c>
      <c r="N7" s="2">
        <f>SUMIF(Wydatki4[kategoria],Budżet4[[#This Row],[kategoria]],Wydatki4[kwota])</f>
        <v>879.12</v>
      </c>
      <c r="O7" s="2">
        <f>Budżet4[[#This Row],[budżet]]-Budżet4[[#This Row],[wydatki]]</f>
        <v>0</v>
      </c>
      <c r="R7" s="2"/>
      <c r="S7" s="2"/>
      <c r="T7" s="2"/>
      <c r="U7" s="2"/>
    </row>
    <row r="8" spans="1:21">
      <c r="A8" s="32">
        <v>5</v>
      </c>
      <c r="B8" s="25">
        <f>18*Wydatki4[[#This Row],[razy]]</f>
        <v>90</v>
      </c>
      <c r="C8" s="26" t="s">
        <v>11</v>
      </c>
      <c r="D8" s="27" t="s">
        <v>59</v>
      </c>
      <c r="E8" s="27" t="b">
        <f>FALSE()</f>
        <v>0</v>
      </c>
      <c r="L8" t="s">
        <v>45</v>
      </c>
      <c r="M8" s="2">
        <v>0</v>
      </c>
      <c r="N8" s="2">
        <f>SUMIF(Wydatki4[kategoria],Budżet4[[#This Row],[kategoria]],Wydatki4[kwota])</f>
        <v>0</v>
      </c>
      <c r="O8" s="2">
        <f>Budżet4[[#This Row],[budżet]]-Budżet4[[#This Row],[wydatki]]</f>
        <v>0</v>
      </c>
      <c r="R8" s="2"/>
      <c r="S8" s="2"/>
      <c r="T8" s="2"/>
      <c r="U8" s="2"/>
    </row>
    <row r="9" spans="1:21">
      <c r="A9" s="32"/>
      <c r="B9" s="25">
        <v>357.96</v>
      </c>
      <c r="C9" s="26" t="s">
        <v>42</v>
      </c>
      <c r="D9" s="27" t="s">
        <v>99</v>
      </c>
      <c r="E9" s="27" t="b">
        <f>FALSE()</f>
        <v>0</v>
      </c>
      <c r="L9" t="s">
        <v>13</v>
      </c>
      <c r="M9" s="2">
        <v>74.989999999999995</v>
      </c>
      <c r="N9" s="2">
        <f>SUMIF(Wydatki4[kategoria],Budżet4[[#This Row],[kategoria]],Wydatki4[kwota])</f>
        <v>74.989999999999995</v>
      </c>
      <c r="O9" s="2">
        <f>Budżet4[[#This Row],[budżet]]-Budżet4[[#This Row],[wydatki]]</f>
        <v>0</v>
      </c>
      <c r="R9" s="2"/>
      <c r="S9" s="2"/>
      <c r="T9" s="2"/>
      <c r="U9" s="2"/>
    </row>
    <row r="10" spans="1:21">
      <c r="A10" s="32"/>
      <c r="B10" s="25">
        <v>104.81</v>
      </c>
      <c r="C10" s="26" t="s">
        <v>56</v>
      </c>
      <c r="D10" s="27" t="s">
        <v>104</v>
      </c>
      <c r="E10" s="27" t="b">
        <v>1</v>
      </c>
      <c r="L10" t="s">
        <v>14</v>
      </c>
      <c r="M10" s="2">
        <v>153.6</v>
      </c>
      <c r="N10" s="2">
        <f>SUMIF(Wydatki4[kategoria],Budżet4[[#This Row],[kategoria]],Wydatki4[kwota])</f>
        <v>153.6</v>
      </c>
      <c r="O10" s="2">
        <f>Budżet4[[#This Row],[budżet]]-Budżet4[[#This Row],[wydatki]]</f>
        <v>0</v>
      </c>
      <c r="R10" s="2"/>
      <c r="S10" s="2"/>
      <c r="T10" s="2"/>
      <c r="U10" s="2"/>
    </row>
    <row r="11" spans="1:21">
      <c r="A11" s="32"/>
      <c r="B11" s="25">
        <v>13.2</v>
      </c>
      <c r="C11" s="26" t="s">
        <v>56</v>
      </c>
      <c r="D11" s="27" t="s">
        <v>98</v>
      </c>
      <c r="E11" s="27" t="b">
        <f>FALSE()</f>
        <v>0</v>
      </c>
      <c r="L11" t="s">
        <v>48</v>
      </c>
      <c r="M11" s="2">
        <f>SUM([budżet])</f>
        <v>7456.38</v>
      </c>
      <c r="N11" s="2">
        <f>SUM([wydatki])</f>
        <v>7456.38</v>
      </c>
      <c r="O11" s="2">
        <f>SUM([pozostało])</f>
        <v>0</v>
      </c>
    </row>
    <row r="12" spans="1:21">
      <c r="A12" s="32"/>
      <c r="B12" s="25">
        <v>100</v>
      </c>
      <c r="C12" s="26" t="s">
        <v>42</v>
      </c>
      <c r="D12" s="27" t="s">
        <v>106</v>
      </c>
      <c r="E12" s="27" t="b">
        <v>1</v>
      </c>
    </row>
    <row r="13" spans="1:21">
      <c r="A13" s="32"/>
      <c r="B13" s="25">
        <v>42</v>
      </c>
      <c r="C13" s="26" t="s">
        <v>56</v>
      </c>
      <c r="D13" s="27" t="s">
        <v>107</v>
      </c>
      <c r="E13" s="27" t="b">
        <v>1</v>
      </c>
      <c r="L13" t="s">
        <v>49</v>
      </c>
      <c r="M13" s="2">
        <f>SUM(Przychody4[kwota])-Budżet4[[#Totals],[budżet]]</f>
        <v>2973.4700000000003</v>
      </c>
    </row>
    <row r="14" spans="1:21">
      <c r="A14" s="32"/>
      <c r="B14" s="25">
        <v>387.9</v>
      </c>
      <c r="C14" s="26" t="s">
        <v>44</v>
      </c>
      <c r="D14" s="27" t="s">
        <v>108</v>
      </c>
      <c r="E14" s="27" t="b">
        <f>FALSE()</f>
        <v>0</v>
      </c>
    </row>
    <row r="15" spans="1:21">
      <c r="A15" s="32"/>
      <c r="B15" s="25">
        <v>39.99</v>
      </c>
      <c r="C15" s="26" t="s">
        <v>41</v>
      </c>
      <c r="D15" s="27" t="s">
        <v>111</v>
      </c>
      <c r="E15" s="27" t="b">
        <f>FALSE()</f>
        <v>0</v>
      </c>
    </row>
    <row r="16" spans="1:21">
      <c r="A16" s="32"/>
      <c r="B16" s="25">
        <v>72.95</v>
      </c>
      <c r="C16" s="26" t="s">
        <v>41</v>
      </c>
      <c r="D16" s="27" t="s">
        <v>112</v>
      </c>
      <c r="E16" s="27" t="b">
        <f>FALSE()</f>
        <v>0</v>
      </c>
    </row>
    <row r="17" spans="1:5">
      <c r="A17" s="32"/>
      <c r="B17" s="25">
        <v>242.43</v>
      </c>
      <c r="C17" s="26" t="s">
        <v>56</v>
      </c>
      <c r="D17" s="27" t="s">
        <v>113</v>
      </c>
      <c r="E17" s="27" t="b">
        <f>FALSE()</f>
        <v>0</v>
      </c>
    </row>
    <row r="18" spans="1:5">
      <c r="A18" s="32"/>
      <c r="B18" s="25">
        <v>19.989999999999998</v>
      </c>
      <c r="C18" s="26" t="s">
        <v>56</v>
      </c>
      <c r="D18" s="27" t="s">
        <v>114</v>
      </c>
      <c r="E18" s="27" t="b">
        <v>1</v>
      </c>
    </row>
    <row r="19" spans="1:5">
      <c r="A19" s="32"/>
      <c r="B19" s="25">
        <v>13</v>
      </c>
      <c r="C19" s="26" t="s">
        <v>56</v>
      </c>
      <c r="D19" s="27" t="s">
        <v>115</v>
      </c>
      <c r="E19" s="27" t="b">
        <v>1</v>
      </c>
    </row>
    <row r="20" spans="1:5">
      <c r="A20" s="32"/>
      <c r="B20" s="25">
        <v>34.869999999999997</v>
      </c>
      <c r="C20" s="26" t="s">
        <v>56</v>
      </c>
      <c r="D20" s="27" t="s">
        <v>95</v>
      </c>
      <c r="E20" s="27" t="b">
        <f>FALSE()</f>
        <v>0</v>
      </c>
    </row>
    <row r="21" spans="1:5">
      <c r="A21" s="32"/>
      <c r="B21" s="25">
        <v>63.89</v>
      </c>
      <c r="C21" s="26" t="s">
        <v>56</v>
      </c>
      <c r="D21" s="27" t="s">
        <v>89</v>
      </c>
      <c r="E21" s="27" t="b">
        <f>FALSE()</f>
        <v>0</v>
      </c>
    </row>
    <row r="22" spans="1:5">
      <c r="A22" s="32"/>
      <c r="B22" s="25">
        <v>300</v>
      </c>
      <c r="C22" s="26" t="s">
        <v>41</v>
      </c>
      <c r="D22" s="27" t="s">
        <v>116</v>
      </c>
      <c r="E22" s="27" t="b">
        <f>FALSE()</f>
        <v>0</v>
      </c>
    </row>
    <row r="23" spans="1:5">
      <c r="A23" s="32"/>
      <c r="B23" s="25">
        <v>58.99</v>
      </c>
      <c r="C23" s="26" t="s">
        <v>56</v>
      </c>
      <c r="D23" s="27" t="s">
        <v>117</v>
      </c>
      <c r="E23" s="27" t="b">
        <v>1</v>
      </c>
    </row>
    <row r="24" spans="1:5">
      <c r="A24" s="32"/>
      <c r="B24" s="25">
        <v>330.2</v>
      </c>
      <c r="C24" s="26" t="s">
        <v>42</v>
      </c>
      <c r="D24" s="27" t="s">
        <v>119</v>
      </c>
      <c r="E24" s="27" t="b">
        <v>1</v>
      </c>
    </row>
    <row r="25" spans="1:5">
      <c r="A25" s="32"/>
      <c r="B25" s="25">
        <v>39.520000000000003</v>
      </c>
      <c r="C25" s="26" t="s">
        <v>56</v>
      </c>
      <c r="D25" s="27" t="s">
        <v>95</v>
      </c>
      <c r="E25" s="27" t="b">
        <f>FALSE()</f>
        <v>0</v>
      </c>
    </row>
    <row r="26" spans="1:5">
      <c r="A26" s="32"/>
      <c r="B26" s="25">
        <v>79.959999999999994</v>
      </c>
      <c r="C26" s="26" t="s">
        <v>56</v>
      </c>
      <c r="D26" s="27" t="s">
        <v>120</v>
      </c>
      <c r="E26" s="27" t="b">
        <f>FALSE()</f>
        <v>0</v>
      </c>
    </row>
    <row r="27" spans="1:5">
      <c r="A27" s="32"/>
      <c r="B27" s="25">
        <v>24.99</v>
      </c>
      <c r="C27" s="26" t="s">
        <v>13</v>
      </c>
      <c r="D27" s="27" t="s">
        <v>121</v>
      </c>
      <c r="E27" s="27" t="b">
        <f>FALSE()</f>
        <v>0</v>
      </c>
    </row>
    <row r="28" spans="1:5">
      <c r="A28" s="32"/>
      <c r="B28" s="25">
        <v>10.48</v>
      </c>
      <c r="C28" s="26" t="s">
        <v>56</v>
      </c>
      <c r="D28" s="27" t="s">
        <v>95</v>
      </c>
      <c r="E28" s="27" t="b">
        <f>FALSE()</f>
        <v>0</v>
      </c>
    </row>
    <row r="29" spans="1:5">
      <c r="A29" s="32"/>
      <c r="B29" s="25">
        <v>63.54</v>
      </c>
      <c r="C29" s="26" t="s">
        <v>56</v>
      </c>
      <c r="D29" s="27" t="s">
        <v>89</v>
      </c>
      <c r="E29" s="27" t="b">
        <f>FALSE()</f>
        <v>0</v>
      </c>
    </row>
    <row r="30" spans="1:5">
      <c r="A30" s="32"/>
      <c r="B30" s="25">
        <v>47.8</v>
      </c>
      <c r="C30" s="26" t="s">
        <v>14</v>
      </c>
      <c r="D30" s="27" t="s">
        <v>122</v>
      </c>
      <c r="E30" s="27" t="b">
        <v>1</v>
      </c>
    </row>
    <row r="31" spans="1:5">
      <c r="A31" s="32"/>
      <c r="B31" s="25">
        <v>46.48</v>
      </c>
      <c r="C31" s="26" t="s">
        <v>56</v>
      </c>
      <c r="D31" s="27" t="s">
        <v>123</v>
      </c>
      <c r="E31" s="27" t="b">
        <f>FALSE()</f>
        <v>0</v>
      </c>
    </row>
    <row r="32" spans="1:5">
      <c r="A32" s="32"/>
      <c r="B32" s="25">
        <v>90.96</v>
      </c>
      <c r="C32" s="26" t="s">
        <v>42</v>
      </c>
      <c r="D32" s="27" t="s">
        <v>124</v>
      </c>
      <c r="E32" s="27" t="b">
        <v>1</v>
      </c>
    </row>
    <row r="33" spans="1:5">
      <c r="A33" s="32"/>
      <c r="B33" s="25">
        <v>194.32</v>
      </c>
      <c r="C33" s="26" t="s">
        <v>56</v>
      </c>
      <c r="D33" s="27" t="s">
        <v>113</v>
      </c>
      <c r="E33" s="27" t="b">
        <f>FALSE()</f>
        <v>0</v>
      </c>
    </row>
    <row r="34" spans="1:5">
      <c r="A34" s="32"/>
      <c r="B34" s="25">
        <v>155</v>
      </c>
      <c r="C34" s="26" t="s">
        <v>56</v>
      </c>
      <c r="D34" s="27" t="s">
        <v>89</v>
      </c>
      <c r="E34" s="27" t="b">
        <f>FALSE()</f>
        <v>0</v>
      </c>
    </row>
    <row r="35" spans="1:5">
      <c r="A35" s="32"/>
      <c r="B35" s="25">
        <v>65</v>
      </c>
      <c r="C35" s="26" t="s">
        <v>14</v>
      </c>
      <c r="D35" s="27" t="s">
        <v>125</v>
      </c>
      <c r="E35" s="27" t="b">
        <v>1</v>
      </c>
    </row>
    <row r="36" spans="1:5">
      <c r="A36" s="32"/>
      <c r="B36" s="25">
        <v>40.799999999999997</v>
      </c>
      <c r="C36" s="26" t="s">
        <v>14</v>
      </c>
      <c r="D36" s="27" t="s">
        <v>126</v>
      </c>
      <c r="E36" s="27" t="b">
        <v>1</v>
      </c>
    </row>
    <row r="37" spans="1:5">
      <c r="A37" s="32"/>
      <c r="B37" s="25">
        <v>11</v>
      </c>
      <c r="C37" s="26" t="s">
        <v>56</v>
      </c>
      <c r="D37" s="27" t="s">
        <v>98</v>
      </c>
      <c r="E37" s="27" t="b">
        <f>FALSE()</f>
        <v>0</v>
      </c>
    </row>
    <row r="38" spans="1:5">
      <c r="A38" s="32"/>
      <c r="B38" s="25">
        <v>56.46</v>
      </c>
      <c r="C38" s="26" t="s">
        <v>56</v>
      </c>
      <c r="D38" s="27" t="s">
        <v>127</v>
      </c>
      <c r="E38" s="27" t="b">
        <f>FALSE()</f>
        <v>0</v>
      </c>
    </row>
    <row r="39" spans="1:5">
      <c r="A39" s="32"/>
      <c r="B39" s="25">
        <v>112.68</v>
      </c>
      <c r="C39" s="26" t="s">
        <v>56</v>
      </c>
      <c r="D39" s="27" t="s">
        <v>89</v>
      </c>
      <c r="E39" s="27" t="b">
        <f>FALSE()</f>
        <v>0</v>
      </c>
    </row>
    <row r="40" spans="1:5">
      <c r="A40" s="32"/>
      <c r="B40" s="25"/>
      <c r="C40" s="26"/>
      <c r="D40" s="27"/>
      <c r="E40" s="27"/>
    </row>
  </sheetData>
  <phoneticPr fontId="4" type="noConversion"/>
  <conditionalFormatting sqref="O2:O10">
    <cfRule type="colorScale" priority="1">
      <colorScale>
        <cfvo type="num" val="0"/>
        <cfvo type="percentile" val="50"/>
        <cfvo type="num" val="100"/>
        <color rgb="FFFBCECD"/>
        <color rgb="FFFBFEBA"/>
        <color rgb="FFCFF1CB"/>
      </colorScale>
    </cfRule>
    <cfRule type="cellIs" dxfId="143" priority="2" operator="lessThan">
      <formula>0</formula>
    </cfRule>
  </conditionalFormatting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B7D985"/>
  </sheetPr>
  <dimension ref="A1:P45"/>
  <sheetViews>
    <sheetView workbookViewId="0">
      <selection activeCell="M1" sqref="M1"/>
    </sheetView>
  </sheetViews>
  <sheetFormatPr defaultRowHeight="14.5"/>
  <cols>
    <col min="2" max="2" width="13" customWidth="1"/>
    <col min="3" max="3" width="9.90625" bestFit="1" customWidth="1"/>
    <col min="9" max="9" width="9.453125" bestFit="1" customWidth="1"/>
    <col min="13" max="13" width="19.08984375" customWidth="1"/>
    <col min="14" max="14" width="14.1796875" customWidth="1"/>
    <col min="15" max="15" width="14.90625" customWidth="1"/>
    <col min="16" max="16" width="14.6328125" customWidth="1"/>
  </cols>
  <sheetData>
    <row r="1" spans="1:16">
      <c r="A1" s="8" t="s">
        <v>105</v>
      </c>
      <c r="B1" s="9" t="s">
        <v>2</v>
      </c>
      <c r="C1" s="10" t="s">
        <v>8</v>
      </c>
      <c r="D1" s="10" t="s">
        <v>3</v>
      </c>
      <c r="E1" s="10" t="s">
        <v>5</v>
      </c>
      <c r="F1" s="10" t="s">
        <v>12</v>
      </c>
      <c r="H1" t="s">
        <v>0</v>
      </c>
      <c r="I1" s="2" t="s">
        <v>2</v>
      </c>
      <c r="J1" t="s">
        <v>1</v>
      </c>
      <c r="K1" t="s">
        <v>4</v>
      </c>
      <c r="M1" s="16" t="s">
        <v>8</v>
      </c>
      <c r="N1" s="16" t="s">
        <v>38</v>
      </c>
      <c r="O1" t="s">
        <v>39</v>
      </c>
      <c r="P1" t="s">
        <v>40</v>
      </c>
    </row>
    <row r="2" spans="1:16">
      <c r="A2" s="28"/>
      <c r="B2" s="6">
        <v>631</v>
      </c>
      <c r="C2" s="7" t="s">
        <v>44</v>
      </c>
      <c r="D2" s="4" t="s">
        <v>165</v>
      </c>
      <c r="E2" s="4" t="b">
        <f>FALSE()</f>
        <v>0</v>
      </c>
      <c r="F2" s="4" t="b">
        <f>FALSE()</f>
        <v>0</v>
      </c>
      <c r="H2" s="1"/>
      <c r="I2" s="2">
        <v>7576.8</v>
      </c>
      <c r="J2" t="s">
        <v>63</v>
      </c>
      <c r="K2" s="23">
        <v>45017</v>
      </c>
      <c r="M2" t="s">
        <v>44</v>
      </c>
      <c r="N2" s="2">
        <v>2205</v>
      </c>
      <c r="O2" s="2">
        <f>SUMIF(Wydatki5[kategoria],Budżet5[[#This Row],[kategoria]],Wydatki5[kwota])</f>
        <v>2205</v>
      </c>
      <c r="P2" s="2">
        <f>Budżet5[[#This Row],[budżet]]-Budżet5[[#This Row],[wydatki]]</f>
        <v>0</v>
      </c>
    </row>
    <row r="3" spans="1:16">
      <c r="A3" s="28"/>
      <c r="B3" s="6">
        <v>230</v>
      </c>
      <c r="C3" s="7" t="s">
        <v>44</v>
      </c>
      <c r="D3" s="4" t="s">
        <v>47</v>
      </c>
      <c r="E3" s="4" t="b">
        <f>FALSE()</f>
        <v>0</v>
      </c>
      <c r="F3" s="4" t="b">
        <f>FALSE()</f>
        <v>0</v>
      </c>
      <c r="H3" s="1"/>
      <c r="I3" s="2">
        <v>300</v>
      </c>
      <c r="J3" t="s">
        <v>110</v>
      </c>
      <c r="M3" t="s">
        <v>11</v>
      </c>
      <c r="N3" s="2">
        <v>111</v>
      </c>
      <c r="O3" s="2">
        <f>SUMIF(Wydatki5[kategoria],Budżet5[[#This Row],[kategoria]],Wydatki5[kwota])</f>
        <v>111</v>
      </c>
      <c r="P3" s="2">
        <f>Budżet5[[#This Row],[budżet]]-Budżet5[[#This Row],[wydatki]]</f>
        <v>0</v>
      </c>
    </row>
    <row r="4" spans="1:16">
      <c r="A4" s="28"/>
      <c r="B4" s="6">
        <v>1864.02</v>
      </c>
      <c r="C4" s="7" t="s">
        <v>9</v>
      </c>
      <c r="D4" s="4" t="s">
        <v>53</v>
      </c>
      <c r="E4" s="4" t="b">
        <f>FALSE()</f>
        <v>0</v>
      </c>
      <c r="F4" s="30" t="b">
        <f>FALSE()</f>
        <v>0</v>
      </c>
      <c r="I4" s="2">
        <v>90</v>
      </c>
      <c r="J4" t="s">
        <v>129</v>
      </c>
      <c r="K4" t="s">
        <v>130</v>
      </c>
      <c r="M4" t="s">
        <v>9</v>
      </c>
      <c r="N4" s="2">
        <v>1864.02</v>
      </c>
      <c r="O4" s="2">
        <f>SUMIF(Wydatki5[kategoria],Budżet5[[#This Row],[kategoria]],Wydatki5[kwota])</f>
        <v>1864.02</v>
      </c>
      <c r="P4" s="2">
        <f>Budżet5[[#This Row],[budżet]]-Budżet5[[#This Row],[wydatki]]</f>
        <v>0</v>
      </c>
    </row>
    <row r="5" spans="1:16">
      <c r="A5" s="28"/>
      <c r="B5" s="6">
        <v>12</v>
      </c>
      <c r="C5" s="7" t="s">
        <v>56</v>
      </c>
      <c r="D5" s="4" t="s">
        <v>97</v>
      </c>
      <c r="E5" s="4" t="b">
        <f>FALSE()</f>
        <v>0</v>
      </c>
      <c r="F5" s="31" t="b">
        <f>FALSE()</f>
        <v>0</v>
      </c>
      <c r="I5" s="2">
        <v>585</v>
      </c>
      <c r="J5" t="s">
        <v>166</v>
      </c>
      <c r="K5" t="s">
        <v>167</v>
      </c>
      <c r="M5" t="s">
        <v>56</v>
      </c>
      <c r="N5" s="2">
        <v>1715.38</v>
      </c>
      <c r="O5" s="2">
        <f>SUMIF(Wydatki5[kategoria],Budżet5[[#This Row],[kategoria]],Wydatki5[kwota])</f>
        <v>1715.3799999999999</v>
      </c>
      <c r="P5" s="2">
        <f>Budżet5[[#This Row],[budżet]]-Budżet5[[#This Row],[wydatki]]</f>
        <v>0</v>
      </c>
    </row>
    <row r="6" spans="1:16">
      <c r="A6" s="28">
        <v>4</v>
      </c>
      <c r="B6" s="6">
        <f>18*Wydatki5[[#This Row],[razy]]</f>
        <v>72</v>
      </c>
      <c r="C6" s="7" t="s">
        <v>11</v>
      </c>
      <c r="D6" s="4" t="s">
        <v>59</v>
      </c>
      <c r="E6" s="4" t="b">
        <f>FALSE()</f>
        <v>0</v>
      </c>
      <c r="F6" s="31" t="b">
        <f>FALSE()</f>
        <v>0</v>
      </c>
      <c r="M6" t="s">
        <v>41</v>
      </c>
      <c r="N6" s="2">
        <v>104.98</v>
      </c>
      <c r="O6" s="2">
        <f>SUMIF(Wydatki5[kategoria],Budżet5[[#This Row],[kategoria]],Wydatki5[kwota])</f>
        <v>104.98</v>
      </c>
      <c r="P6" s="2">
        <f>Budżet5[[#This Row],[budżet]]-Budżet5[[#This Row],[wydatki]]</f>
        <v>0</v>
      </c>
    </row>
    <row r="7" spans="1:16">
      <c r="A7" s="32"/>
      <c r="B7" s="25">
        <v>1344</v>
      </c>
      <c r="C7" s="26" t="s">
        <v>44</v>
      </c>
      <c r="D7" s="27" t="s">
        <v>118</v>
      </c>
      <c r="E7" s="27"/>
      <c r="F7" s="27" t="b">
        <f>FALSE()</f>
        <v>0</v>
      </c>
      <c r="M7" t="s">
        <v>42</v>
      </c>
      <c r="N7" s="2">
        <v>515.77</v>
      </c>
      <c r="O7" s="2">
        <f>SUMIF(Wydatki5[kategoria],Budżet5[[#This Row],[kategoria]],Wydatki5[kwota])</f>
        <v>515.77</v>
      </c>
      <c r="P7" s="2">
        <f>Budżet5[[#This Row],[budżet]]-Budżet5[[#This Row],[wydatki]]</f>
        <v>0</v>
      </c>
    </row>
    <row r="8" spans="1:16">
      <c r="A8" s="32"/>
      <c r="B8" s="25">
        <v>320</v>
      </c>
      <c r="C8" s="26" t="s">
        <v>45</v>
      </c>
      <c r="D8" s="27" t="s">
        <v>80</v>
      </c>
      <c r="E8" s="27"/>
      <c r="F8" s="27" t="b">
        <f>FALSE()</f>
        <v>0</v>
      </c>
      <c r="M8" t="s">
        <v>45</v>
      </c>
      <c r="N8" s="2">
        <v>320</v>
      </c>
      <c r="O8" s="2">
        <f>SUMIF(Wydatki5[kategoria],Budżet5[[#This Row],[kategoria]],Wydatki5[kwota])</f>
        <v>320</v>
      </c>
      <c r="P8" s="2">
        <f>Budżet5[[#This Row],[budżet]]-Budżet5[[#This Row],[wydatki]]</f>
        <v>0</v>
      </c>
    </row>
    <row r="9" spans="1:16">
      <c r="A9" s="32"/>
      <c r="B9">
        <v>278.77999999999997</v>
      </c>
      <c r="C9" t="s">
        <v>42</v>
      </c>
      <c r="D9" t="s">
        <v>159</v>
      </c>
      <c r="E9" t="s">
        <v>160</v>
      </c>
      <c r="F9" t="b">
        <v>1</v>
      </c>
      <c r="M9" t="s">
        <v>13</v>
      </c>
      <c r="N9" s="2">
        <v>10</v>
      </c>
      <c r="O9" s="2">
        <f>SUMIF(Wydatki5[kategoria],Budżet5[[#This Row],[kategoria]],Wydatki5[kwota])</f>
        <v>10</v>
      </c>
      <c r="P9" s="2">
        <f>Budżet5[[#This Row],[budżet]]-Budżet5[[#This Row],[wydatki]]</f>
        <v>0</v>
      </c>
    </row>
    <row r="10" spans="1:16">
      <c r="A10" s="32"/>
      <c r="B10" s="25">
        <v>77</v>
      </c>
      <c r="C10" s="26" t="s">
        <v>56</v>
      </c>
      <c r="D10" s="27" t="s">
        <v>161</v>
      </c>
      <c r="E10" s="27" t="s">
        <v>162</v>
      </c>
      <c r="F10" s="27" t="b">
        <v>0</v>
      </c>
      <c r="M10" t="s">
        <v>14</v>
      </c>
      <c r="N10" s="2">
        <v>459.77</v>
      </c>
      <c r="O10" s="2">
        <f>SUMIF(Wydatki5[kategoria],Budżet5[[#This Row],[kategoria]],Wydatki5[kwota])</f>
        <v>459.77</v>
      </c>
      <c r="P10" s="2">
        <f>Budżet5[[#This Row],[budżet]]-Budżet5[[#This Row],[wydatki]]</f>
        <v>0</v>
      </c>
    </row>
    <row r="11" spans="1:16">
      <c r="A11" s="32"/>
      <c r="B11" s="25">
        <v>75.81</v>
      </c>
      <c r="C11" s="26" t="s">
        <v>163</v>
      </c>
      <c r="D11" s="27" t="s">
        <v>164</v>
      </c>
      <c r="E11" s="27" t="s">
        <v>89</v>
      </c>
      <c r="F11" s="27" t="b">
        <v>0</v>
      </c>
      <c r="M11" t="s">
        <v>48</v>
      </c>
      <c r="N11" s="2">
        <f>SUM([budżet])</f>
        <v>7305.92</v>
      </c>
      <c r="O11" s="2">
        <f>SUM([wydatki])</f>
        <v>7305.92</v>
      </c>
      <c r="P11" s="2">
        <f>SUM([pozostało])</f>
        <v>0</v>
      </c>
    </row>
    <row r="12" spans="1:16">
      <c r="A12" s="32"/>
      <c r="B12" s="25">
        <v>55.95</v>
      </c>
      <c r="C12" s="26" t="s">
        <v>56</v>
      </c>
      <c r="D12" s="27" t="s">
        <v>56</v>
      </c>
      <c r="E12" s="27" t="s">
        <v>95</v>
      </c>
      <c r="F12" s="27" t="b">
        <v>0</v>
      </c>
    </row>
    <row r="13" spans="1:16">
      <c r="A13" s="32"/>
      <c r="B13" s="25">
        <v>114.09</v>
      </c>
      <c r="C13" s="26" t="s">
        <v>56</v>
      </c>
      <c r="D13" s="27" t="s">
        <v>132</v>
      </c>
      <c r="E13" s="27" t="s">
        <v>133</v>
      </c>
      <c r="F13" s="27" t="b">
        <f>FALSE()</f>
        <v>0</v>
      </c>
      <c r="M13" t="s">
        <v>49</v>
      </c>
      <c r="N13" s="2">
        <f>SUM(Przychody5[kwota])-Budżet5[[#Totals],[budżet]]</f>
        <v>1245.8799999999992</v>
      </c>
    </row>
    <row r="14" spans="1:16">
      <c r="A14" s="32"/>
      <c r="B14" s="25">
        <v>368.2</v>
      </c>
      <c r="C14" s="26" t="s">
        <v>56</v>
      </c>
      <c r="D14" s="27" t="s">
        <v>131</v>
      </c>
      <c r="E14" s="27" t="s">
        <v>134</v>
      </c>
      <c r="F14" s="27" t="b">
        <v>1</v>
      </c>
    </row>
    <row r="15" spans="1:16">
      <c r="A15" s="32"/>
      <c r="B15" s="25">
        <v>49.27</v>
      </c>
      <c r="C15" s="26" t="s">
        <v>56</v>
      </c>
      <c r="D15" s="27" t="s">
        <v>10</v>
      </c>
      <c r="E15" s="27" t="s">
        <v>135</v>
      </c>
      <c r="F15" s="27" t="b">
        <f>FALSE()</f>
        <v>0</v>
      </c>
    </row>
    <row r="16" spans="1:16">
      <c r="A16" s="32"/>
      <c r="B16" s="25">
        <v>48.93</v>
      </c>
      <c r="C16" s="26" t="s">
        <v>56</v>
      </c>
      <c r="D16" s="27" t="s">
        <v>10</v>
      </c>
      <c r="E16" s="27" t="s">
        <v>95</v>
      </c>
      <c r="F16" s="27" t="b">
        <f>FALSE()</f>
        <v>0</v>
      </c>
    </row>
    <row r="17" spans="1:6">
      <c r="A17" s="32"/>
      <c r="B17" s="25">
        <v>58.23</v>
      </c>
      <c r="C17" s="26" t="s">
        <v>56</v>
      </c>
      <c r="D17" s="27" t="s">
        <v>56</v>
      </c>
      <c r="E17" s="27" t="s">
        <v>89</v>
      </c>
      <c r="F17" s="27" t="b">
        <f>FALSE()</f>
        <v>0</v>
      </c>
    </row>
    <row r="18" spans="1:6">
      <c r="A18" s="32"/>
      <c r="B18" s="25">
        <v>7</v>
      </c>
      <c r="C18" s="26" t="s">
        <v>14</v>
      </c>
      <c r="D18" s="27" t="s">
        <v>150</v>
      </c>
      <c r="E18" s="27"/>
      <c r="F18" s="27" t="b">
        <v>1</v>
      </c>
    </row>
    <row r="19" spans="1:6">
      <c r="A19" s="32"/>
      <c r="B19" s="25">
        <v>17.53</v>
      </c>
      <c r="C19" s="26" t="s">
        <v>56</v>
      </c>
      <c r="D19" s="27" t="s">
        <v>56</v>
      </c>
      <c r="E19" s="27" t="s">
        <v>136</v>
      </c>
      <c r="F19" s="27" t="b">
        <f>FALSE()</f>
        <v>0</v>
      </c>
    </row>
    <row r="20" spans="1:6">
      <c r="A20" s="32"/>
      <c r="B20" s="25">
        <v>84.93</v>
      </c>
      <c r="C20" s="26" t="s">
        <v>56</v>
      </c>
      <c r="D20" s="27" t="s">
        <v>56</v>
      </c>
      <c r="E20" s="27" t="s">
        <v>89</v>
      </c>
      <c r="F20" s="27" t="b">
        <f>FALSE()</f>
        <v>0</v>
      </c>
    </row>
    <row r="21" spans="1:6">
      <c r="A21" s="32"/>
      <c r="B21" s="25">
        <v>104</v>
      </c>
      <c r="C21" s="26" t="s">
        <v>14</v>
      </c>
      <c r="D21" s="27" t="s">
        <v>10</v>
      </c>
      <c r="E21" s="27" t="s">
        <v>137</v>
      </c>
      <c r="F21" s="27" t="b">
        <v>1</v>
      </c>
    </row>
    <row r="22" spans="1:6">
      <c r="A22" s="32"/>
      <c r="B22" s="25">
        <v>177.99</v>
      </c>
      <c r="C22" s="26" t="s">
        <v>56</v>
      </c>
      <c r="D22" s="27" t="s">
        <v>138</v>
      </c>
      <c r="E22" s="27" t="s">
        <v>139</v>
      </c>
      <c r="F22" s="27" t="b">
        <v>1</v>
      </c>
    </row>
    <row r="23" spans="1:6">
      <c r="A23" s="32"/>
      <c r="B23" s="25">
        <v>19.989999999999998</v>
      </c>
      <c r="C23" s="26" t="s">
        <v>56</v>
      </c>
      <c r="D23" s="27" t="s">
        <v>114</v>
      </c>
      <c r="E23" s="27"/>
      <c r="F23" s="27" t="b">
        <v>1</v>
      </c>
    </row>
    <row r="24" spans="1:6">
      <c r="A24" s="32"/>
      <c r="B24" s="25">
        <v>104.98</v>
      </c>
      <c r="C24" s="26" t="s">
        <v>41</v>
      </c>
      <c r="D24" s="27" t="s">
        <v>83</v>
      </c>
      <c r="E24" s="27" t="s">
        <v>140</v>
      </c>
      <c r="F24" s="27" t="b">
        <f>FALSE()</f>
        <v>0</v>
      </c>
    </row>
    <row r="25" spans="1:6">
      <c r="A25" s="32"/>
      <c r="B25" s="25">
        <v>55.97</v>
      </c>
      <c r="C25" s="26" t="s">
        <v>56</v>
      </c>
      <c r="D25" s="27" t="s">
        <v>56</v>
      </c>
      <c r="E25" s="27" t="s">
        <v>89</v>
      </c>
      <c r="F25" s="27" t="b">
        <f>FALSE()</f>
        <v>0</v>
      </c>
    </row>
    <row r="26" spans="1:6">
      <c r="A26" s="32"/>
      <c r="B26" s="25">
        <v>45.49</v>
      </c>
      <c r="C26" s="26" t="s">
        <v>56</v>
      </c>
      <c r="D26" s="27" t="s">
        <v>56</v>
      </c>
      <c r="E26" s="27" t="s">
        <v>141</v>
      </c>
      <c r="F26" s="27" t="b">
        <f>FALSE()</f>
        <v>0</v>
      </c>
    </row>
    <row r="27" spans="1:6">
      <c r="A27" s="32"/>
      <c r="B27" s="25">
        <v>60.45</v>
      </c>
      <c r="C27" s="26" t="s">
        <v>56</v>
      </c>
      <c r="D27" s="27" t="s">
        <v>56</v>
      </c>
      <c r="E27" s="27" t="s">
        <v>123</v>
      </c>
      <c r="F27" s="27" t="b">
        <f>FALSE()</f>
        <v>0</v>
      </c>
    </row>
    <row r="28" spans="1:6">
      <c r="A28" s="32"/>
      <c r="B28" s="25">
        <v>60.79</v>
      </c>
      <c r="C28" s="26" t="s">
        <v>56</v>
      </c>
      <c r="D28" s="27" t="s">
        <v>127</v>
      </c>
      <c r="E28" s="27" t="s">
        <v>142</v>
      </c>
      <c r="F28" s="27" t="b">
        <f>FALSE()</f>
        <v>0</v>
      </c>
    </row>
    <row r="29" spans="1:6">
      <c r="A29" s="32"/>
      <c r="B29" s="25">
        <v>59.99</v>
      </c>
      <c r="C29" s="26" t="s">
        <v>14</v>
      </c>
      <c r="D29" s="27" t="s">
        <v>143</v>
      </c>
      <c r="E29" s="27" t="s">
        <v>96</v>
      </c>
      <c r="F29" s="27" t="b">
        <v>1</v>
      </c>
    </row>
    <row r="30" spans="1:6">
      <c r="A30" s="32"/>
      <c r="B30" s="25">
        <f>19.5*2</f>
        <v>39</v>
      </c>
      <c r="C30" s="26" t="s">
        <v>11</v>
      </c>
      <c r="D30" s="27" t="s">
        <v>144</v>
      </c>
      <c r="E30" s="27"/>
      <c r="F30" s="27" t="b">
        <v>1</v>
      </c>
    </row>
    <row r="31" spans="1:6">
      <c r="A31" s="32"/>
      <c r="B31" s="25">
        <v>40</v>
      </c>
      <c r="C31" s="26" t="s">
        <v>14</v>
      </c>
      <c r="D31" s="27" t="s">
        <v>145</v>
      </c>
      <c r="E31" s="27" t="s">
        <v>146</v>
      </c>
      <c r="F31" s="27" t="b">
        <v>1</v>
      </c>
    </row>
    <row r="32" spans="1:6">
      <c r="A32" s="32"/>
      <c r="B32" s="25">
        <v>15.76</v>
      </c>
      <c r="C32" s="26" t="s">
        <v>56</v>
      </c>
      <c r="D32" s="27" t="s">
        <v>56</v>
      </c>
      <c r="E32" s="27" t="s">
        <v>95</v>
      </c>
      <c r="F32" s="27" t="b">
        <f>FALSE()</f>
        <v>0</v>
      </c>
    </row>
    <row r="33" spans="1:6">
      <c r="A33" s="32"/>
      <c r="B33" s="25">
        <v>16</v>
      </c>
      <c r="C33" s="27" t="s">
        <v>14</v>
      </c>
      <c r="D33" s="27" t="s">
        <v>94</v>
      </c>
      <c r="E33" s="27" t="s">
        <v>146</v>
      </c>
      <c r="F33" s="27" t="b">
        <v>1</v>
      </c>
    </row>
    <row r="34" spans="1:6">
      <c r="A34" s="32"/>
      <c r="B34" s="25">
        <v>60</v>
      </c>
      <c r="C34" s="26" t="s">
        <v>56</v>
      </c>
      <c r="D34" s="27" t="s">
        <v>147</v>
      </c>
      <c r="E34" s="27" t="s">
        <v>146</v>
      </c>
      <c r="F34" s="27" t="b">
        <v>1</v>
      </c>
    </row>
    <row r="35" spans="1:6">
      <c r="A35" s="32"/>
      <c r="B35" s="25">
        <v>96.75</v>
      </c>
      <c r="C35" s="26" t="s">
        <v>56</v>
      </c>
      <c r="D35" s="27" t="s">
        <v>56</v>
      </c>
      <c r="E35" s="27" t="s">
        <v>148</v>
      </c>
      <c r="F35" s="27" t="b">
        <f>FALSE()</f>
        <v>0</v>
      </c>
    </row>
    <row r="36" spans="1:6">
      <c r="A36" s="32"/>
      <c r="B36" s="25">
        <v>19.5</v>
      </c>
      <c r="C36" s="26" t="s">
        <v>14</v>
      </c>
      <c r="D36" s="27" t="s">
        <v>94</v>
      </c>
      <c r="E36" s="27" t="s">
        <v>149</v>
      </c>
      <c r="F36" s="27" t="b">
        <f>FALSE()</f>
        <v>0</v>
      </c>
    </row>
    <row r="37" spans="1:6">
      <c r="A37" s="32"/>
      <c r="B37" s="25">
        <v>108.67</v>
      </c>
      <c r="C37" s="26" t="s">
        <v>56</v>
      </c>
      <c r="D37" s="27" t="s">
        <v>151</v>
      </c>
      <c r="E37" s="27" t="s">
        <v>152</v>
      </c>
      <c r="F37" s="27" t="b">
        <v>1</v>
      </c>
    </row>
    <row r="38" spans="1:6">
      <c r="A38" s="32"/>
      <c r="B38" s="25">
        <v>80</v>
      </c>
      <c r="C38" s="26" t="s">
        <v>14</v>
      </c>
      <c r="D38" s="27" t="s">
        <v>125</v>
      </c>
      <c r="E38" s="27" t="s">
        <v>153</v>
      </c>
      <c r="F38" s="27" t="b">
        <v>1</v>
      </c>
    </row>
    <row r="39" spans="1:6">
      <c r="A39" s="32"/>
      <c r="B39" s="25">
        <v>56</v>
      </c>
      <c r="C39" s="26" t="s">
        <v>14</v>
      </c>
      <c r="D39" s="27" t="s">
        <v>94</v>
      </c>
      <c r="E39" s="27" t="s">
        <v>154</v>
      </c>
      <c r="F39" s="27" t="b">
        <f>FALSE()</f>
        <v>0</v>
      </c>
    </row>
    <row r="40" spans="1:6">
      <c r="A40" s="32"/>
      <c r="B40" s="25">
        <v>46.58</v>
      </c>
      <c r="C40" s="26" t="s">
        <v>56</v>
      </c>
      <c r="D40" s="27" t="s">
        <v>56</v>
      </c>
      <c r="E40" s="27" t="s">
        <v>85</v>
      </c>
      <c r="F40" s="27" t="b">
        <f>FALSE()</f>
        <v>0</v>
      </c>
    </row>
    <row r="41" spans="1:6">
      <c r="A41" s="32"/>
      <c r="B41" s="25">
        <v>236.99</v>
      </c>
      <c r="C41" s="26" t="s">
        <v>42</v>
      </c>
      <c r="D41" s="27" t="s">
        <v>155</v>
      </c>
      <c r="E41" s="27" t="s">
        <v>156</v>
      </c>
      <c r="F41" s="27" t="b">
        <v>1</v>
      </c>
    </row>
    <row r="42" spans="1:6">
      <c r="A42" s="32"/>
      <c r="B42" s="25">
        <v>5</v>
      </c>
      <c r="C42" s="26" t="s">
        <v>56</v>
      </c>
      <c r="D42" s="27" t="s">
        <v>56</v>
      </c>
      <c r="E42" s="27" t="s">
        <v>157</v>
      </c>
      <c r="F42" s="27" t="b">
        <f>FALSE()</f>
        <v>0</v>
      </c>
    </row>
    <row r="43" spans="1:6">
      <c r="A43" s="32"/>
      <c r="B43" s="25">
        <v>10</v>
      </c>
      <c r="C43" s="26" t="s">
        <v>13</v>
      </c>
      <c r="D43" s="27" t="s">
        <v>158</v>
      </c>
      <c r="E43" s="27"/>
      <c r="F43" s="27" t="b">
        <f>FALSE()</f>
        <v>0</v>
      </c>
    </row>
    <row r="44" spans="1:6">
      <c r="A44" s="32"/>
      <c r="B44" s="25">
        <v>77.28</v>
      </c>
      <c r="C44" s="26" t="s">
        <v>14</v>
      </c>
      <c r="D44" s="27" t="s">
        <v>10</v>
      </c>
      <c r="E44" s="27" t="s">
        <v>137</v>
      </c>
      <c r="F44" s="27" t="b">
        <v>1</v>
      </c>
    </row>
    <row r="45" spans="1:6">
      <c r="A45" s="32"/>
      <c r="B45" s="25"/>
      <c r="C45" s="26"/>
      <c r="D45" s="27"/>
      <c r="E45" s="27"/>
      <c r="F45" s="27" t="b">
        <f>FALSE()</f>
        <v>0</v>
      </c>
    </row>
  </sheetData>
  <conditionalFormatting sqref="P2:P10">
    <cfRule type="colorScale" priority="1">
      <colorScale>
        <cfvo type="num" val="0"/>
        <cfvo type="percentile" val="50"/>
        <cfvo type="num" val="100"/>
        <color rgb="FFFBCECD"/>
        <color rgb="FFFBFEBA"/>
        <color rgb="FFCFF1CB"/>
      </colorScale>
    </cfRule>
    <cfRule type="cellIs" dxfId="128" priority="2" operator="lessThan">
      <formula>0</formula>
    </cfRule>
  </conditionalFormatting>
  <pageMargins left="0.7" right="0.7" top="0.75" bottom="0.75" header="0.3" footer="0.3"/>
  <tableParts count="3">
    <tablePart r:id="rId1"/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FFFF99"/>
  </sheetPr>
  <dimension ref="A1:P43"/>
  <sheetViews>
    <sheetView workbookViewId="0">
      <selection activeCell="N5" sqref="N5"/>
    </sheetView>
  </sheetViews>
  <sheetFormatPr defaultRowHeight="14.5"/>
  <cols>
    <col min="1" max="1" width="9.90625" bestFit="1" customWidth="1"/>
    <col min="2" max="2" width="13.453125" customWidth="1"/>
    <col min="3" max="3" width="13.90625" customWidth="1"/>
    <col min="4" max="4" width="17.54296875" customWidth="1"/>
    <col min="8" max="8" width="9.453125" bestFit="1" customWidth="1"/>
    <col min="9" max="9" width="13.453125" customWidth="1"/>
    <col min="12" max="12" width="12.1796875" customWidth="1"/>
    <col min="13" max="13" width="14.54296875" customWidth="1"/>
    <col min="14" max="14" width="14.453125" customWidth="1"/>
    <col min="15" max="15" width="15.36328125" customWidth="1"/>
  </cols>
  <sheetData>
    <row r="1" spans="1:16">
      <c r="A1" s="8" t="s">
        <v>0</v>
      </c>
      <c r="B1" s="9" t="s">
        <v>2</v>
      </c>
      <c r="C1" s="10" t="s">
        <v>8</v>
      </c>
      <c r="D1" s="10" t="s">
        <v>3</v>
      </c>
      <c r="E1" s="10" t="s">
        <v>12</v>
      </c>
      <c r="G1" t="s">
        <v>0</v>
      </c>
      <c r="H1" s="2" t="s">
        <v>2</v>
      </c>
      <c r="I1" t="s">
        <v>1</v>
      </c>
      <c r="J1" t="s">
        <v>4</v>
      </c>
      <c r="L1" s="16" t="s">
        <v>8</v>
      </c>
      <c r="M1" s="16" t="s">
        <v>38</v>
      </c>
      <c r="N1" t="s">
        <v>39</v>
      </c>
      <c r="O1" t="s">
        <v>40</v>
      </c>
      <c r="P1" t="s">
        <v>194</v>
      </c>
    </row>
    <row r="2" spans="1:16">
      <c r="A2" s="7"/>
      <c r="B2" s="25">
        <v>240</v>
      </c>
      <c r="C2" s="26" t="s">
        <v>45</v>
      </c>
      <c r="D2" s="27" t="s">
        <v>171</v>
      </c>
      <c r="E2" s="27" t="b">
        <v>0</v>
      </c>
      <c r="F2" s="27"/>
      <c r="G2" s="1"/>
      <c r="H2" s="2">
        <v>9673.9500000000007</v>
      </c>
      <c r="I2" t="s">
        <v>46</v>
      </c>
      <c r="J2" s="23">
        <v>45047</v>
      </c>
      <c r="L2" t="s">
        <v>44</v>
      </c>
      <c r="M2" s="2">
        <f>B4+B5+B3+B10</f>
        <v>2258</v>
      </c>
      <c r="N2" s="2">
        <f>SUMIF(Wydatki6[kategoria],Budżet6[[#This Row],[kategoria]],Wydatki6[kwota])</f>
        <v>4377</v>
      </c>
      <c r="O2" s="2">
        <f>Budżet6[[#This Row],[budżet]]-Budżet6[[#This Row],[wydatki]]</f>
        <v>-2119</v>
      </c>
      <c r="P2" s="2" t="s">
        <v>193</v>
      </c>
    </row>
    <row r="3" spans="1:16">
      <c r="A3" s="7"/>
      <c r="B3" s="6">
        <v>230</v>
      </c>
      <c r="C3" s="7" t="s">
        <v>44</v>
      </c>
      <c r="D3" s="4" t="s">
        <v>168</v>
      </c>
      <c r="E3" s="4" t="b">
        <v>0</v>
      </c>
      <c r="G3" s="1"/>
      <c r="H3" s="2">
        <v>300</v>
      </c>
      <c r="I3" t="s">
        <v>110</v>
      </c>
      <c r="J3" t="s">
        <v>176</v>
      </c>
      <c r="L3" t="s">
        <v>11</v>
      </c>
      <c r="M3" s="2">
        <v>229</v>
      </c>
      <c r="N3" s="2">
        <f>SUMIF(Wydatki6[kategoria],Budżet6[[#This Row],[kategoria]],Wydatki6[kwota])</f>
        <v>229</v>
      </c>
      <c r="O3" s="2">
        <f>Budżet6[[#This Row],[budżet]]-Budżet6[[#This Row],[wydatki]]</f>
        <v>0</v>
      </c>
      <c r="P3" s="2"/>
    </row>
    <row r="4" spans="1:16">
      <c r="A4" s="26"/>
      <c r="B4" s="25">
        <v>194</v>
      </c>
      <c r="C4" s="26" t="s">
        <v>169</v>
      </c>
      <c r="D4" s="27" t="s">
        <v>190</v>
      </c>
      <c r="E4" s="27" t="b">
        <f>FALSE()</f>
        <v>0</v>
      </c>
      <c r="H4" s="2">
        <v>40</v>
      </c>
      <c r="I4" t="s">
        <v>198</v>
      </c>
      <c r="J4" t="s">
        <v>199</v>
      </c>
      <c r="L4" t="s">
        <v>9</v>
      </c>
      <c r="M4" s="2">
        <v>2099.33</v>
      </c>
      <c r="N4" s="2">
        <f>SUMIF(Wydatki6[kategoria],Budżet6[[#This Row],[kategoria]],Wydatki6[kwota])</f>
        <v>2099.33</v>
      </c>
      <c r="O4" s="2">
        <f>Budżet6[[#This Row],[budżet]]-Budżet6[[#This Row],[wydatki]]</f>
        <v>0</v>
      </c>
      <c r="P4" s="2"/>
    </row>
    <row r="5" spans="1:16">
      <c r="A5" s="26"/>
      <c r="B5" s="25">
        <v>1809</v>
      </c>
      <c r="C5" s="26" t="s">
        <v>44</v>
      </c>
      <c r="D5" s="27" t="s">
        <v>170</v>
      </c>
      <c r="E5" s="27" t="b">
        <f>FALSE()</f>
        <v>0</v>
      </c>
      <c r="L5" t="s">
        <v>56</v>
      </c>
      <c r="M5" s="2">
        <v>1193.04</v>
      </c>
      <c r="N5" s="2">
        <f>SUMIF(Wydatki6[kategoria],Budżet6[[#This Row],[kategoria]],Wydatki6[kwota])</f>
        <v>1193.04</v>
      </c>
      <c r="O5" s="2">
        <f>Budżet6[[#This Row],[budżet]]-Budżet6[[#This Row],[wydatki]]</f>
        <v>0</v>
      </c>
      <c r="P5" s="2"/>
    </row>
    <row r="6" spans="1:16">
      <c r="A6" s="26"/>
      <c r="B6" s="25">
        <f>2*19.5</f>
        <v>39</v>
      </c>
      <c r="C6" s="26" t="s">
        <v>11</v>
      </c>
      <c r="D6" s="27" t="s">
        <v>173</v>
      </c>
      <c r="E6" s="27" t="b">
        <v>1</v>
      </c>
      <c r="L6" t="s">
        <v>41</v>
      </c>
      <c r="M6" s="2">
        <v>207.98</v>
      </c>
      <c r="N6" s="2">
        <f>SUMIF(Wydatki6[kategoria],Budżet6[[#This Row],[kategoria]],Wydatki6[kwota])</f>
        <v>207.98000000000002</v>
      </c>
      <c r="O6" s="2">
        <f>Budżet6[[#This Row],[budżet]]-Budżet6[[#This Row],[wydatki]]</f>
        <v>0</v>
      </c>
      <c r="P6" s="2"/>
    </row>
    <row r="7" spans="1:16">
      <c r="A7" s="26"/>
      <c r="B7" s="25">
        <v>12</v>
      </c>
      <c r="C7" s="26" t="s">
        <v>56</v>
      </c>
      <c r="D7" s="27" t="s">
        <v>172</v>
      </c>
      <c r="E7" s="27" t="b">
        <f>FALSE()</f>
        <v>0</v>
      </c>
      <c r="L7" t="s">
        <v>42</v>
      </c>
      <c r="M7" s="2">
        <v>778.46</v>
      </c>
      <c r="N7" s="2">
        <f>SUMIF(Wydatki6[kategoria],Budżet6[[#This Row],[kategoria]],Wydatki6[kwota])</f>
        <v>778.46</v>
      </c>
      <c r="O7" s="2">
        <f>Budżet6[[#This Row],[budżet]]-Budżet6[[#This Row],[wydatki]]</f>
        <v>0</v>
      </c>
      <c r="P7" s="2"/>
    </row>
    <row r="8" spans="1:16">
      <c r="A8" s="26"/>
      <c r="B8" s="25">
        <v>19.989999999999998</v>
      </c>
      <c r="C8" s="26" t="s">
        <v>56</v>
      </c>
      <c r="D8" s="27" t="s">
        <v>114</v>
      </c>
      <c r="E8" s="27" t="b">
        <v>1</v>
      </c>
      <c r="L8" t="s">
        <v>45</v>
      </c>
      <c r="M8" s="2">
        <v>240</v>
      </c>
      <c r="N8" s="2">
        <f>SUMIF(Wydatki6[kategoria],Budżet6[[#This Row],[kategoria]],Wydatki6[kwota])</f>
        <v>240</v>
      </c>
      <c r="O8" s="2">
        <f>Budżet6[[#This Row],[budżet]]-Budżet6[[#This Row],[wydatki]]</f>
        <v>0</v>
      </c>
      <c r="P8" s="2"/>
    </row>
    <row r="9" spans="1:16">
      <c r="A9" s="26"/>
      <c r="B9" s="25">
        <f>18*5</f>
        <v>90</v>
      </c>
      <c r="C9" s="26" t="s">
        <v>11</v>
      </c>
      <c r="D9" s="27" t="s">
        <v>174</v>
      </c>
      <c r="E9" s="27" t="b">
        <f>FALSE()</f>
        <v>0</v>
      </c>
      <c r="L9" t="s">
        <v>13</v>
      </c>
      <c r="M9" s="2">
        <v>50</v>
      </c>
      <c r="N9" s="2">
        <f>SUMIF(Wydatki6[kategoria],Budżet6[[#This Row],[kategoria]],Wydatki6[kwota])</f>
        <v>50</v>
      </c>
      <c r="O9" s="2">
        <f>Budżet6[[#This Row],[budżet]]-Budżet6[[#This Row],[wydatki]]</f>
        <v>0</v>
      </c>
      <c r="P9" s="2"/>
    </row>
    <row r="10" spans="1:16">
      <c r="A10" s="26"/>
      <c r="B10" s="25">
        <v>25</v>
      </c>
      <c r="C10" s="26" t="s">
        <v>44</v>
      </c>
      <c r="D10" s="27" t="s">
        <v>189</v>
      </c>
      <c r="E10" s="27" t="b">
        <v>0</v>
      </c>
      <c r="L10" t="s">
        <v>14</v>
      </c>
      <c r="M10" s="2">
        <v>161.88999999999999</v>
      </c>
      <c r="N10" s="2">
        <f>SUMIF(Wydatki6[kategoria],Budżet6[[#This Row],[kategoria]],Wydatki6[kwota])</f>
        <v>161.88999999999999</v>
      </c>
      <c r="O10" s="2">
        <f>Budżet6[[#This Row],[budżet]]-Budżet6[[#This Row],[wydatki]]</f>
        <v>0</v>
      </c>
      <c r="P10" s="2"/>
    </row>
    <row r="11" spans="1:16">
      <c r="A11" s="26"/>
      <c r="B11" s="25">
        <v>50</v>
      </c>
      <c r="C11" s="26" t="s">
        <v>13</v>
      </c>
      <c r="D11" s="27" t="s">
        <v>175</v>
      </c>
      <c r="E11" s="27" t="b">
        <f>FALSE()</f>
        <v>0</v>
      </c>
      <c r="L11" t="s">
        <v>48</v>
      </c>
      <c r="M11" s="2">
        <f>SUM([budżet])</f>
        <v>7217.7</v>
      </c>
      <c r="N11" s="2">
        <f>SUM([wydatki])</f>
        <v>9336.7000000000007</v>
      </c>
      <c r="O11" s="2">
        <f>SUM([pozostało])</f>
        <v>-2119</v>
      </c>
    </row>
    <row r="12" spans="1:16">
      <c r="A12" s="26"/>
      <c r="B12" s="25">
        <v>969</v>
      </c>
      <c r="C12" s="26" t="s">
        <v>44</v>
      </c>
      <c r="D12" s="27" t="s">
        <v>191</v>
      </c>
      <c r="E12" s="27" t="b">
        <f>FALSE()</f>
        <v>0</v>
      </c>
    </row>
    <row r="13" spans="1:16">
      <c r="A13" s="26" t="s">
        <v>128</v>
      </c>
      <c r="B13" s="25">
        <v>100</v>
      </c>
      <c r="C13" s="26" t="s">
        <v>41</v>
      </c>
      <c r="D13" s="27" t="s">
        <v>83</v>
      </c>
      <c r="E13" s="27" t="b">
        <f>FALSE()</f>
        <v>0</v>
      </c>
      <c r="L13" t="s">
        <v>49</v>
      </c>
      <c r="M13" s="2">
        <f>SUM(Przychody6[kwota])-Budżet6[[#Totals],[budżet]]</f>
        <v>2796.2500000000009</v>
      </c>
    </row>
    <row r="14" spans="1:16">
      <c r="A14" s="26"/>
      <c r="B14" s="25">
        <f>1500+128.32+392.54</f>
        <v>2020.86</v>
      </c>
      <c r="C14" s="26" t="s">
        <v>9</v>
      </c>
      <c r="D14" s="27" t="s">
        <v>53</v>
      </c>
      <c r="E14" s="27" t="b">
        <f>FALSE()</f>
        <v>0</v>
      </c>
    </row>
    <row r="15" spans="1:16">
      <c r="A15" s="26"/>
      <c r="B15" s="25">
        <v>6.59</v>
      </c>
      <c r="C15" s="26" t="s">
        <v>56</v>
      </c>
      <c r="D15" s="27" t="s">
        <v>69</v>
      </c>
      <c r="E15" s="27" t="b">
        <f>FALSE()</f>
        <v>0</v>
      </c>
    </row>
    <row r="16" spans="1:16">
      <c r="A16" s="26"/>
      <c r="B16" s="25">
        <v>139.59</v>
      </c>
      <c r="C16" s="26" t="s">
        <v>56</v>
      </c>
      <c r="D16" s="27" t="s">
        <v>85</v>
      </c>
      <c r="E16" s="27" t="b">
        <f>FALSE()</f>
        <v>0</v>
      </c>
    </row>
    <row r="17" spans="1:5">
      <c r="A17" s="26"/>
      <c r="B17" s="25">
        <v>100</v>
      </c>
      <c r="C17" s="26" t="s">
        <v>11</v>
      </c>
      <c r="D17" s="27" t="s">
        <v>177</v>
      </c>
      <c r="E17" s="27" t="b">
        <f>FALSE()</f>
        <v>0</v>
      </c>
    </row>
    <row r="18" spans="1:5">
      <c r="A18" s="26"/>
      <c r="B18" s="25">
        <v>11</v>
      </c>
      <c r="C18" s="26" t="s">
        <v>56</v>
      </c>
      <c r="D18" s="27" t="s">
        <v>178</v>
      </c>
      <c r="E18" s="27" t="b">
        <v>1</v>
      </c>
    </row>
    <row r="19" spans="1:5">
      <c r="A19" s="26"/>
      <c r="B19" s="25">
        <v>13.6</v>
      </c>
      <c r="C19" s="26" t="s">
        <v>56</v>
      </c>
      <c r="D19" s="27" t="s">
        <v>179</v>
      </c>
      <c r="E19" s="27" t="b">
        <f>FALSE()</f>
        <v>0</v>
      </c>
    </row>
    <row r="20" spans="1:5">
      <c r="A20" s="26"/>
      <c r="B20" s="25">
        <v>53.62</v>
      </c>
      <c r="C20" s="26" t="s">
        <v>56</v>
      </c>
      <c r="D20" s="27" t="s">
        <v>95</v>
      </c>
      <c r="E20" s="27" t="b">
        <f>FALSE()</f>
        <v>0</v>
      </c>
    </row>
    <row r="21" spans="1:5">
      <c r="A21" s="26"/>
      <c r="B21" s="25">
        <v>140</v>
      </c>
      <c r="C21" s="26" t="s">
        <v>14</v>
      </c>
      <c r="D21" s="27" t="s">
        <v>180</v>
      </c>
      <c r="E21" s="27" t="b">
        <v>1</v>
      </c>
    </row>
    <row r="22" spans="1:5">
      <c r="A22" s="26"/>
      <c r="B22" s="25">
        <v>8.8800000000000008</v>
      </c>
      <c r="C22" s="26" t="s">
        <v>56</v>
      </c>
      <c r="D22" s="27" t="s">
        <v>98</v>
      </c>
      <c r="E22" s="27" t="b">
        <f>FALSE()</f>
        <v>0</v>
      </c>
    </row>
    <row r="23" spans="1:5">
      <c r="A23" s="26"/>
      <c r="B23" s="25">
        <v>27.98</v>
      </c>
      <c r="C23" s="26" t="s">
        <v>56</v>
      </c>
      <c r="D23" s="27" t="s">
        <v>195</v>
      </c>
      <c r="E23" s="27" t="b">
        <f>FALSE()</f>
        <v>0</v>
      </c>
    </row>
    <row r="24" spans="1:5">
      <c r="A24" s="26"/>
      <c r="B24" s="25">
        <v>39.979999999999997</v>
      </c>
      <c r="C24" s="26" t="s">
        <v>56</v>
      </c>
      <c r="D24" s="27" t="s">
        <v>181</v>
      </c>
      <c r="E24" s="27" t="b">
        <f>FALSE()</f>
        <v>0</v>
      </c>
    </row>
    <row r="25" spans="1:5">
      <c r="A25" s="26"/>
      <c r="B25" s="25">
        <v>199.98</v>
      </c>
      <c r="C25" s="26" t="s">
        <v>182</v>
      </c>
      <c r="D25" s="27" t="s">
        <v>183</v>
      </c>
      <c r="E25" s="27" t="b">
        <f>FALSE()</f>
        <v>0</v>
      </c>
    </row>
    <row r="26" spans="1:5">
      <c r="A26" s="26"/>
      <c r="B26" s="25">
        <v>140.96</v>
      </c>
      <c r="C26" s="26" t="s">
        <v>42</v>
      </c>
      <c r="D26" s="27" t="s">
        <v>113</v>
      </c>
      <c r="E26" s="27" t="b">
        <f>FALSE()</f>
        <v>0</v>
      </c>
    </row>
    <row r="27" spans="1:5">
      <c r="A27" s="26"/>
      <c r="B27" s="25">
        <v>112.34</v>
      </c>
      <c r="C27" s="26" t="s">
        <v>56</v>
      </c>
      <c r="D27" s="27" t="s">
        <v>184</v>
      </c>
      <c r="E27" s="27" t="b">
        <f>FALSE()</f>
        <v>0</v>
      </c>
    </row>
    <row r="28" spans="1:5">
      <c r="A28" s="26"/>
      <c r="B28" s="25">
        <v>21.68</v>
      </c>
      <c r="C28" s="26" t="s">
        <v>56</v>
      </c>
      <c r="D28" s="27" t="s">
        <v>98</v>
      </c>
      <c r="E28" s="27" t="b">
        <f>FALSE()</f>
        <v>0</v>
      </c>
    </row>
    <row r="29" spans="1:5">
      <c r="A29" s="26"/>
      <c r="B29" s="25">
        <v>13.39</v>
      </c>
      <c r="C29" s="26" t="s">
        <v>56</v>
      </c>
      <c r="D29" s="27" t="s">
        <v>98</v>
      </c>
      <c r="E29" s="27" t="b">
        <f>FALSE()</f>
        <v>0</v>
      </c>
    </row>
    <row r="30" spans="1:5">
      <c r="A30" s="26"/>
      <c r="B30" s="25">
        <v>387.5</v>
      </c>
      <c r="C30" s="26" t="s">
        <v>42</v>
      </c>
      <c r="D30" s="27" t="s">
        <v>185</v>
      </c>
      <c r="E30" s="27" t="b">
        <f>FALSE()</f>
        <v>0</v>
      </c>
    </row>
    <row r="31" spans="1:5">
      <c r="A31" s="26"/>
      <c r="B31" s="25">
        <v>111.44</v>
      </c>
      <c r="C31" s="26" t="s">
        <v>56</v>
      </c>
      <c r="D31" s="27" t="s">
        <v>184</v>
      </c>
      <c r="E31" s="27" t="b">
        <f>FALSE()</f>
        <v>0</v>
      </c>
    </row>
    <row r="32" spans="1:5">
      <c r="A32" s="26"/>
      <c r="B32" s="25">
        <v>78.47</v>
      </c>
      <c r="C32" s="26" t="s">
        <v>9</v>
      </c>
      <c r="D32" s="27" t="s">
        <v>186</v>
      </c>
      <c r="E32" s="27" t="b">
        <f>FALSE()</f>
        <v>0</v>
      </c>
    </row>
    <row r="33" spans="1:5">
      <c r="A33" s="26"/>
      <c r="B33" s="25">
        <v>9.58</v>
      </c>
      <c r="C33" s="26" t="s">
        <v>56</v>
      </c>
      <c r="D33" s="27" t="s">
        <v>187</v>
      </c>
      <c r="E33" s="27" t="b">
        <f>FALSE()</f>
        <v>0</v>
      </c>
    </row>
    <row r="34" spans="1:5">
      <c r="A34" s="26"/>
      <c r="B34" s="25">
        <v>136.79</v>
      </c>
      <c r="C34" s="26" t="s">
        <v>56</v>
      </c>
      <c r="D34" s="27" t="s">
        <v>188</v>
      </c>
      <c r="E34" s="27" t="b">
        <v>1</v>
      </c>
    </row>
    <row r="35" spans="1:5">
      <c r="A35" s="26"/>
      <c r="B35" s="25">
        <v>1344</v>
      </c>
      <c r="C35" s="26" t="s">
        <v>44</v>
      </c>
      <c r="D35" s="27" t="s">
        <v>192</v>
      </c>
      <c r="E35" s="27" t="b">
        <f>FALSE()</f>
        <v>0</v>
      </c>
    </row>
    <row r="36" spans="1:5">
      <c r="A36" s="26"/>
      <c r="B36" s="25">
        <v>250</v>
      </c>
      <c r="C36" s="26" t="s">
        <v>42</v>
      </c>
      <c r="D36" s="27" t="s">
        <v>197</v>
      </c>
      <c r="E36" s="27" t="b">
        <f>FALSE()</f>
        <v>0</v>
      </c>
    </row>
    <row r="37" spans="1:5">
      <c r="A37" s="26"/>
      <c r="B37" s="25">
        <v>13</v>
      </c>
      <c r="C37" s="26" t="s">
        <v>56</v>
      </c>
      <c r="D37" s="27" t="s">
        <v>200</v>
      </c>
      <c r="E37" s="27" t="b">
        <v>1</v>
      </c>
    </row>
    <row r="38" spans="1:5">
      <c r="A38" s="26"/>
      <c r="B38" s="25">
        <v>214.36</v>
      </c>
      <c r="C38" s="26" t="s">
        <v>56</v>
      </c>
      <c r="D38" s="27" t="s">
        <v>89</v>
      </c>
      <c r="E38" s="27" t="b">
        <f>FALSE()</f>
        <v>0</v>
      </c>
    </row>
    <row r="39" spans="1:5">
      <c r="A39" s="26"/>
      <c r="B39" s="25">
        <v>8.89</v>
      </c>
      <c r="C39" s="26" t="s">
        <v>14</v>
      </c>
      <c r="D39" s="27" t="s">
        <v>201</v>
      </c>
      <c r="E39" s="27" t="b">
        <v>1</v>
      </c>
    </row>
    <row r="40" spans="1:5">
      <c r="A40" s="26"/>
      <c r="B40" s="25">
        <v>140</v>
      </c>
      <c r="C40" s="26" t="s">
        <v>56</v>
      </c>
      <c r="D40" s="27" t="s">
        <v>202</v>
      </c>
      <c r="E40" s="27" t="b">
        <v>1</v>
      </c>
    </row>
    <row r="41" spans="1:5">
      <c r="A41" s="26"/>
      <c r="B41" s="25">
        <v>107.98</v>
      </c>
      <c r="C41" s="7" t="s">
        <v>41</v>
      </c>
      <c r="D41" s="4" t="s">
        <v>83</v>
      </c>
      <c r="E41" s="27" t="b">
        <f>FALSE()</f>
        <v>0</v>
      </c>
    </row>
    <row r="42" spans="1:5">
      <c r="A42" s="26"/>
      <c r="B42" s="25">
        <v>87.23</v>
      </c>
      <c r="C42" s="7" t="s">
        <v>56</v>
      </c>
      <c r="D42" s="4" t="s">
        <v>89</v>
      </c>
      <c r="E42" s="27" t="b">
        <f>FALSE()</f>
        <v>0</v>
      </c>
    </row>
    <row r="43" spans="1:5">
      <c r="A43" s="26"/>
      <c r="B43" s="25">
        <v>13</v>
      </c>
      <c r="C43" s="7" t="s">
        <v>14</v>
      </c>
      <c r="D43" s="4" t="s">
        <v>201</v>
      </c>
      <c r="E43" s="27" t="b">
        <v>1</v>
      </c>
    </row>
  </sheetData>
  <conditionalFormatting sqref="O2:O10">
    <cfRule type="colorScale" priority="1">
      <colorScale>
        <cfvo type="num" val="0"/>
        <cfvo type="percentile" val="50"/>
        <cfvo type="num" val="100"/>
        <color rgb="FFFBCECD"/>
        <color rgb="FFFBFEBA"/>
        <color rgb="FFCFF1CB"/>
      </colorScale>
    </cfRule>
    <cfRule type="cellIs" dxfId="111" priority="2" operator="lessThan">
      <formula>0</formula>
    </cfRule>
  </conditionalFormatting>
  <pageMargins left="0.7" right="0.7" top="0.75" bottom="0.75" header="0.3" footer="0.3"/>
  <tableParts count="3">
    <tablePart r:id="rId1"/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theme="7" tint="0.39997558519241921"/>
  </sheetPr>
  <dimension ref="A1:O49"/>
  <sheetViews>
    <sheetView workbookViewId="0">
      <selection activeCell="M10" sqref="M10"/>
    </sheetView>
  </sheetViews>
  <sheetFormatPr defaultRowHeight="14.5"/>
  <cols>
    <col min="2" max="2" width="18.81640625" customWidth="1"/>
    <col min="3" max="3" width="12.90625" customWidth="1"/>
    <col min="4" max="4" width="16.1796875" customWidth="1"/>
    <col min="7" max="7" width="12.6328125" customWidth="1"/>
    <col min="8" max="8" width="12.81640625" customWidth="1"/>
    <col min="9" max="9" width="14.453125" customWidth="1"/>
    <col min="10" max="10" width="15.36328125" customWidth="1"/>
    <col min="12" max="12" width="13.6328125" customWidth="1"/>
    <col min="13" max="13" width="12.08984375" customWidth="1"/>
    <col min="14" max="14" width="12" customWidth="1"/>
    <col min="15" max="15" width="16.08984375" customWidth="1"/>
  </cols>
  <sheetData>
    <row r="1" spans="1:15">
      <c r="A1" s="8" t="s">
        <v>0</v>
      </c>
      <c r="B1" s="9" t="s">
        <v>2</v>
      </c>
      <c r="C1" s="10" t="s">
        <v>8</v>
      </c>
      <c r="D1" s="10" t="s">
        <v>3</v>
      </c>
      <c r="E1" s="10" t="s">
        <v>12</v>
      </c>
      <c r="G1" t="s">
        <v>0</v>
      </c>
      <c r="H1" s="2" t="s">
        <v>2</v>
      </c>
      <c r="I1" t="s">
        <v>1</v>
      </c>
      <c r="J1" t="s">
        <v>4</v>
      </c>
      <c r="L1" s="16" t="s">
        <v>8</v>
      </c>
      <c r="M1" s="16" t="s">
        <v>38</v>
      </c>
      <c r="N1" t="s">
        <v>39</v>
      </c>
      <c r="O1" t="s">
        <v>40</v>
      </c>
    </row>
    <row r="2" spans="1:15">
      <c r="A2" s="7"/>
      <c r="B2" s="25">
        <f>1500+128.32+392.54</f>
        <v>2020.86</v>
      </c>
      <c r="C2" s="26" t="s">
        <v>9</v>
      </c>
      <c r="D2" s="27" t="s">
        <v>53</v>
      </c>
      <c r="E2" s="35" t="b">
        <f>FALSE()</f>
        <v>0</v>
      </c>
      <c r="G2" s="1"/>
      <c r="H2" s="2">
        <v>9132.75</v>
      </c>
      <c r="I2" t="s">
        <v>205</v>
      </c>
      <c r="J2" s="23">
        <v>45078</v>
      </c>
      <c r="L2" t="s">
        <v>44</v>
      </c>
      <c r="M2" s="2">
        <f>B3+B4+B5</f>
        <v>2827</v>
      </c>
      <c r="N2" s="2">
        <f>SUMIF(Wydatki7[kategoria],Budżet71[[#This Row],[kategoria]],Wydatki7[kwota])</f>
        <v>2827</v>
      </c>
      <c r="O2" s="2">
        <f>Budżet71[[#This Row],[budżet]]-Budżet71[[#This Row],[wydatki]]</f>
        <v>0</v>
      </c>
    </row>
    <row r="3" spans="1:15">
      <c r="A3" s="7"/>
      <c r="B3" s="6">
        <v>260</v>
      </c>
      <c r="C3" s="7" t="s">
        <v>44</v>
      </c>
      <c r="D3" s="4" t="s">
        <v>168</v>
      </c>
      <c r="E3" s="4" t="b">
        <v>0</v>
      </c>
      <c r="G3" s="1"/>
      <c r="H3" s="2">
        <v>16.2</v>
      </c>
      <c r="I3" t="s">
        <v>222</v>
      </c>
      <c r="J3" t="s">
        <v>223</v>
      </c>
      <c r="L3" t="s">
        <v>11</v>
      </c>
      <c r="M3" s="2">
        <v>205.5</v>
      </c>
      <c r="N3" s="2">
        <f>SUMIF(Wydatki7[kategoria],Budżet71[[#This Row],[kategoria]],Wydatki7[kwota])</f>
        <v>205.5</v>
      </c>
      <c r="O3" s="2">
        <f>Budżet71[[#This Row],[budżet]]-Budżet71[[#This Row],[wydatki]]</f>
        <v>0</v>
      </c>
    </row>
    <row r="4" spans="1:15">
      <c r="A4" s="26"/>
      <c r="B4" s="25">
        <v>859</v>
      </c>
      <c r="C4" s="37" t="s">
        <v>44</v>
      </c>
      <c r="D4" s="38" t="s">
        <v>217</v>
      </c>
      <c r="E4" s="27" t="b">
        <f>FALSE()</f>
        <v>0</v>
      </c>
      <c r="L4" t="s">
        <v>9</v>
      </c>
      <c r="M4" s="2">
        <v>2020.86</v>
      </c>
      <c r="N4" s="2">
        <f>SUMIF(Wydatki7[kategoria],Budżet71[[#This Row],[kategoria]],Wydatki7[kwota])</f>
        <v>2020.86</v>
      </c>
      <c r="O4" s="2">
        <f>Budżet71[[#This Row],[budżet]]-Budżet71[[#This Row],[wydatki]]</f>
        <v>0</v>
      </c>
    </row>
    <row r="5" spans="1:15">
      <c r="A5" s="26"/>
      <c r="B5" s="25">
        <v>1708</v>
      </c>
      <c r="C5" s="26" t="s">
        <v>44</v>
      </c>
      <c r="D5" s="38" t="s">
        <v>218</v>
      </c>
      <c r="E5" s="35" t="b">
        <f>FALSE()</f>
        <v>0</v>
      </c>
      <c r="L5" t="s">
        <v>56</v>
      </c>
      <c r="M5" s="2">
        <v>1353.34</v>
      </c>
      <c r="N5" s="2">
        <f>SUMIF(Wydatki7[kategoria],Budżet71[[#This Row],[kategoria]],Wydatki7[kwota])</f>
        <v>1353.3400000000001</v>
      </c>
      <c r="O5" s="2">
        <f>Budżet71[[#This Row],[budżet]]-Budżet71[[#This Row],[wydatki]]</f>
        <v>0</v>
      </c>
    </row>
    <row r="6" spans="1:15">
      <c r="A6" s="26"/>
      <c r="B6" s="25">
        <v>0</v>
      </c>
      <c r="C6" s="26" t="s">
        <v>9</v>
      </c>
      <c r="D6" s="27" t="s">
        <v>186</v>
      </c>
      <c r="E6" s="35" t="b">
        <v>0</v>
      </c>
      <c r="L6" t="s">
        <v>41</v>
      </c>
      <c r="M6" s="2">
        <v>143.79</v>
      </c>
      <c r="N6" s="2">
        <f>SUMIF(Wydatki7[kategoria],Budżet71[[#This Row],[kategoria]],Wydatki7[kwota])</f>
        <v>143.79000000000002</v>
      </c>
      <c r="O6" s="2">
        <f>Budżet71[[#This Row],[budżet]]-Budżet71[[#This Row],[wydatki]]</f>
        <v>0</v>
      </c>
    </row>
    <row r="7" spans="1:15">
      <c r="A7" s="26"/>
      <c r="B7" s="25">
        <v>12</v>
      </c>
      <c r="C7" s="26" t="s">
        <v>56</v>
      </c>
      <c r="D7" s="27" t="s">
        <v>172</v>
      </c>
      <c r="E7" s="35" t="b">
        <f>FALSE()</f>
        <v>0</v>
      </c>
      <c r="L7" t="s">
        <v>42</v>
      </c>
      <c r="M7" s="2">
        <v>390.76</v>
      </c>
      <c r="N7" s="2">
        <f>SUMIF(Wydatki7[kategoria],Budżet71[[#This Row],[kategoria]],Wydatki7[kwota])</f>
        <v>390.76</v>
      </c>
      <c r="O7" s="2">
        <f>Budżet71[[#This Row],[budżet]]-Budżet71[[#This Row],[wydatki]]</f>
        <v>0</v>
      </c>
    </row>
    <row r="8" spans="1:15">
      <c r="A8" s="26"/>
      <c r="B8" s="25">
        <v>19.989999999999998</v>
      </c>
      <c r="C8" s="26" t="s">
        <v>56</v>
      </c>
      <c r="D8" s="27" t="s">
        <v>114</v>
      </c>
      <c r="E8" s="35" t="b">
        <f>FALSE()</f>
        <v>0</v>
      </c>
      <c r="L8" t="s">
        <v>45</v>
      </c>
      <c r="M8" s="2">
        <v>260</v>
      </c>
      <c r="N8" s="2">
        <f>SUMIF(Wydatki7[kategoria],Budżet71[[#This Row],[kategoria]],Wydatki7[kwota])</f>
        <v>260</v>
      </c>
      <c r="O8" s="2">
        <f>Budżet71[[#This Row],[budżet]]-Budżet71[[#This Row],[wydatki]]</f>
        <v>0</v>
      </c>
    </row>
    <row r="9" spans="1:15">
      <c r="A9" s="26"/>
      <c r="B9" s="25">
        <f>18*6</f>
        <v>108</v>
      </c>
      <c r="C9" s="26" t="s">
        <v>11</v>
      </c>
      <c r="D9" s="27" t="s">
        <v>174</v>
      </c>
      <c r="E9" s="35" t="b">
        <f>FALSE()</f>
        <v>0</v>
      </c>
      <c r="L9" t="s">
        <v>13</v>
      </c>
      <c r="M9" s="2">
        <v>52</v>
      </c>
      <c r="N9" s="2">
        <f>SUMIF(Wydatki7[kategoria],Budżet71[[#This Row],[kategoria]],Wydatki7[kwota])</f>
        <v>52</v>
      </c>
      <c r="O9" s="2">
        <f>Budżet71[[#This Row],[budżet]]-Budżet71[[#This Row],[wydatki]]</f>
        <v>0</v>
      </c>
    </row>
    <row r="10" spans="1:15">
      <c r="A10" s="26"/>
      <c r="B10" s="25"/>
      <c r="C10" s="26"/>
      <c r="D10" s="27"/>
      <c r="E10" s="35"/>
      <c r="L10" t="s">
        <v>14</v>
      </c>
      <c r="M10" s="2">
        <v>1971.87</v>
      </c>
      <c r="N10" s="2">
        <f>SUMIF(Wydatki7[kategoria],Budżet71[[#This Row],[kategoria]],Wydatki7[kwota])</f>
        <v>1971.8700000000001</v>
      </c>
      <c r="O10" s="2">
        <f>Budżet71[[#This Row],[budżet]]-Budżet71[[#This Row],[wydatki]]</f>
        <v>0</v>
      </c>
    </row>
    <row r="11" spans="1:15">
      <c r="A11" s="26"/>
      <c r="B11" s="25"/>
      <c r="C11" s="26"/>
      <c r="D11" s="27"/>
      <c r="E11" s="35"/>
      <c r="L11" t="s">
        <v>48</v>
      </c>
      <c r="M11" s="2">
        <f>SUM([budżet])</f>
        <v>9225.119999999999</v>
      </c>
      <c r="N11" s="2">
        <f>SUM([wydatki])</f>
        <v>9225.1200000000008</v>
      </c>
      <c r="O11" s="2">
        <f>SUM([pozostało])</f>
        <v>0</v>
      </c>
    </row>
    <row r="12" spans="1:15">
      <c r="A12" s="26"/>
      <c r="B12" s="25">
        <v>0</v>
      </c>
      <c r="C12" s="26" t="s">
        <v>44</v>
      </c>
      <c r="D12" s="26" t="s">
        <v>203</v>
      </c>
      <c r="E12" s="35" t="b">
        <v>0</v>
      </c>
    </row>
    <row r="13" spans="1:15">
      <c r="A13" s="36"/>
      <c r="B13" s="25">
        <v>260</v>
      </c>
      <c r="C13" s="36" t="s">
        <v>45</v>
      </c>
      <c r="D13" s="30" t="s">
        <v>204</v>
      </c>
      <c r="E13" s="27" t="b">
        <v>0</v>
      </c>
      <c r="L13" t="s">
        <v>49</v>
      </c>
      <c r="M13" s="2">
        <f>SUM(Przychody7[kwota])-Budżet71[[#Totals],[budżet]]</f>
        <v>-76.169999999998254</v>
      </c>
    </row>
    <row r="14" spans="1:15">
      <c r="A14" s="26"/>
      <c r="B14" s="25">
        <v>145</v>
      </c>
      <c r="C14" s="7" t="s">
        <v>42</v>
      </c>
      <c r="D14" s="4" t="s">
        <v>206</v>
      </c>
      <c r="E14" s="27" t="b">
        <v>0</v>
      </c>
    </row>
    <row r="15" spans="1:15">
      <c r="A15" s="26"/>
      <c r="B15" s="25">
        <f>288.79-B14</f>
        <v>143.79000000000002</v>
      </c>
      <c r="C15" s="7" t="s">
        <v>41</v>
      </c>
      <c r="D15" s="4" t="s">
        <v>207</v>
      </c>
      <c r="E15" s="27" t="b">
        <f>FALSE()</f>
        <v>0</v>
      </c>
    </row>
    <row r="16" spans="1:15">
      <c r="A16" s="26"/>
      <c r="B16" s="25">
        <v>107</v>
      </c>
      <c r="C16" s="37" t="s">
        <v>56</v>
      </c>
      <c r="D16" s="38" t="s">
        <v>208</v>
      </c>
      <c r="E16" s="27" t="b">
        <v>1</v>
      </c>
    </row>
    <row r="17" spans="1:5">
      <c r="A17" s="26"/>
      <c r="B17" s="25">
        <v>140.99</v>
      </c>
      <c r="C17" s="37" t="s">
        <v>56</v>
      </c>
      <c r="D17" s="38" t="s">
        <v>215</v>
      </c>
      <c r="E17" s="27" t="b">
        <v>1</v>
      </c>
    </row>
    <row r="18" spans="1:5">
      <c r="A18" s="26"/>
      <c r="B18" s="25">
        <v>41.97</v>
      </c>
      <c r="C18" s="37" t="s">
        <v>56</v>
      </c>
      <c r="D18" s="38" t="s">
        <v>216</v>
      </c>
      <c r="E18" s="27" t="b">
        <f>FALSE()</f>
        <v>0</v>
      </c>
    </row>
    <row r="19" spans="1:5">
      <c r="A19" s="26"/>
      <c r="B19" s="25">
        <v>43.59</v>
      </c>
      <c r="C19" s="37" t="s">
        <v>56</v>
      </c>
      <c r="D19" s="38" t="s">
        <v>89</v>
      </c>
      <c r="E19" s="27" t="b">
        <f>FALSE()</f>
        <v>0</v>
      </c>
    </row>
    <row r="20" spans="1:5">
      <c r="A20" s="26"/>
      <c r="B20" s="25">
        <v>117.5</v>
      </c>
      <c r="C20" s="37" t="s">
        <v>56</v>
      </c>
      <c r="D20" s="38" t="s">
        <v>133</v>
      </c>
      <c r="E20" s="27" t="b">
        <f>FALSE()</f>
        <v>0</v>
      </c>
    </row>
    <row r="21" spans="1:5">
      <c r="A21" s="26"/>
      <c r="B21" s="25">
        <v>93.14</v>
      </c>
      <c r="C21" s="37" t="s">
        <v>56</v>
      </c>
      <c r="D21" s="38" t="s">
        <v>95</v>
      </c>
      <c r="E21" s="27" t="b">
        <f>FALSE()</f>
        <v>0</v>
      </c>
    </row>
    <row r="22" spans="1:5">
      <c r="A22" s="26"/>
      <c r="B22" s="25">
        <v>108</v>
      </c>
      <c r="C22" s="37" t="s">
        <v>56</v>
      </c>
      <c r="D22" s="38" t="s">
        <v>134</v>
      </c>
      <c r="E22" s="27" t="b">
        <v>1</v>
      </c>
    </row>
    <row r="23" spans="1:5">
      <c r="A23" s="26"/>
      <c r="B23" s="25">
        <v>19.5</v>
      </c>
      <c r="C23" s="37" t="s">
        <v>11</v>
      </c>
      <c r="D23" s="38" t="s">
        <v>209</v>
      </c>
      <c r="E23" s="27" t="b">
        <v>1</v>
      </c>
    </row>
    <row r="24" spans="1:5">
      <c r="A24" s="26"/>
      <c r="B24" s="25">
        <v>3.6</v>
      </c>
      <c r="C24" s="37" t="s">
        <v>14</v>
      </c>
      <c r="D24" s="38" t="s">
        <v>210</v>
      </c>
      <c r="E24" s="27" t="b">
        <f>FALSE()</f>
        <v>0</v>
      </c>
    </row>
    <row r="25" spans="1:5">
      <c r="A25" s="26"/>
      <c r="B25" s="25">
        <v>35</v>
      </c>
      <c r="C25" s="37" t="s">
        <v>14</v>
      </c>
      <c r="D25" s="38" t="s">
        <v>211</v>
      </c>
      <c r="E25" s="27" t="b">
        <v>1</v>
      </c>
    </row>
    <row r="26" spans="1:5">
      <c r="A26" s="26"/>
      <c r="B26" s="25">
        <v>7.99</v>
      </c>
      <c r="C26" s="37" t="s">
        <v>14</v>
      </c>
      <c r="D26" s="38" t="s">
        <v>210</v>
      </c>
      <c r="E26" s="27" t="b">
        <f>FALSE()</f>
        <v>0</v>
      </c>
    </row>
    <row r="27" spans="1:5">
      <c r="A27" s="26"/>
      <c r="B27" s="25">
        <v>53</v>
      </c>
      <c r="C27" s="37" t="s">
        <v>14</v>
      </c>
      <c r="D27" s="38" t="s">
        <v>211</v>
      </c>
      <c r="E27" s="27" t="b">
        <v>1</v>
      </c>
    </row>
    <row r="28" spans="1:5">
      <c r="A28" s="26"/>
      <c r="B28" s="25">
        <v>52</v>
      </c>
      <c r="C28" s="37" t="s">
        <v>13</v>
      </c>
      <c r="D28" s="38" t="s">
        <v>212</v>
      </c>
      <c r="E28" s="27" t="b">
        <f>FALSE()</f>
        <v>0</v>
      </c>
    </row>
    <row r="29" spans="1:5">
      <c r="A29" s="26"/>
      <c r="B29" s="25">
        <v>5.4</v>
      </c>
      <c r="C29" s="37" t="s">
        <v>14</v>
      </c>
      <c r="D29" s="38" t="s">
        <v>178</v>
      </c>
      <c r="E29" s="27" t="b">
        <v>1</v>
      </c>
    </row>
    <row r="30" spans="1:5">
      <c r="A30" s="26"/>
      <c r="B30" s="25">
        <v>2.2000000000000002</v>
      </c>
      <c r="C30" s="37" t="s">
        <v>56</v>
      </c>
      <c r="D30" s="38" t="s">
        <v>98</v>
      </c>
      <c r="E30" s="27" t="b">
        <f>FALSE()</f>
        <v>0</v>
      </c>
    </row>
    <row r="31" spans="1:5">
      <c r="A31" s="26"/>
      <c r="B31" s="39">
        <f>19*2</f>
        <v>38</v>
      </c>
      <c r="C31" s="37" t="s">
        <v>11</v>
      </c>
      <c r="D31" s="38" t="s">
        <v>213</v>
      </c>
      <c r="E31" s="27" t="b">
        <v>1</v>
      </c>
    </row>
    <row r="32" spans="1:5">
      <c r="A32" s="26"/>
      <c r="B32" s="25">
        <v>69</v>
      </c>
      <c r="C32" s="37" t="s">
        <v>14</v>
      </c>
      <c r="D32" s="38" t="s">
        <v>214</v>
      </c>
      <c r="E32" s="27" t="b">
        <v>1</v>
      </c>
    </row>
    <row r="33" spans="1:5">
      <c r="A33" s="26"/>
      <c r="B33" s="25">
        <v>210.76</v>
      </c>
      <c r="C33" s="37" t="s">
        <v>42</v>
      </c>
      <c r="D33" s="40" t="s">
        <v>119</v>
      </c>
      <c r="E33" s="27" t="b">
        <f>FALSE()</f>
        <v>0</v>
      </c>
    </row>
    <row r="34" spans="1:5">
      <c r="A34" s="26"/>
      <c r="B34" s="25">
        <v>260.76</v>
      </c>
      <c r="C34" s="37" t="s">
        <v>56</v>
      </c>
      <c r="D34" s="38" t="s">
        <v>89</v>
      </c>
      <c r="E34" s="27" t="b">
        <f>FALSE()</f>
        <v>0</v>
      </c>
    </row>
    <row r="35" spans="1:5">
      <c r="A35" s="26"/>
      <c r="B35" s="25">
        <v>47.99</v>
      </c>
      <c r="C35" s="37" t="s">
        <v>56</v>
      </c>
      <c r="D35" s="38" t="s">
        <v>89</v>
      </c>
      <c r="E35" s="27" t="b">
        <f>FALSE()</f>
        <v>0</v>
      </c>
    </row>
    <row r="36" spans="1:5">
      <c r="A36" s="26"/>
      <c r="B36" s="25">
        <v>194.22</v>
      </c>
      <c r="C36" s="37" t="s">
        <v>56</v>
      </c>
      <c r="D36" s="38" t="s">
        <v>113</v>
      </c>
      <c r="E36" s="27" t="b">
        <f>FALSE()</f>
        <v>0</v>
      </c>
    </row>
    <row r="37" spans="1:5">
      <c r="A37" s="26"/>
      <c r="B37" s="25">
        <v>59.34</v>
      </c>
      <c r="C37" s="26" t="s">
        <v>56</v>
      </c>
      <c r="D37" s="27" t="s">
        <v>95</v>
      </c>
      <c r="E37" s="27" t="b">
        <f>FALSE()</f>
        <v>0</v>
      </c>
    </row>
    <row r="38" spans="1:5">
      <c r="A38" s="26"/>
      <c r="B38" s="25">
        <v>91.19</v>
      </c>
      <c r="C38" s="26" t="s">
        <v>56</v>
      </c>
      <c r="D38" s="27" t="s">
        <v>89</v>
      </c>
      <c r="E38" s="27" t="b">
        <f>FALSE()</f>
        <v>0</v>
      </c>
    </row>
    <row r="39" spans="1:5">
      <c r="A39" s="26"/>
      <c r="B39" s="25">
        <v>13.46</v>
      </c>
      <c r="C39" s="26" t="s">
        <v>56</v>
      </c>
      <c r="D39" s="27" t="s">
        <v>195</v>
      </c>
      <c r="E39" s="27" t="b">
        <f>FALSE()</f>
        <v>0</v>
      </c>
    </row>
    <row r="40" spans="1:5">
      <c r="A40" s="26"/>
      <c r="B40" s="25">
        <v>1706.4</v>
      </c>
      <c r="C40" s="26" t="s">
        <v>14</v>
      </c>
      <c r="D40" s="27" t="s">
        <v>219</v>
      </c>
      <c r="E40" s="27" t="b">
        <v>1</v>
      </c>
    </row>
    <row r="41" spans="1:5">
      <c r="A41" s="26"/>
      <c r="B41" s="25">
        <v>20</v>
      </c>
      <c r="C41" s="26" t="s">
        <v>11</v>
      </c>
      <c r="D41" s="27" t="s">
        <v>220</v>
      </c>
      <c r="E41" s="27" t="b">
        <v>1</v>
      </c>
    </row>
    <row r="42" spans="1:5">
      <c r="A42" s="26"/>
      <c r="B42" s="25">
        <v>25.98</v>
      </c>
      <c r="C42" s="26" t="s">
        <v>14</v>
      </c>
      <c r="D42" s="27" t="s">
        <v>10</v>
      </c>
      <c r="E42" s="27" t="b">
        <v>1</v>
      </c>
    </row>
    <row r="43" spans="1:5">
      <c r="A43" s="26"/>
      <c r="B43" s="25">
        <v>15.39</v>
      </c>
      <c r="C43" s="26" t="s">
        <v>14</v>
      </c>
      <c r="D43" s="27" t="s">
        <v>98</v>
      </c>
      <c r="E43" s="27" t="b">
        <v>1</v>
      </c>
    </row>
    <row r="44" spans="1:5">
      <c r="A44" s="26"/>
      <c r="B44" s="25">
        <v>20</v>
      </c>
      <c r="C44" s="26" t="s">
        <v>11</v>
      </c>
      <c r="D44" s="27" t="s">
        <v>221</v>
      </c>
      <c r="E44" s="27" t="b">
        <v>1</v>
      </c>
    </row>
    <row r="45" spans="1:5">
      <c r="A45" s="26"/>
      <c r="B45" s="25">
        <v>35</v>
      </c>
      <c r="C45" s="26" t="s">
        <v>42</v>
      </c>
      <c r="D45" s="27" t="s">
        <v>224</v>
      </c>
      <c r="E45" s="27" t="b">
        <v>1</v>
      </c>
    </row>
    <row r="46" spans="1:5">
      <c r="A46" s="26"/>
      <c r="B46" s="25">
        <v>15.11</v>
      </c>
      <c r="C46" s="26" t="s">
        <v>14</v>
      </c>
      <c r="D46" s="27" t="s">
        <v>225</v>
      </c>
      <c r="E46" s="27" t="b">
        <v>1</v>
      </c>
    </row>
    <row r="47" spans="1:5">
      <c r="A47" s="26"/>
      <c r="B47" s="25">
        <v>10</v>
      </c>
      <c r="C47" s="26" t="s">
        <v>14</v>
      </c>
      <c r="D47" s="27" t="s">
        <v>226</v>
      </c>
      <c r="E47" s="27" t="b">
        <v>1</v>
      </c>
    </row>
    <row r="48" spans="1:5">
      <c r="A48" s="26"/>
      <c r="B48" s="25">
        <v>25</v>
      </c>
      <c r="C48" s="26" t="s">
        <v>14</v>
      </c>
      <c r="D48" s="27" t="s">
        <v>10</v>
      </c>
      <c r="E48" s="27" t="b">
        <v>1</v>
      </c>
    </row>
    <row r="49" spans="1:5">
      <c r="A49" s="26"/>
      <c r="B49" s="25"/>
      <c r="C49" s="26"/>
      <c r="D49" s="27"/>
      <c r="E49" s="27" t="b">
        <f>FALSE()</f>
        <v>0</v>
      </c>
    </row>
  </sheetData>
  <conditionalFormatting sqref="O2:O10">
    <cfRule type="colorScale" priority="3">
      <colorScale>
        <cfvo type="num" val="0"/>
        <cfvo type="percentile" val="50"/>
        <cfvo type="num" val="100"/>
        <color rgb="FFFBCECD"/>
        <color rgb="FFFBFEBA"/>
        <color rgb="FFCFF1CB"/>
      </colorScale>
    </cfRule>
    <cfRule type="cellIs" dxfId="94" priority="4" operator="lessThan">
      <formula>0</formula>
    </cfRule>
  </conditionalFormatting>
  <hyperlinks>
    <hyperlink ref="D33" r:id="rId1" display="www.cybe.pl"/>
  </hyperlinks>
  <pageMargins left="0.7" right="0.7" top="0.75" bottom="0.75" header="0.3" footer="0.3"/>
  <pageSetup paperSize="9" orientation="portrait" r:id="rId2"/>
  <tableParts count="3">
    <tablePart r:id="rId3"/>
    <tablePart r:id="rId4"/>
    <tablePart r:id="rId5"/>
  </tableParts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FCB64E"/>
  </sheetPr>
  <dimension ref="A1:N15"/>
  <sheetViews>
    <sheetView workbookViewId="0">
      <selection activeCell="J20" sqref="J20"/>
    </sheetView>
  </sheetViews>
  <sheetFormatPr defaultRowHeight="14.5"/>
  <cols>
    <col min="1" max="1" width="14.90625" customWidth="1"/>
    <col min="3" max="3" width="19.54296875" customWidth="1"/>
    <col min="7" max="7" width="11.90625" customWidth="1"/>
    <col min="8" max="8" width="12" customWidth="1"/>
    <col min="12" max="12" width="14.6328125" customWidth="1"/>
    <col min="13" max="13" width="13.90625" customWidth="1"/>
    <col min="14" max="14" width="16" customWidth="1"/>
    <col min="15" max="15" width="15.1796875" customWidth="1"/>
  </cols>
  <sheetData>
    <row r="1" spans="1:14">
      <c r="A1" s="9" t="s">
        <v>2</v>
      </c>
      <c r="B1" s="10" t="s">
        <v>8</v>
      </c>
      <c r="C1" s="10" t="s">
        <v>3</v>
      </c>
      <c r="D1" s="10" t="s">
        <v>12</v>
      </c>
      <c r="F1" t="s">
        <v>0</v>
      </c>
      <c r="G1" s="2" t="s">
        <v>2</v>
      </c>
      <c r="H1" t="s">
        <v>1</v>
      </c>
      <c r="I1" t="s">
        <v>4</v>
      </c>
      <c r="K1" s="16" t="s">
        <v>8</v>
      </c>
      <c r="L1" s="16" t="s">
        <v>38</v>
      </c>
      <c r="M1" t="s">
        <v>39</v>
      </c>
      <c r="N1" t="s">
        <v>40</v>
      </c>
    </row>
    <row r="2" spans="1:14">
      <c r="A2" s="25">
        <f>1500+128.32+392.54</f>
        <v>2020.86</v>
      </c>
      <c r="B2" s="26" t="s">
        <v>9</v>
      </c>
      <c r="C2" s="27" t="s">
        <v>53</v>
      </c>
      <c r="D2" s="27" t="b">
        <f>FALSE()</f>
        <v>0</v>
      </c>
      <c r="E2" t="s">
        <v>128</v>
      </c>
      <c r="F2" s="1"/>
      <c r="G2" s="2">
        <v>9132.75</v>
      </c>
      <c r="H2" t="s">
        <v>231</v>
      </c>
      <c r="I2" s="23">
        <v>45108</v>
      </c>
      <c r="K2" t="s">
        <v>44</v>
      </c>
      <c r="L2" s="2">
        <f>A3+A4+A5</f>
        <v>2827</v>
      </c>
      <c r="M2" s="2">
        <f>SUMIF(Wydatki8[kategoria],Budżet7134[[#This Row],[kategoria]],Wydatki8[kwota])</f>
        <v>2827</v>
      </c>
      <c r="N2" s="2">
        <f>Budżet7134[[#This Row],[budżet]]-Budżet7134[[#This Row],[wydatki]]</f>
        <v>0</v>
      </c>
    </row>
    <row r="3" spans="1:14">
      <c r="A3" s="6">
        <v>260</v>
      </c>
      <c r="B3" s="7" t="s">
        <v>44</v>
      </c>
      <c r="C3" s="4" t="s">
        <v>232</v>
      </c>
      <c r="D3" s="27" t="b">
        <f>FALSE()</f>
        <v>0</v>
      </c>
      <c r="F3" s="1"/>
      <c r="G3" s="2"/>
      <c r="K3" t="s">
        <v>11</v>
      </c>
      <c r="L3" s="2">
        <v>205.5</v>
      </c>
      <c r="M3" s="2">
        <f>SUMIF(Wydatki8[kategoria],Budżet7134[[#This Row],[kategoria]],Wydatki8[kwota])</f>
        <v>100</v>
      </c>
      <c r="N3" s="2">
        <f>Budżet7134[[#This Row],[budżet]]-Budżet7134[[#This Row],[wydatki]]</f>
        <v>105.5</v>
      </c>
    </row>
    <row r="4" spans="1:14">
      <c r="A4" s="25">
        <v>859</v>
      </c>
      <c r="B4" s="37" t="s">
        <v>44</v>
      </c>
      <c r="C4" s="4" t="s">
        <v>233</v>
      </c>
      <c r="D4" s="27" t="b">
        <f>FALSE()</f>
        <v>0</v>
      </c>
      <c r="E4" t="s">
        <v>128</v>
      </c>
      <c r="K4" t="s">
        <v>9</v>
      </c>
      <c r="L4" s="2">
        <v>2020.86</v>
      </c>
      <c r="M4" s="2">
        <f>SUMIF(Wydatki8[kategoria],Budżet7134[[#This Row],[kategoria]],Wydatki8[kwota])</f>
        <v>2020.86</v>
      </c>
      <c r="N4" s="2">
        <f>Budżet7134[[#This Row],[budżet]]-Budżet7134[[#This Row],[wydatki]]</f>
        <v>0</v>
      </c>
    </row>
    <row r="5" spans="1:14">
      <c r="A5" s="25">
        <v>1708</v>
      </c>
      <c r="B5" s="26" t="s">
        <v>44</v>
      </c>
      <c r="C5" s="4" t="s">
        <v>234</v>
      </c>
      <c r="D5" s="41" t="b">
        <f>FALSE()</f>
        <v>0</v>
      </c>
      <c r="E5" t="s">
        <v>128</v>
      </c>
      <c r="K5" t="s">
        <v>56</v>
      </c>
      <c r="L5" s="2">
        <v>1353.34</v>
      </c>
      <c r="M5" s="2">
        <f>SUMIF(Wydatki8[kategoria],Budżet7134[[#This Row],[kategoria]],Wydatki8[kwota])</f>
        <v>315.67999999999995</v>
      </c>
      <c r="N5" s="2">
        <f>Budżet7134[[#This Row],[budżet]]-Budżet7134[[#This Row],[wydatki]]</f>
        <v>1037.6599999999999</v>
      </c>
    </row>
    <row r="6" spans="1:14">
      <c r="A6" s="25">
        <v>0</v>
      </c>
      <c r="B6" s="26" t="s">
        <v>9</v>
      </c>
      <c r="C6" s="27" t="s">
        <v>186</v>
      </c>
      <c r="D6" s="41" t="b">
        <f>FALSE()</f>
        <v>0</v>
      </c>
      <c r="K6" t="s">
        <v>41</v>
      </c>
      <c r="L6" s="2">
        <v>100</v>
      </c>
      <c r="M6" s="2">
        <f>SUMIF(Wydatki8[kategoria],Budżet7134[[#This Row],[kategoria]],Wydatki8[kwota])</f>
        <v>0</v>
      </c>
      <c r="N6" s="2">
        <f>Budżet7134[[#This Row],[budżet]]-Budżet7134[[#This Row],[wydatki]]</f>
        <v>100</v>
      </c>
    </row>
    <row r="7" spans="1:14">
      <c r="A7" s="25">
        <v>12</v>
      </c>
      <c r="B7" s="26" t="s">
        <v>56</v>
      </c>
      <c r="C7" s="27" t="s">
        <v>172</v>
      </c>
      <c r="D7" s="41" t="b">
        <f>FALSE()</f>
        <v>0</v>
      </c>
      <c r="E7" t="s">
        <v>128</v>
      </c>
      <c r="K7" t="s">
        <v>42</v>
      </c>
      <c r="L7" s="2">
        <v>200</v>
      </c>
      <c r="M7" s="2">
        <f>SUMIF(Wydatki8[kategoria],Budżet7134[[#This Row],[kategoria]],Wydatki8[kwota])</f>
        <v>0</v>
      </c>
      <c r="N7" s="2">
        <f>Budżet7134[[#This Row],[budżet]]-Budżet7134[[#This Row],[wydatki]]</f>
        <v>200</v>
      </c>
    </row>
    <row r="8" spans="1:14">
      <c r="A8" s="25">
        <v>19.989999999999998</v>
      </c>
      <c r="B8" s="26" t="s">
        <v>56</v>
      </c>
      <c r="C8" s="27" t="s">
        <v>114</v>
      </c>
      <c r="D8" s="41" t="b">
        <f>FALSE()</f>
        <v>0</v>
      </c>
      <c r="E8" t="s">
        <v>128</v>
      </c>
      <c r="K8" t="s">
        <v>45</v>
      </c>
      <c r="L8" s="2">
        <v>100</v>
      </c>
      <c r="M8" s="2">
        <f>SUMIF(Wydatki8[kategoria],Budżet7134[[#This Row],[kategoria]],Wydatki8[kwota])</f>
        <v>80</v>
      </c>
      <c r="N8" s="2">
        <f>Budżet7134[[#This Row],[budżet]]-Budżet7134[[#This Row],[wydatki]]</f>
        <v>20</v>
      </c>
    </row>
    <row r="9" spans="1:14">
      <c r="A9" s="25">
        <f>18*0</f>
        <v>0</v>
      </c>
      <c r="B9" s="26" t="s">
        <v>11</v>
      </c>
      <c r="C9" s="27" t="s">
        <v>174</v>
      </c>
      <c r="D9" s="41" t="b">
        <f>FALSE()</f>
        <v>0</v>
      </c>
      <c r="E9" t="s">
        <v>128</v>
      </c>
      <c r="K9" t="s">
        <v>13</v>
      </c>
      <c r="L9" s="2">
        <v>50</v>
      </c>
      <c r="M9" s="2">
        <f>SUMIF(Wydatki8[kategoria],Budżet7134[[#This Row],[kategoria]],Wydatki8[kwota])</f>
        <v>0</v>
      </c>
      <c r="N9" s="2">
        <f>Budżet7134[[#This Row],[budżet]]-Budżet7134[[#This Row],[wydatki]]</f>
        <v>50</v>
      </c>
    </row>
    <row r="10" spans="1:14">
      <c r="A10" s="42">
        <v>86.98</v>
      </c>
      <c r="B10" s="36" t="s">
        <v>56</v>
      </c>
      <c r="C10" s="30" t="s">
        <v>228</v>
      </c>
      <c r="D10" s="30" t="b">
        <f>FALSE()</f>
        <v>0</v>
      </c>
      <c r="K10" t="s">
        <v>14</v>
      </c>
      <c r="L10" s="2">
        <v>1000</v>
      </c>
      <c r="M10" s="2">
        <f>SUMIF(Wydatki8[kategoria],Budżet7134[[#This Row],[kategoria]],Wydatki8[kwota])</f>
        <v>0</v>
      </c>
      <c r="N10" s="2">
        <f>Budżet7134[[#This Row],[budżet]]-Budżet7134[[#This Row],[wydatki]]</f>
        <v>1000</v>
      </c>
    </row>
    <row r="11" spans="1:14">
      <c r="A11" s="42">
        <v>80</v>
      </c>
      <c r="B11" s="36" t="s">
        <v>45</v>
      </c>
      <c r="C11" s="30" t="s">
        <v>229</v>
      </c>
      <c r="D11" s="30" t="b">
        <f>FALSE()</f>
        <v>0</v>
      </c>
      <c r="K11" t="s">
        <v>48</v>
      </c>
      <c r="L11" s="2">
        <f>SUM([budżet])</f>
        <v>7856.7</v>
      </c>
      <c r="M11" s="2">
        <f>SUM([wydatki])</f>
        <v>5343.54</v>
      </c>
      <c r="N11" s="2">
        <f>SUM([pozostało])</f>
        <v>2513.16</v>
      </c>
    </row>
    <row r="12" spans="1:14">
      <c r="A12" s="42">
        <v>71.73</v>
      </c>
      <c r="B12" s="36" t="s">
        <v>56</v>
      </c>
      <c r="C12" s="30" t="s">
        <v>131</v>
      </c>
      <c r="D12" s="30" t="b">
        <v>1</v>
      </c>
    </row>
    <row r="13" spans="1:14">
      <c r="A13" s="42">
        <v>24.98</v>
      </c>
      <c r="B13" s="36" t="s">
        <v>56</v>
      </c>
      <c r="C13" s="30" t="s">
        <v>98</v>
      </c>
      <c r="D13" s="30" t="b">
        <f>FALSE()</f>
        <v>0</v>
      </c>
      <c r="K13" t="s">
        <v>49</v>
      </c>
      <c r="L13" s="2">
        <f>SUM(Przychody8[kwota])-Budżet7134[[#Totals],[budżet]]</f>
        <v>1276.0500000000002</v>
      </c>
    </row>
    <row r="14" spans="1:14">
      <c r="A14" s="42">
        <v>100</v>
      </c>
      <c r="B14" s="36" t="s">
        <v>56</v>
      </c>
      <c r="C14" s="30" t="s">
        <v>230</v>
      </c>
      <c r="D14" s="30" t="b">
        <f>FALSE()</f>
        <v>0</v>
      </c>
    </row>
    <row r="15" spans="1:14">
      <c r="A15" s="42">
        <v>100</v>
      </c>
      <c r="B15" s="36" t="s">
        <v>11</v>
      </c>
      <c r="C15" s="30" t="s">
        <v>177</v>
      </c>
      <c r="D15" s="30" t="b">
        <f>FALSE()</f>
        <v>0</v>
      </c>
    </row>
  </sheetData>
  <conditionalFormatting sqref="N2:N10">
    <cfRule type="colorScale" priority="1">
      <colorScale>
        <cfvo type="num" val="0"/>
        <cfvo type="percentile" val="50"/>
        <cfvo type="num" val="100"/>
        <color rgb="FFFBCECD"/>
        <color rgb="FFFBFEBA"/>
        <color rgb="FFCFF1CB"/>
      </colorScale>
    </cfRule>
    <cfRule type="cellIs" dxfId="3" priority="2" operator="lessThan">
      <formula>0</formula>
    </cfRule>
  </conditionalFormatting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F38D6D"/>
  </sheetPr>
  <dimension ref="A1:L44"/>
  <sheetViews>
    <sheetView workbookViewId="0">
      <selection activeCell="G14" sqref="G14"/>
    </sheetView>
  </sheetViews>
  <sheetFormatPr defaultRowHeight="14.5"/>
  <cols>
    <col min="1" max="1" width="13.54296875" style="1" customWidth="1"/>
    <col min="2" max="2" width="9.90625" style="2" bestFit="1" customWidth="1"/>
    <col min="3" max="3" width="19.1796875" customWidth="1"/>
    <col min="4" max="4" width="20.36328125" customWidth="1"/>
    <col min="5" max="5" width="17.1796875" customWidth="1"/>
    <col min="6" max="6" width="12.81640625" customWidth="1"/>
    <col min="9" max="9" width="13.1796875" customWidth="1"/>
    <col min="10" max="10" width="9.453125" bestFit="1" customWidth="1"/>
  </cols>
  <sheetData>
    <row r="1" spans="1:12">
      <c r="A1" s="8" t="s">
        <v>0</v>
      </c>
      <c r="B1" s="9" t="s">
        <v>2</v>
      </c>
      <c r="C1" s="10" t="s">
        <v>8</v>
      </c>
      <c r="D1" s="10" t="s">
        <v>3</v>
      </c>
      <c r="E1" s="10" t="s">
        <v>5</v>
      </c>
      <c r="F1" s="10" t="s">
        <v>12</v>
      </c>
      <c r="G1" s="10" t="s">
        <v>7</v>
      </c>
      <c r="I1" t="s">
        <v>0</v>
      </c>
      <c r="J1" s="2" t="s">
        <v>2</v>
      </c>
      <c r="K1" t="s">
        <v>1</v>
      </c>
      <c r="L1" t="s">
        <v>4</v>
      </c>
    </row>
    <row r="2" spans="1:12">
      <c r="A2" s="7"/>
      <c r="B2" s="6"/>
      <c r="C2" s="7"/>
      <c r="D2" s="4"/>
      <c r="E2" s="4"/>
      <c r="F2" s="4"/>
      <c r="G2" s="4"/>
      <c r="I2" s="1"/>
      <c r="J2" s="2"/>
    </row>
    <row r="3" spans="1:12">
      <c r="A3" s="7"/>
      <c r="B3" s="6"/>
      <c r="C3" s="7"/>
      <c r="D3" s="4"/>
      <c r="E3" s="4"/>
      <c r="F3" s="4"/>
      <c r="G3" s="4"/>
      <c r="I3" s="1"/>
      <c r="J3" s="2"/>
    </row>
    <row r="4" spans="1:12">
      <c r="C4" s="1"/>
    </row>
    <row r="5" spans="1:12">
      <c r="C5" s="1"/>
    </row>
    <row r="6" spans="1:12">
      <c r="C6" s="1"/>
    </row>
    <row r="7" spans="1:12">
      <c r="C7" s="1"/>
    </row>
    <row r="8" spans="1:12">
      <c r="C8" s="1"/>
    </row>
    <row r="9" spans="1:12">
      <c r="C9" s="1"/>
    </row>
    <row r="10" spans="1:12">
      <c r="C10" s="1"/>
    </row>
    <row r="11" spans="1:12">
      <c r="C11" s="1"/>
    </row>
    <row r="12" spans="1:12">
      <c r="C12" s="1"/>
    </row>
    <row r="13" spans="1:12">
      <c r="C13" s="1"/>
    </row>
    <row r="14" spans="1:12">
      <c r="C14" s="1"/>
    </row>
    <row r="15" spans="1:12">
      <c r="C15" s="1"/>
    </row>
    <row r="16" spans="1:12">
      <c r="C16" s="1"/>
    </row>
    <row r="17" spans="3:3">
      <c r="C17" s="1"/>
    </row>
    <row r="18" spans="3:3">
      <c r="C18" s="1"/>
    </row>
    <row r="19" spans="3:3">
      <c r="C19" s="1"/>
    </row>
    <row r="20" spans="3:3">
      <c r="C20" s="1"/>
    </row>
    <row r="21" spans="3:3">
      <c r="C21" s="1"/>
    </row>
    <row r="22" spans="3:3">
      <c r="C22" s="1"/>
    </row>
    <row r="23" spans="3:3">
      <c r="C23" s="1"/>
    </row>
    <row r="24" spans="3:3">
      <c r="C24" s="1"/>
    </row>
    <row r="25" spans="3:3">
      <c r="C25" s="1"/>
    </row>
    <row r="26" spans="3:3">
      <c r="C26" s="1"/>
    </row>
    <row r="27" spans="3:3">
      <c r="C27" s="1"/>
    </row>
    <row r="28" spans="3:3">
      <c r="C28" s="1"/>
    </row>
    <row r="29" spans="3:3">
      <c r="C29" s="1"/>
    </row>
    <row r="30" spans="3:3">
      <c r="C30" s="1"/>
    </row>
    <row r="31" spans="3:3">
      <c r="C31" s="1"/>
    </row>
    <row r="32" spans="3:3">
      <c r="C32" s="1"/>
    </row>
    <row r="33" spans="3:3">
      <c r="C33" s="1"/>
    </row>
    <row r="34" spans="3:3">
      <c r="C34" s="1"/>
    </row>
    <row r="35" spans="3:3">
      <c r="C35" s="1"/>
    </row>
    <row r="36" spans="3:3">
      <c r="C36" s="1"/>
    </row>
    <row r="37" spans="3:3">
      <c r="C37" s="1"/>
    </row>
    <row r="38" spans="3:3">
      <c r="C38" s="1"/>
    </row>
    <row r="39" spans="3:3">
      <c r="C39" s="1"/>
    </row>
    <row r="40" spans="3:3">
      <c r="C40" s="1"/>
    </row>
    <row r="41" spans="3:3">
      <c r="C41" s="1"/>
    </row>
    <row r="42" spans="3:3">
      <c r="C42" s="1"/>
    </row>
    <row r="43" spans="3:3">
      <c r="C43" s="1"/>
    </row>
    <row r="44" spans="3:3">
      <c r="C44" s="1"/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E57F97"/>
  </sheetPr>
  <dimension ref="A1:L3"/>
  <sheetViews>
    <sheetView workbookViewId="0">
      <selection activeCell="I14" sqref="I14"/>
    </sheetView>
  </sheetViews>
  <sheetFormatPr defaultRowHeight="14.5"/>
  <cols>
    <col min="1" max="1" width="12.6328125" customWidth="1"/>
    <col min="3" max="3" width="10.81640625" customWidth="1"/>
    <col min="6" max="6" width="13.81640625" customWidth="1"/>
    <col min="9" max="9" width="11.36328125" customWidth="1"/>
    <col min="10" max="10" width="12.54296875" customWidth="1"/>
  </cols>
  <sheetData>
    <row r="1" spans="1:12">
      <c r="A1" s="8" t="s">
        <v>0</v>
      </c>
      <c r="B1" s="9" t="s">
        <v>2</v>
      </c>
      <c r="C1" s="10" t="s">
        <v>8</v>
      </c>
      <c r="D1" s="10" t="s">
        <v>3</v>
      </c>
      <c r="E1" s="10" t="s">
        <v>5</v>
      </c>
      <c r="F1" s="10" t="s">
        <v>12</v>
      </c>
      <c r="G1" s="10" t="s">
        <v>7</v>
      </c>
      <c r="I1" t="s">
        <v>0</v>
      </c>
      <c r="J1" s="2" t="s">
        <v>2</v>
      </c>
      <c r="K1" t="s">
        <v>1</v>
      </c>
      <c r="L1" t="s">
        <v>4</v>
      </c>
    </row>
    <row r="2" spans="1:12">
      <c r="A2" s="7"/>
      <c r="B2" s="6"/>
      <c r="C2" s="7"/>
      <c r="D2" s="4"/>
      <c r="E2" s="4"/>
      <c r="F2" s="4"/>
      <c r="G2" s="4"/>
      <c r="I2" s="1"/>
      <c r="J2" s="2"/>
    </row>
    <row r="3" spans="1:12">
      <c r="A3" s="7"/>
      <c r="B3" s="6"/>
      <c r="C3" s="7"/>
      <c r="D3" s="4"/>
      <c r="E3" s="4"/>
      <c r="F3" s="4"/>
      <c r="G3" s="4"/>
      <c r="I3" s="1"/>
      <c r="J3" s="2"/>
    </row>
  </sheetData>
  <pageMargins left="0.7" right="0.7" top="0.75" bottom="0.75" header="0.3" footer="0.3"/>
  <tableParts count="2"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FC986DE"/>
  </sheetPr>
  <dimension ref="A1:L3"/>
  <sheetViews>
    <sheetView workbookViewId="0">
      <selection activeCell="N8" sqref="N8"/>
    </sheetView>
  </sheetViews>
  <sheetFormatPr defaultRowHeight="14.5"/>
  <sheetData>
    <row r="1" spans="1:12">
      <c r="A1" s="8" t="s">
        <v>0</v>
      </c>
      <c r="B1" s="9" t="s">
        <v>2</v>
      </c>
      <c r="C1" s="10" t="s">
        <v>8</v>
      </c>
      <c r="D1" s="10" t="s">
        <v>3</v>
      </c>
      <c r="E1" s="10" t="s">
        <v>5</v>
      </c>
      <c r="F1" s="10" t="s">
        <v>12</v>
      </c>
      <c r="G1" s="10" t="s">
        <v>7</v>
      </c>
      <c r="I1" t="s">
        <v>0</v>
      </c>
      <c r="J1" s="2" t="s">
        <v>2</v>
      </c>
      <c r="K1" t="s">
        <v>1</v>
      </c>
      <c r="L1" t="s">
        <v>4</v>
      </c>
    </row>
    <row r="2" spans="1:12">
      <c r="A2" s="7"/>
      <c r="B2" s="6"/>
      <c r="C2" s="7"/>
      <c r="D2" s="4"/>
      <c r="E2" s="4"/>
      <c r="F2" s="4"/>
      <c r="G2" s="4"/>
      <c r="I2" s="1"/>
      <c r="J2" s="2"/>
    </row>
    <row r="3" spans="1:12">
      <c r="A3" s="7"/>
      <c r="B3" s="6"/>
      <c r="C3" s="7"/>
      <c r="D3" s="4"/>
      <c r="E3" s="4"/>
      <c r="F3" s="4"/>
      <c r="G3" s="4"/>
      <c r="I3" s="1"/>
      <c r="J3" s="2"/>
    </row>
  </sheetData>
  <pageMargins left="0.7" right="0.7" top="0.75" bottom="0.75" header="0.3" footer="0.3"/>
  <tableParts count="2">
    <tablePart r:id="rId1"/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F948CE0"/>
  </sheetPr>
  <dimension ref="A1:L3"/>
  <sheetViews>
    <sheetView workbookViewId="0">
      <selection activeCell="I1" sqref="I1"/>
    </sheetView>
  </sheetViews>
  <sheetFormatPr defaultRowHeight="14.5"/>
  <sheetData>
    <row r="1" spans="1:12">
      <c r="A1" s="8" t="s">
        <v>0</v>
      </c>
      <c r="B1" s="9" t="s">
        <v>2</v>
      </c>
      <c r="C1" s="10" t="s">
        <v>8</v>
      </c>
      <c r="D1" s="10" t="s">
        <v>3</v>
      </c>
      <c r="E1" s="10" t="s">
        <v>5</v>
      </c>
      <c r="F1" s="10" t="s">
        <v>12</v>
      </c>
      <c r="G1" s="10" t="s">
        <v>7</v>
      </c>
      <c r="I1" t="s">
        <v>0</v>
      </c>
      <c r="J1" s="2" t="s">
        <v>2</v>
      </c>
      <c r="K1" t="s">
        <v>1</v>
      </c>
      <c r="L1" t="s">
        <v>4</v>
      </c>
    </row>
    <row r="2" spans="1:12">
      <c r="A2" s="7"/>
      <c r="B2" s="6"/>
      <c r="C2" s="7"/>
      <c r="D2" s="4"/>
      <c r="E2" s="4"/>
      <c r="F2" s="4"/>
      <c r="G2" s="4"/>
      <c r="I2" s="1"/>
      <c r="J2" s="2"/>
    </row>
    <row r="3" spans="1:12">
      <c r="A3" s="7"/>
      <c r="B3" s="6"/>
      <c r="C3" s="7"/>
      <c r="D3" s="4"/>
      <c r="E3" s="4"/>
      <c r="F3" s="4"/>
      <c r="G3" s="4"/>
      <c r="I3" s="1"/>
      <c r="J3" s="2"/>
    </row>
  </sheetData>
  <pageMargins left="0.7" right="0.7" top="0.75" bottom="0.75" header="0.3" footer="0.3"/>
  <tableParts count="2"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theme="0" tint="-0.249977111117893"/>
  </sheetPr>
  <dimension ref="A1:K27"/>
  <sheetViews>
    <sheetView tabSelected="1" workbookViewId="0">
      <selection activeCell="O21" sqref="O21"/>
    </sheetView>
  </sheetViews>
  <sheetFormatPr defaultRowHeight="14.5"/>
  <cols>
    <col min="1" max="1" width="9.90625" bestFit="1" customWidth="1"/>
    <col min="2" max="2" width="13.54296875" style="2" customWidth="1"/>
    <col min="3" max="3" width="14.54296875" style="3" customWidth="1"/>
    <col min="4" max="4" width="18.90625" style="2" customWidth="1"/>
    <col min="5" max="5" width="22.1796875" style="3" customWidth="1"/>
    <col min="6" max="6" width="21.81640625" style="2" customWidth="1"/>
    <col min="7" max="7" width="24.453125" customWidth="1"/>
    <col min="8" max="8" width="15.54296875" customWidth="1"/>
    <col min="9" max="9" width="16.90625" style="14" customWidth="1"/>
  </cols>
  <sheetData>
    <row r="1" spans="1:11">
      <c r="A1" t="s">
        <v>37</v>
      </c>
      <c r="B1" s="2" t="s">
        <v>15</v>
      </c>
      <c r="C1" t="s">
        <v>16</v>
      </c>
      <c r="D1" s="2" t="s">
        <v>17</v>
      </c>
      <c r="E1" t="s">
        <v>31</v>
      </c>
      <c r="F1" s="5" t="s">
        <v>33</v>
      </c>
      <c r="G1" s="3" t="s">
        <v>32</v>
      </c>
      <c r="H1" s="2" t="s">
        <v>35</v>
      </c>
      <c r="I1" s="3" t="s">
        <v>34</v>
      </c>
    </row>
    <row r="2" spans="1:11">
      <c r="A2" s="1" t="s">
        <v>22</v>
      </c>
      <c r="B2" s="2">
        <f>SUM(Przychody1[kwota])</f>
        <v>0</v>
      </c>
      <c r="C2" s="5">
        <f>SUM(Wydatki1[kwota])</f>
        <v>0</v>
      </c>
      <c r="D2" s="5" cm="1">
        <f t="array" ref="D2">SUM(_xlfn._xlws.FILTER(Wydatki1[kwota],NOT(Wydatki1[przyjemności]),0))</f>
        <v>0</v>
      </c>
      <c r="E2" s="3">
        <f>IF(Rok[[#This Row],[Wydatki]]&gt;0,Rok[[#This Row],[Wydatki konieczne]]/Rok[[#This Row],[Wydatki]],0)</f>
        <v>0</v>
      </c>
      <c r="F2" s="5">
        <f>SUM(_xlfn._xlws.FILTER(Wydatki1[kwota],Wydatki1[przyjemności], 0))</f>
        <v>0</v>
      </c>
      <c r="G2" s="3">
        <f>IF(Rok[[#This Row],[Wydatki]]&gt;0,Rok[[#This Row],[Wydatki przyjemności]]/Rok[[#This Row],[Wydatki]],0)</f>
        <v>0</v>
      </c>
      <c r="H2" s="2">
        <f>Rok[[#This Row],[Dochód]]-Rok[[#This Row],[Wydatki]]</f>
        <v>0</v>
      </c>
      <c r="I2" s="3">
        <f>IF(Rok[[#This Row],[Dochód]]&gt;0,Rok[[#This Row],[Oszczędności]]/Rok[[#This Row],[Dochód]],0)</f>
        <v>0</v>
      </c>
    </row>
    <row r="3" spans="1:11">
      <c r="A3" s="1" t="s">
        <v>23</v>
      </c>
      <c r="B3" s="2">
        <f>SUM(Przychody2[kwota])</f>
        <v>9344</v>
      </c>
      <c r="C3" s="5">
        <f>SUM(Wydatki2[kwota])</f>
        <v>6179.8499999999995</v>
      </c>
      <c r="D3" s="5" cm="1">
        <f t="array" ref="D3">SUM(_xlfn._xlws.FILTER(Wydatki2[kwota],NOT(Wydatki2[przyjemności]),0))</f>
        <v>5152.37</v>
      </c>
      <c r="E3" s="3">
        <f>IF(Rok[[#This Row],[Wydatki]]&gt;0,Rok[[#This Row],[Wydatki konieczne]]/Rok[[#This Row],[Wydatki]],0)</f>
        <v>0.83373706481548915</v>
      </c>
      <c r="F3" s="5">
        <f>SUM(_xlfn._xlws.FILTER(Wydatki2[kwota],Wydatki2[przyjemności],0))</f>
        <v>1027.48</v>
      </c>
      <c r="G3" s="3">
        <f>IF(Rok[[#This Row],[Wydatki]]&gt;0,Rok[[#This Row],[Wydatki przyjemności]]/Rok[[#This Row],[Wydatki]],0)</f>
        <v>0.16626293518451096</v>
      </c>
      <c r="H3" s="2">
        <f>Rok[[#This Row],[Dochód]]-Rok[[#This Row],[Wydatki]]</f>
        <v>3164.1500000000005</v>
      </c>
      <c r="I3" s="3">
        <f>IF(Rok[[#This Row],[Dochód]]&gt;0,Rok[[#This Row],[Oszczędności]]/Rok[[#This Row],[Dochód]],0)</f>
        <v>0.338629066780822</v>
      </c>
    </row>
    <row r="4" spans="1:11">
      <c r="A4" s="1" t="s">
        <v>24</v>
      </c>
      <c r="B4" s="2">
        <f>SUM(Przychody3[kwota])</f>
        <v>7936.2</v>
      </c>
      <c r="C4" s="5">
        <f>SUM(Wydatki3[kwota])</f>
        <v>11085.170000000002</v>
      </c>
      <c r="D4" s="5" cm="1">
        <f t="array" ref="D4">SUM(_xlfn._xlws.FILTER(Wydatki3[kwota],NOT(Wydatki3[przyjemności]),0))</f>
        <v>10629.2</v>
      </c>
      <c r="E4" s="3">
        <f>IF(Rok[[#This Row],[Wydatki]]&gt;0,Rok[[#This Row],[Wydatki konieczne]]/Rok[[#This Row],[Wydatki]],0)</f>
        <v>0.95886666600512205</v>
      </c>
      <c r="F4" s="5">
        <f>SUM(_xlfn._xlws.FILTER(Wydatki3[kwota],Wydatki3[przyjemności],0))</f>
        <v>455.97</v>
      </c>
      <c r="G4" s="3">
        <f>IF(Rok[[#This Row],[Wydatki]]&gt;0,Rok[[#This Row],[Wydatki przyjemności]]/Rok[[#This Row],[Wydatki]],0)</f>
        <v>4.1133333994877834E-2</v>
      </c>
      <c r="H4" s="2">
        <f>Rok[[#This Row],[Dochód]]-Rok[[#This Row],[Wydatki]]</f>
        <v>-3148.9700000000021</v>
      </c>
      <c r="I4" s="3">
        <f>IF(Rok[[#This Row],[Dochód]]&gt;0,Rok[[#This Row],[Oszczędności]]/Rok[[#This Row],[Dochód]],0)</f>
        <v>-0.39678561528187323</v>
      </c>
      <c r="K4" t="s">
        <v>102</v>
      </c>
    </row>
    <row r="5" spans="1:11">
      <c r="A5" s="1" t="s">
        <v>25</v>
      </c>
      <c r="B5" s="2">
        <f>SUM(Przychody4[kwota])</f>
        <v>10429.85</v>
      </c>
      <c r="C5" s="5">
        <f>SUM(Wydatki4[kwota])</f>
        <v>7456.3799999999992</v>
      </c>
      <c r="D5" s="5">
        <f>SUM(_xlfn._xlws.FILTER(Wydatki4[kwota],NOT(Wydatki4[przyjemności]),0))</f>
        <v>6542.829999999999</v>
      </c>
      <c r="E5" s="3">
        <f>IF(Rok[[#This Row],[Wydatki]]&gt;0,Rok[[#This Row],[Wydatki konieczne]]/Rok[[#This Row],[Wydatki]],0)</f>
        <v>0.87748076144187925</v>
      </c>
      <c r="F5" s="5">
        <f>SUM(_xlfn._xlws.FILTER(Wydatki4[kwota],Wydatki4[przyjemności],0))</f>
        <v>913.55</v>
      </c>
      <c r="G5" s="3">
        <f>IF(Rok[[#This Row],[Wydatki]]&gt;0,Rok[[#This Row],[Wydatki przyjemności]]/Rok[[#This Row],[Wydatki]],0)</f>
        <v>0.1225192385581207</v>
      </c>
      <c r="H5" s="2">
        <f>Rok[[#This Row],[Dochód]]-Rok[[#This Row],[Wydatki]]</f>
        <v>2973.4700000000012</v>
      </c>
      <c r="I5" s="3">
        <f>IF(Rok[[#This Row],[Dochód]]&gt;0,Rok[[#This Row],[Oszczędności]]/Rok[[#This Row],[Dochód]],0)</f>
        <v>0.28509230717603812</v>
      </c>
    </row>
    <row r="6" spans="1:11">
      <c r="A6" s="1" t="s">
        <v>26</v>
      </c>
      <c r="B6" s="2">
        <f>SUM(Przychody5[kwota])</f>
        <v>8551.7999999999993</v>
      </c>
      <c r="C6" s="5">
        <f>SUM(Wydatki5[kwota])</f>
        <v>7305.9199999999992</v>
      </c>
      <c r="D6" s="5" cm="1">
        <f t="array" ref="D6">SUM(_xlfn._xlws.FILTER(Wydatki5[kwota],NOT(Wydatki5[przyjemności]),0))</f>
        <v>5632.0300000000007</v>
      </c>
      <c r="E6" s="3">
        <f>IF(Rok[[#This Row],[Wydatki]]&gt;0,Rok[[#This Row],[Wydatki konieczne]]/Rok[[#This Row],[Wydatki]],0)</f>
        <v>0.77088580219876501</v>
      </c>
      <c r="F6" s="5">
        <f>SUM(_xlfn._xlws.FILTER(Wydatki5[kwota],Wydatki5[przyjemności],0))</f>
        <v>1673.89</v>
      </c>
      <c r="G6" s="3">
        <f>IF(Rok[[#This Row],[Wydatki]]&gt;0,Rok[[#This Row],[Wydatki przyjemności]]/Rok[[#This Row],[Wydatki]],0)</f>
        <v>0.22911419780123521</v>
      </c>
      <c r="H6" s="2">
        <f>Rok[[#This Row],[Dochód]]-Rok[[#This Row],[Wydatki]]</f>
        <v>1245.8800000000001</v>
      </c>
      <c r="I6" s="3">
        <f>IF(Rok[[#This Row],[Dochód]]&gt;0,Rok[[#This Row],[Oszczędności]]/Rok[[#This Row],[Dochód]],0)</f>
        <v>0.14568628826679766</v>
      </c>
    </row>
    <row r="7" spans="1:11">
      <c r="A7" s="1" t="s">
        <v>27</v>
      </c>
      <c r="B7" s="2">
        <f>SUM(Przychody6[kwota])</f>
        <v>10013.950000000001</v>
      </c>
      <c r="C7" s="5">
        <f>SUM(Wydatki6[kwota])</f>
        <v>9730.6799999999985</v>
      </c>
      <c r="D7" s="5" cm="1">
        <f t="array" ref="D7">SUM(_xlfn._xlws.FILTER(Wydatki6[kwota],NOT(Wydatki6[przyjemności]),0))</f>
        <v>9209.0099999999984</v>
      </c>
      <c r="E7" s="3">
        <f>IF(Rok[[#This Row],[Wydatki]]&gt;0,Rok[[#This Row],[Wydatki konieczne]]/Rok[[#This Row],[Wydatki]],0)</f>
        <v>0.94638915265942358</v>
      </c>
      <c r="F7" s="5">
        <f>SUM(_xlfn._xlws.FILTER(Wydatki6[kwota],Wydatki6[przyjemności],0))</f>
        <v>521.66999999999996</v>
      </c>
      <c r="G7" s="3">
        <f>IF(Rok[[#This Row],[Wydatki]]&gt;0,Rok[[#This Row],[Wydatki przyjemności]]/Rok[[#This Row],[Wydatki]],0)</f>
        <v>5.361084734057641E-2</v>
      </c>
      <c r="H7" s="2">
        <f>Rok[[#This Row],[Dochód]]-Rok[[#This Row],[Wydatki]]</f>
        <v>283.27000000000226</v>
      </c>
      <c r="I7" s="3">
        <f>IF(Rok[[#This Row],[Dochód]]&gt;0,Rok[[#This Row],[Oszczędności]]/Rok[[#This Row],[Dochód]],0)</f>
        <v>2.8287538883258079E-2</v>
      </c>
      <c r="K7" t="s">
        <v>196</v>
      </c>
    </row>
    <row r="8" spans="1:11">
      <c r="A8" s="1" t="s">
        <v>28</v>
      </c>
      <c r="B8" s="2">
        <f>SUM(Przychody7[kwota])</f>
        <v>9148.9500000000007</v>
      </c>
      <c r="C8" s="5">
        <f>SUM(Wydatki7[kwota])</f>
        <v>9225.119999999999</v>
      </c>
      <c r="D8" s="5" cm="1">
        <f t="array" ref="D8">SUM(_xlfn._xlws.FILTER(Wydatki7[kwota],NOT(Wydatki7[przyjemności]),0))</f>
        <v>6770.3600000000006</v>
      </c>
      <c r="E8" s="3">
        <f>IF(Rok[[#This Row],[Wydatki]]&gt;0,Rok[[#This Row],[Wydatki konieczne]]/Rok[[#This Row],[Wydatki]],0)</f>
        <v>0.73390481641431238</v>
      </c>
      <c r="F8" s="5" t="e">
        <f ca="1">SUM(_xlfn._xlws.FILTER(Wydatki7[kwota],Wydatki7[przyjemności],0))</f>
        <v>#NAME?</v>
      </c>
      <c r="G8" s="3" t="e">
        <f ca="1">IF(Rok[[#This Row],[Wydatki]]&gt;0,Rok[[#This Row],[Wydatki przyjemności]]/Rok[[#This Row],[Wydatki]],0)</f>
        <v>#NAME?</v>
      </c>
      <c r="H8" s="2">
        <f>Rok[[#This Row],[Dochód]]-Rok[[#This Row],[Wydatki]]</f>
        <v>-76.169999999998254</v>
      </c>
      <c r="I8" s="3">
        <f>IF(Rok[[#This Row],[Dochód]]&gt;0,Rok[[#This Row],[Oszczędności]]/Rok[[#This Row],[Dochód]],0)</f>
        <v>-8.3255455544076918E-3</v>
      </c>
      <c r="K8" t="s">
        <v>227</v>
      </c>
    </row>
    <row r="9" spans="1:11">
      <c r="A9" s="1" t="s">
        <v>29</v>
      </c>
      <c r="B9" s="2">
        <f>SUM(Przychody8[kwota])</f>
        <v>9132.75</v>
      </c>
      <c r="C9" s="5">
        <f>SUM(Wydatki8[kwota])</f>
        <v>5343.5399999999981</v>
      </c>
      <c r="D9" s="5" t="e" cm="1">
        <f t="array" aca="1" ref="D9" ca="1">SUM(_xlfn._xlws.FILTER(Wydatki8[kwota],NOT(Wydatki8[przyjemności]),0))</f>
        <v>#NAME?</v>
      </c>
      <c r="E9" s="3" t="e">
        <f ca="1">IF(Rok[[#This Row],[Wydatki]]&gt;0,Rok[[#This Row],[Wydatki konieczne]]/Rok[[#This Row],[Wydatki]],0)</f>
        <v>#NAME?</v>
      </c>
      <c r="F9" s="5" t="e">
        <f ca="1">SUM(_xlfn._xlws.FILTER(Wydatki8[kwota],Wydatki8[przyjemności],0))</f>
        <v>#NAME?</v>
      </c>
      <c r="G9" s="3" t="e">
        <f ca="1">IF(Rok[[#This Row],[Wydatki]]&gt;0,Rok[[#This Row],[Wydatki przyjemności]]/Rok[[#This Row],[Wydatki]],0)</f>
        <v>#NAME?</v>
      </c>
      <c r="H9" s="2">
        <f>Rok[[#This Row],[Dochód]]-Rok[[#This Row],[Wydatki]]</f>
        <v>3789.2100000000019</v>
      </c>
      <c r="I9" s="3">
        <f>IF(Rok[[#This Row],[Dochód]]&gt;0,Rok[[#This Row],[Oszczędności]]/Rok[[#This Row],[Dochód]],0)</f>
        <v>0.41490350661082387</v>
      </c>
    </row>
    <row r="10" spans="1:11">
      <c r="A10" s="1" t="s">
        <v>18</v>
      </c>
      <c r="B10" s="2">
        <f>SUM(Przychody9[kwota])</f>
        <v>0</v>
      </c>
      <c r="C10" s="5">
        <f>SUM(Wydatki9[kwota])</f>
        <v>0</v>
      </c>
      <c r="D10" s="5" cm="1">
        <f t="array" ref="D10">SUM(_xlfn._xlws.FILTER(Wydatki9[kwota],NOT(Wydatki9[przyjemności]),0))</f>
        <v>0</v>
      </c>
      <c r="E10" s="3">
        <f>IF(Rok[[#This Row],[Wydatki]]&gt;0,Rok[[#This Row],[Wydatki konieczne]]/Rok[[#This Row],[Wydatki]],0)</f>
        <v>0</v>
      </c>
      <c r="F10" s="5">
        <f>SUM(_xlfn._xlws.FILTER(Wydatki9[kwota],Wydatki9[przyjemności],0))</f>
        <v>0</v>
      </c>
      <c r="G10" s="3">
        <f>IF(Rok[[#This Row],[Wydatki]]&gt;0,Rok[[#This Row],[Wydatki przyjemności]]/Rok[[#This Row],[Wydatki]],0)</f>
        <v>0</v>
      </c>
      <c r="H10" s="2">
        <f>Rok[[#This Row],[Dochód]]-Rok[[#This Row],[Wydatki]]</f>
        <v>0</v>
      </c>
      <c r="I10" s="3">
        <f>IF(Rok[[#This Row],[Dochód]]&gt;0,Rok[[#This Row],[Oszczędności]]/Rok[[#This Row],[Dochód]],0)</f>
        <v>0</v>
      </c>
    </row>
    <row r="11" spans="1:11">
      <c r="A11" s="1" t="s">
        <v>19</v>
      </c>
      <c r="B11" s="2">
        <f>SUM(Przychody10[kwota])</f>
        <v>0</v>
      </c>
      <c r="C11" s="5">
        <f>SUM(Wydatki10[kwota])</f>
        <v>0</v>
      </c>
      <c r="D11" s="5" cm="1">
        <f t="array" ref="D11">SUM(_xlfn._xlws.FILTER(Wydatki10[kwota],NOT(Wydatki10[przyjemności]),0))</f>
        <v>0</v>
      </c>
      <c r="E11" s="3">
        <f>IF(Rok[[#This Row],[Wydatki]]&gt;0,Rok[[#This Row],[Wydatki konieczne]]/Rok[[#This Row],[Wydatki]],0)</f>
        <v>0</v>
      </c>
      <c r="F11" s="5">
        <f>SUM(_xlfn._xlws.FILTER(Wydatki10[kwota],Wydatki10[przyjemności],0))</f>
        <v>0</v>
      </c>
      <c r="G11" s="3">
        <f>IF(Rok[[#This Row],[Wydatki]]&gt;0,Rok[[#This Row],[Wydatki przyjemności]]/Rok[[#This Row],[Wydatki]],0)</f>
        <v>0</v>
      </c>
      <c r="H11" s="2">
        <f>Rok[[#This Row],[Dochód]]-Rok[[#This Row],[Wydatki]]</f>
        <v>0</v>
      </c>
      <c r="I11" s="3">
        <f>IF(Rok[[#This Row],[Dochód]]&gt;0,Rok[[#This Row],[Oszczędności]]/Rok[[#This Row],[Dochód]],0)</f>
        <v>0</v>
      </c>
    </row>
    <row r="12" spans="1:11">
      <c r="A12" s="1" t="s">
        <v>20</v>
      </c>
      <c r="B12" s="2">
        <f>SUM(Przychody11[kwota])</f>
        <v>0</v>
      </c>
      <c r="C12" s="5">
        <f>SUM(Wydatki11[kwota])</f>
        <v>0</v>
      </c>
      <c r="D12" s="5" cm="1">
        <f t="array" ref="D12">SUM(_xlfn._xlws.FILTER(Wydatki11[kwota],NOT(Wydatki11[przyjemności]),0))</f>
        <v>0</v>
      </c>
      <c r="E12" s="3">
        <f>IF(Rok[[#This Row],[Wydatki]]&gt;0,Rok[[#This Row],[Wydatki konieczne]]/Rok[[#This Row],[Wydatki]],0)</f>
        <v>0</v>
      </c>
      <c r="F12" s="5">
        <f>SUM(_xlfn._xlws.FILTER(Wydatki11[kwota],Wydatki11[przyjemności],0))</f>
        <v>0</v>
      </c>
      <c r="G12" s="3">
        <f>IF(Rok[[#This Row],[Wydatki]]&gt;0,Rok[[#This Row],[Wydatki przyjemności]]/Rok[[#This Row],[Wydatki]],0)</f>
        <v>0</v>
      </c>
      <c r="H12" s="2">
        <f>Rok[[#This Row],[Dochód]]-Rok[[#This Row],[Wydatki]]</f>
        <v>0</v>
      </c>
      <c r="I12" s="3">
        <f>IF(Rok[[#This Row],[Dochód]]&gt;0,Rok[[#This Row],[Oszczędności]]/Rok[[#This Row],[Dochód]],0)</f>
        <v>0</v>
      </c>
    </row>
    <row r="13" spans="1:11">
      <c r="A13" s="1" t="s">
        <v>21</v>
      </c>
      <c r="B13" s="2">
        <f>SUM(Przychody12[kwota])</f>
        <v>0</v>
      </c>
      <c r="C13" s="5">
        <f>SUM(Wydatki12[kwota])</f>
        <v>0</v>
      </c>
      <c r="D13" s="5" cm="1">
        <f t="array" ref="D13">SUM(_xlfn._xlws.FILTER(Wydatki12[kwota],NOT(Wydatki12[przyjemności]),0))</f>
        <v>0</v>
      </c>
      <c r="E13" s="3">
        <f>IF(Rok[[#This Row],[Wydatki]]&gt;0,Rok[[#This Row],[Wydatki konieczne]]/Rok[[#This Row],[Wydatki]],0)</f>
        <v>0</v>
      </c>
      <c r="F13" s="5">
        <f>SUM(_xlfn._xlws.FILTER(Wydatki12[kwota],Wydatki12[przyjemności],0))</f>
        <v>0</v>
      </c>
      <c r="G13" s="3">
        <f>IF(Rok[[#This Row],[Wydatki]]&gt;0,Rok[[#This Row],[Wydatki przyjemności]]/Rok[[#This Row],[Wydatki]],0)</f>
        <v>0</v>
      </c>
      <c r="H13" s="2">
        <f>Rok[[#This Row],[Dochód]]-Rok[[#This Row],[Wydatki]]</f>
        <v>0</v>
      </c>
      <c r="I13" s="3">
        <f>IF(Rok[[#This Row],[Dochód]]&gt;0,Rok[[#This Row],[Oszczędności]]/Rok[[#This Row],[Dochód]],0)</f>
        <v>0</v>
      </c>
    </row>
    <row r="14" spans="1:11">
      <c r="A14" s="1"/>
      <c r="C14" s="5"/>
      <c r="D14" s="5"/>
      <c r="G14" s="3"/>
    </row>
    <row r="15" spans="1:11">
      <c r="A15" s="17" t="s">
        <v>36</v>
      </c>
      <c r="B15" s="18" t="s">
        <v>15</v>
      </c>
      <c r="C15" s="19" t="s">
        <v>16</v>
      </c>
      <c r="D15" s="18" t="s">
        <v>17</v>
      </c>
      <c r="E15" s="19" t="s">
        <v>31</v>
      </c>
      <c r="F15" s="20" t="s">
        <v>33</v>
      </c>
      <c r="G15" s="21" t="s">
        <v>32</v>
      </c>
      <c r="H15" s="18" t="s">
        <v>35</v>
      </c>
      <c r="I15" s="22" t="s">
        <v>34</v>
      </c>
    </row>
    <row r="16" spans="1:11">
      <c r="A16" s="11" t="s">
        <v>30</v>
      </c>
      <c r="B16" s="12">
        <f>SUM(Rok[Dochód])</f>
        <v>64557.5</v>
      </c>
      <c r="C16" s="12">
        <f>SUM(Rok[Wydatki])</f>
        <v>56326.659999999996</v>
      </c>
      <c r="D16" s="13" t="e">
        <f ca="1">SUM(Rok[Wydatki konieczne])</f>
        <v>#NAME?</v>
      </c>
      <c r="E16" s="5" t="e">
        <f ca="1">IF(Okres[[#This Row],[Wydatki]]&gt;0,Okres[[#This Row],[Wydatki konieczne]]/Okres[[#This Row],[Wydatki]],0)</f>
        <v>#NAME?</v>
      </c>
      <c r="F16" s="12" t="e">
        <f ca="1">SUM(Rok[Wydatki przyjemności])</f>
        <v>#NAME?</v>
      </c>
      <c r="G16" s="5" t="e">
        <f ca="1">IF(Okres[[#This Row],[Wydatki]]&gt;0,Okres[[#This Row],[Wydatki przyjemności]]/Okres[[#This Row],[Wydatki]],0)</f>
        <v>#NAME?</v>
      </c>
      <c r="H16" s="12">
        <f>SUM(Rok[Oszczędności])</f>
        <v>8230.8400000000056</v>
      </c>
      <c r="I16" s="15">
        <f>IF(Okres[[#This Row],[Dochód]]&gt;0,Okres[[#This Row],[Oszczędności]]/Okres[[#This Row],[Dochód]],0)</f>
        <v>0.12749626302133765</v>
      </c>
    </row>
    <row r="17" spans="1:7">
      <c r="A17" s="1"/>
      <c r="C17" s="5"/>
      <c r="D17" s="5"/>
      <c r="G17" s="3"/>
    </row>
    <row r="18" spans="1:7">
      <c r="B18"/>
    </row>
    <row r="19" spans="1:7">
      <c r="B19"/>
      <c r="C19"/>
    </row>
    <row r="20" spans="1:7">
      <c r="B20"/>
      <c r="C20"/>
    </row>
    <row r="21" spans="1:7">
      <c r="B21"/>
      <c r="C21"/>
    </row>
    <row r="22" spans="1:7">
      <c r="B22"/>
      <c r="C22"/>
    </row>
    <row r="23" spans="1:7">
      <c r="B23"/>
      <c r="C23"/>
    </row>
    <row r="24" spans="1:7">
      <c r="B24"/>
      <c r="C24"/>
    </row>
    <row r="25" spans="1:7">
      <c r="B25"/>
      <c r="C25"/>
    </row>
    <row r="26" spans="1:7">
      <c r="B26"/>
      <c r="C26"/>
    </row>
    <row r="27" spans="1:7">
      <c r="B27"/>
      <c r="C27"/>
    </row>
  </sheetData>
  <phoneticPr fontId="4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13</vt:i4>
      </vt:variant>
      <vt:variant>
        <vt:lpstr>Zakresy nazwane</vt:lpstr>
      </vt:variant>
      <vt:variant>
        <vt:i4>1</vt:i4>
      </vt:variant>
    </vt:vector>
  </HeadingPairs>
  <TitlesOfParts>
    <vt:vector size="14" baseType="lpstr">
      <vt:lpstr>I</vt:lpstr>
      <vt:lpstr>II</vt:lpstr>
      <vt:lpstr>III</vt:lpstr>
      <vt:lpstr>IV</vt:lpstr>
      <vt:lpstr>V</vt:lpstr>
      <vt:lpstr>VI</vt:lpstr>
      <vt:lpstr>VII</vt:lpstr>
      <vt:lpstr>VIII</vt:lpstr>
      <vt:lpstr>IX</vt:lpstr>
      <vt:lpstr>X</vt:lpstr>
      <vt:lpstr>XI</vt:lpstr>
      <vt:lpstr>XII</vt:lpstr>
      <vt:lpstr>rok</vt:lpstr>
      <vt:lpstr>stawka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NatsMini</dc:creator>
  <cp:lastModifiedBy>Natalia BlueberryMufffffin</cp:lastModifiedBy>
  <dcterms:created xsi:type="dcterms:W3CDTF">2015-06-05T18:17:20Z</dcterms:created>
  <dcterms:modified xsi:type="dcterms:W3CDTF">2023-08-02T21:58:57Z</dcterms:modified>
</cp:coreProperties>
</file>