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ick\Desktop\Analytics Course\Challenge 1\"/>
    </mc:Choice>
  </mc:AlternateContent>
  <xr:revisionPtr revIDLastSave="0" documentId="8_{D264BB81-CAC5-4FDE-8FAE-E4F6A5DCD8F6}" xr6:coauthVersionLast="47" xr6:coauthVersionMax="47" xr10:uidLastSave="{00000000-0000-0000-0000-000000000000}"/>
  <bookViews>
    <workbookView xWindow="888" yWindow="1704" windowWidth="22656" windowHeight="10524" firstSheet="7" activeTab="8" xr2:uid="{00000000-000D-0000-FFFF-FFFF00000000}"/>
  </bookViews>
  <sheets>
    <sheet name="Kickstarter" sheetId="1" r:id="rId1"/>
    <sheet name="Outcomes Based on Goals" sheetId="9" r:id="rId2"/>
    <sheet name="Theater Outcomes by Launch Date" sheetId="8" r:id="rId3"/>
    <sheet name="Category Statistics" sheetId="3" r:id="rId4"/>
    <sheet name="Subcategory Statistics" sheetId="4" r:id="rId5"/>
    <sheet name="Outcomes Based on Launch Date" sheetId="6" r:id="rId6"/>
    <sheet name="Edinburgh Research" sheetId="7" r:id="rId7"/>
    <sheet name="Skill Drill (Central Tendancy)" sheetId="12" r:id="rId8"/>
    <sheet name="Descriptive Statistics" sheetId="15" r:id="rId9"/>
  </sheets>
  <definedNames>
    <definedName name="_xlnm._FilterDatabase" localSheetId="0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5" l="1"/>
  <c r="C12" i="15"/>
  <c r="C11" i="15"/>
  <c r="C10" i="15"/>
  <c r="C9" i="15"/>
  <c r="C6" i="15"/>
  <c r="C7" i="15" s="1"/>
  <c r="C5" i="15"/>
  <c r="C4" i="15"/>
  <c r="C3" i="15"/>
  <c r="C2" i="15"/>
  <c r="B13" i="15"/>
  <c r="B12" i="15"/>
  <c r="B11" i="15"/>
  <c r="B10" i="15"/>
  <c r="B9" i="15"/>
  <c r="B6" i="15"/>
  <c r="B5" i="15"/>
  <c r="B4" i="15"/>
  <c r="B3" i="15"/>
  <c r="B2" i="15"/>
  <c r="C14" i="15"/>
  <c r="A14" i="12"/>
  <c r="A11" i="12"/>
  <c r="D13" i="9"/>
  <c r="C13" i="9"/>
  <c r="B13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E12" i="9" s="1"/>
  <c r="H12" i="9" s="1"/>
  <c r="B11" i="9"/>
  <c r="B10" i="9"/>
  <c r="B9" i="9"/>
  <c r="B8" i="9"/>
  <c r="E8" i="9" s="1"/>
  <c r="B7" i="9"/>
  <c r="B6" i="9"/>
  <c r="B5" i="9"/>
  <c r="B4" i="9"/>
  <c r="E4" i="9" s="1"/>
  <c r="B3" i="9"/>
  <c r="B2" i="9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15" l="1"/>
  <c r="B7" i="15"/>
  <c r="G4" i="9"/>
  <c r="G8" i="9"/>
  <c r="G12" i="9"/>
  <c r="E2" i="9"/>
  <c r="F2" i="9" s="1"/>
  <c r="F6" i="9"/>
  <c r="E6" i="9"/>
  <c r="F10" i="9"/>
  <c r="E10" i="9"/>
  <c r="E5" i="9"/>
  <c r="F5" i="9" s="1"/>
  <c r="E9" i="9"/>
  <c r="F9" i="9" s="1"/>
  <c r="E3" i="9"/>
  <c r="G3" i="9" s="1"/>
  <c r="G6" i="9"/>
  <c r="H4" i="9"/>
  <c r="H8" i="9"/>
  <c r="E7" i="9"/>
  <c r="G7" i="9" s="1"/>
  <c r="F7" i="9"/>
  <c r="E11" i="9"/>
  <c r="G11" i="9" s="1"/>
  <c r="H5" i="9"/>
  <c r="H2" i="9"/>
  <c r="H6" i="9"/>
  <c r="H10" i="9"/>
  <c r="G10" i="9"/>
  <c r="H3" i="9"/>
  <c r="H7" i="9"/>
  <c r="H11" i="9"/>
  <c r="F11" i="9"/>
  <c r="F12" i="9"/>
  <c r="F8" i="9"/>
  <c r="F4" i="9"/>
  <c r="E13" i="9"/>
  <c r="G5" i="9" l="1"/>
  <c r="H9" i="9"/>
  <c r="F3" i="9"/>
  <c r="G2" i="9"/>
  <c r="G9" i="9"/>
  <c r="H13" i="9"/>
  <c r="G13" i="9"/>
  <c r="F13" i="9"/>
</calcChain>
</file>

<file path=xl/sharedStrings.xml><?xml version="1.0" encoding="utf-8"?>
<sst xmlns="http://schemas.openxmlformats.org/spreadsheetml/2006/main" count="33055" uniqueCount="8416">
  <si>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</si>
  <si>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</si>
  <si>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</si>
  <si>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</si>
  <si>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</si>
  <si>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</si>
  <si>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</si>
  <si>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</si>
  <si>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</si>
  <si>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</si>
  <si>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</si>
  <si>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</si>
  <si>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</si>
  <si>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</si>
  <si>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</si>
  <si>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</si>
  <si>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</si>
  <si>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</si>
  <si>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</si>
  <si>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</si>
  <si>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</si>
  <si>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</si>
  <si>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</si>
  <si>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</si>
  <si>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</si>
  <si>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</si>
  <si>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</si>
  <si>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</si>
  <si>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</si>
  <si>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</si>
  <si>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</si>
  <si>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</si>
  <si>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</si>
  <si>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</si>
  <si>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</si>
  <si>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</si>
  <si>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</si>
  <si>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</si>
  <si>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</si>
  <si>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</si>
  <si>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</si>
  <si>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</si>
  <si>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</si>
  <si>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</si>
  <si>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</si>
  <si>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</si>
  <si>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</si>
  <si>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</si>
  <si>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</si>
  <si>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</si>
  <si>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</si>
  <si>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</si>
  <si>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</si>
  <si>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</si>
  <si>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</si>
  <si>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</si>
  <si>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</si>
  <si>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</si>
  <si>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</si>
  <si>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</si>
  <si>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</si>
  <si>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</si>
  <si>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</si>
  <si>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</si>
  <si>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</si>
  <si>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</si>
  <si>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</si>
  <si>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</si>
  <si>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</si>
  <si>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</si>
  <si>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</si>
  <si>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</si>
  <si>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</si>
  <si>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</si>
  <si>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</si>
  <si>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</si>
  <si>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</si>
  <si>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</si>
  <si>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</si>
  <si>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</si>
  <si>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</si>
  <si>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</si>
  <si>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</si>
  <si>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</si>
  <si>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</si>
  <si>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</si>
  <si>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</si>
  <si>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</si>
  <si>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</si>
  <si>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</si>
  <si>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</si>
  <si>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</si>
  <si>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</si>
  <si>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</si>
  <si>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</si>
  <si>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</si>
  <si>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</si>
  <si>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</si>
  <si>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</si>
  <si>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</si>
  <si>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</si>
  <si>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</si>
  <si>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</si>
  <si>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</si>
  <si>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</si>
  <si>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</si>
  <si>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</si>
  <si>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</si>
  <si>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</si>
  <si>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</si>
  <si>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</si>
  <si>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</si>
  <si>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</si>
  <si>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</si>
  <si>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</si>
  <si>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</si>
  <si>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</si>
  <si>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</si>
  <si>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</si>
  <si>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</si>
  <si>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</si>
  <si>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</si>
  <si>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</si>
  <si>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</si>
  <si>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</si>
  <si>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</si>
  <si>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</si>
  <si>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</si>
  <si>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</si>
  <si>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</si>
  <si>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</si>
  <si>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</si>
  <si>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</si>
  <si>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</si>
  <si>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</si>
  <si>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</si>
  <si>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</si>
  <si>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</si>
  <si>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</si>
  <si>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</si>
  <si>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</si>
  <si>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</si>
  <si>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</si>
  <si>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</si>
  <si>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</si>
  <si>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</si>
  <si>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</si>
  <si>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</si>
  <si>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</si>
  <si>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</si>
  <si>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</si>
  <si>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</si>
  <si>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</si>
  <si>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</si>
  <si>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</si>
  <si>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</si>
  <si>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</si>
  <si>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</si>
  <si>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</si>
  <si>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</si>
  <si>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</si>
  <si>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</si>
  <si>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</si>
  <si>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</si>
  <si>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</si>
  <si>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</si>
  <si>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</si>
  <si>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</si>
  <si>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</si>
  <si>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</si>
  <si>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</si>
  <si>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</si>
  <si>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</si>
  <si>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</si>
  <si>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</si>
  <si>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</si>
  <si>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</si>
  <si>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</si>
  <si>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</si>
  <si>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</si>
  <si>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</si>
  <si>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</si>
  <si>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</si>
  <si>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</si>
  <si>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</si>
  <si>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</si>
  <si>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</si>
  <si>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</si>
  <si>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</si>
  <si>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</si>
  <si>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</si>
  <si>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</si>
  <si>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</si>
  <si>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</si>
  <si>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</si>
  <si>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</si>
  <si>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</si>
  <si>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</si>
  <si>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</si>
  <si>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</si>
  <si>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</si>
  <si>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</si>
  <si>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</si>
  <si>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</si>
  <si>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</si>
  <si>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</si>
  <si>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</si>
  <si>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</si>
  <si>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</si>
  <si>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</si>
  <si>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</si>
  <si>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</si>
  <si>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</si>
  <si>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</si>
  <si>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</si>
  <si>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</si>
  <si>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</si>
  <si>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</si>
  <si>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</si>
  <si>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</si>
  <si>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</si>
  <si>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</si>
  <si>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</si>
  <si>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</si>
  <si>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</si>
  <si>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</si>
  <si>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</si>
  <si>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</si>
  <si>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</si>
  <si>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</si>
  <si>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</si>
  <si>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</si>
  <si>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</si>
  <si>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</si>
  <si>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</si>
  <si>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</si>
  <si>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</si>
  <si>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</si>
  <si>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</si>
  <si>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</si>
  <si>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</si>
  <si>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</si>
  <si>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</si>
  <si>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</si>
  <si>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</si>
  <si>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</si>
  <si>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</si>
  <si>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</si>
  <si>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</si>
  <si>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</si>
  <si>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</si>
  <si>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</si>
  <si>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</si>
  <si>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</si>
  <si>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</si>
  <si>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</si>
  <si>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</si>
  <si>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</si>
  <si>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</si>
  <si>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</si>
  <si>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</si>
  <si>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</si>
  <si>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</si>
  <si>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</si>
  <si>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</si>
  <si>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</si>
  <si>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</si>
  <si>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</si>
  <si>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</si>
  <si>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</si>
  <si>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</si>
  <si>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</si>
  <si>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</si>
  <si>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</si>
  <si>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</si>
  <si>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</si>
  <si>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</si>
  <si>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</si>
  <si>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</si>
  <si>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</si>
  <si>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</si>
  <si>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</si>
  <si>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</si>
  <si>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</si>
  <si>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</si>
  <si>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</si>
  <si>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</si>
  <si>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</si>
  <si>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</si>
  <si>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</si>
  <si>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</si>
  <si>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</si>
  <si>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</si>
  <si>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</si>
  <si>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</si>
  <si>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</si>
  <si>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</si>
  <si>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</si>
  <si>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</si>
  <si>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</si>
  <si>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</si>
  <si>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</si>
  <si>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</si>
  <si>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</si>
  <si>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</si>
  <si>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</si>
  <si>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</si>
  <si>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</si>
  <si>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</si>
  <si>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</si>
  <si>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</si>
  <si>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</si>
  <si>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</si>
  <si>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</si>
  <si>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</si>
  <si>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</si>
  <si>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</si>
  <si>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</si>
  <si>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</si>
  <si>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</si>
  <si>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</si>
  <si>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</si>
  <si>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</si>
  <si>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</si>
  <si>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</si>
  <si>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</si>
  <si>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</si>
  <si>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</si>
  <si>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</si>
  <si>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</si>
  <si>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</si>
  <si>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</si>
  <si>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</si>
  <si>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</si>
  <si>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</si>
  <si>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</si>
  <si>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</si>
  <si>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</si>
  <si>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</si>
  <si>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</si>
  <si>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</si>
  <si>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</si>
  <si>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</si>
  <si>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</si>
  <si>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</si>
  <si>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</si>
  <si>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</si>
  <si>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</si>
  <si>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</si>
  <si>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</si>
  <si>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</si>
  <si>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</si>
  <si>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</si>
  <si>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</si>
  <si>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</si>
  <si>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</si>
  <si>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</si>
  <si>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</si>
  <si>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</si>
  <si>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</si>
  <si>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</si>
  <si>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</si>
  <si>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</si>
  <si>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</si>
  <si>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</si>
  <si>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</si>
  <si>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</si>
  <si>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</si>
  <si>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</si>
  <si>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</si>
  <si>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</si>
  <si>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</si>
  <si>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</si>
  <si>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</si>
  <si>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</si>
  <si>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</si>
  <si>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</si>
  <si>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</si>
  <si>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</si>
  <si>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</si>
  <si>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</si>
  <si>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</si>
  <si>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</si>
  <si>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</si>
  <si>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</si>
  <si>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</si>
  <si>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</si>
  <si>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</si>
  <si>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</si>
  <si>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</si>
  <si>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</si>
  <si>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</si>
  <si>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</si>
  <si>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</si>
  <si>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</si>
  <si>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</si>
  <si>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</si>
  <si>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</si>
  <si>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</si>
  <si>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</si>
  <si>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</si>
  <si>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</si>
  <si>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</si>
  <si>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</si>
  <si>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</si>
  <si>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</si>
  <si>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</si>
  <si>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</si>
  <si>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</si>
  <si>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</si>
  <si>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</si>
  <si>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</si>
  <si>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</si>
  <si>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</si>
  <si>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</si>
  <si>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</si>
  <si>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</si>
  <si>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</si>
  <si>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</si>
  <si>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</si>
  <si>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</si>
  <si>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</si>
  <si>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</si>
  <si>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</si>
  <si>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</si>
  <si>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</si>
  <si>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</si>
  <si>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</si>
  <si>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</si>
  <si>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</si>
  <si>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</si>
  <si>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</si>
  <si>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</si>
  <si>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</si>
  <si>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</si>
  <si>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</si>
  <si>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</si>
  <si>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</si>
  <si>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</si>
  <si>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</si>
  <si>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</si>
  <si>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</si>
  <si>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</si>
  <si>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</si>
  <si>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</si>
  <si>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</si>
  <si>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</si>
  <si>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</si>
  <si>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</si>
  <si>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</si>
  <si>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</si>
  <si>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</si>
  <si>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</si>
  <si>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</si>
  <si>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</si>
  <si>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</si>
  <si>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</si>
  <si>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</si>
  <si>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</si>
  <si>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</si>
  <si>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</si>
  <si>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</si>
  <si>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</si>
  <si>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</si>
  <si>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</si>
  <si>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</si>
  <si>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</si>
  <si>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</si>
  <si>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</si>
  <si>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</si>
  <si>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</si>
  <si>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</si>
  <si>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</si>
  <si>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</si>
  <si>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</si>
  <si>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</si>
  <si>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</si>
  <si>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</si>
  <si>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</si>
  <si>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</si>
  <si>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</si>
  <si>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</si>
  <si>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</si>
  <si>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</si>
  <si>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</si>
  <si>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</si>
  <si>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</si>
  <si>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</si>
  <si>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</si>
  <si>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</si>
  <si>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</si>
  <si>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</si>
  <si>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</si>
  <si>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</si>
  <si>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</si>
  <si>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</si>
  <si>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</si>
  <si>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</si>
  <si>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</si>
  <si>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</si>
  <si>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</si>
  <si>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</si>
  <si>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</si>
  <si>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</si>
  <si>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</si>
  <si>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</si>
  <si>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</si>
  <si>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</si>
  <si>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</si>
  <si>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</si>
  <si>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</si>
  <si>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</si>
  <si>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</si>
  <si>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</si>
  <si>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</si>
  <si>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</si>
  <si>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</si>
  <si>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</si>
  <si>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</si>
  <si>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</si>
  <si>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</si>
  <si>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</si>
  <si>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</si>
  <si>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</si>
  <si>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</si>
  <si>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</si>
  <si>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</si>
  <si>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</si>
  <si>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</si>
  <si>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</si>
  <si>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</si>
  <si>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</si>
  <si>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</si>
  <si>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</si>
  <si>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</si>
  <si>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</si>
  <si>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</si>
  <si>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</si>
  <si>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</si>
  <si>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</si>
  <si>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</si>
  <si>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</si>
  <si>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</si>
  <si>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</si>
  <si>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</si>
  <si>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</si>
  <si>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</si>
  <si>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</si>
  <si>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</si>
  <si>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</si>
  <si>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</si>
  <si>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</si>
  <si>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</si>
  <si>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</si>
  <si>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</si>
  <si>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</si>
  <si>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</si>
  <si>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</si>
  <si>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</si>
  <si>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</si>
  <si>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</si>
  <si>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</si>
  <si>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</si>
  <si>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</si>
  <si>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</si>
  <si>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</si>
  <si>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</si>
  <si>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</si>
  <si>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</si>
  <si>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</si>
  <si>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</si>
  <si>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</si>
  <si>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</si>
  <si>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</si>
  <si>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</si>
  <si>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</si>
  <si>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</si>
  <si>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</si>
  <si>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</si>
  <si>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</si>
  <si>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</si>
  <si>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</si>
  <si>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</si>
  <si>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</si>
  <si>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</si>
  <si>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</si>
  <si>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</si>
  <si>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</si>
  <si>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</si>
  <si>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</si>
  <si>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</si>
  <si>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</si>
  <si>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</si>
  <si>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</si>
  <si>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</si>
  <si>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</si>
  <si>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</si>
  <si>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</si>
  <si>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</si>
  <si>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</si>
  <si>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</si>
  <si>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</si>
  <si>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</si>
  <si>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</si>
  <si>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</si>
  <si>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</si>
  <si>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</si>
  <si>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</si>
  <si>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</si>
  <si>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</si>
  <si>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</si>
  <si>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</si>
  <si>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</si>
  <si>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</si>
  <si>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</si>
  <si>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</si>
  <si>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</si>
  <si>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</si>
  <si>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</si>
  <si>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</si>
  <si>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</si>
  <si>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</si>
  <si>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</si>
  <si>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</si>
  <si>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</si>
  <si>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</si>
  <si>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</si>
  <si>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</si>
  <si>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</si>
  <si>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</si>
  <si>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</si>
  <si>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</si>
  <si>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</si>
  <si>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</si>
  <si>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</si>
  <si>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</si>
  <si>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</si>
  <si>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</si>
  <si>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</si>
  <si>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</si>
  <si>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</si>
  <si>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</si>
  <si>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</si>
  <si>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</si>
  <si>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</si>
  <si>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</si>
  <si>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</si>
  <si>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</si>
  <si>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</si>
  <si>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</si>
  <si>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</si>
  <si>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</si>
  <si>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</si>
  <si>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</si>
  <si>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</si>
  <si>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</si>
  <si>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</si>
  <si>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</si>
  <si>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</si>
  <si>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</si>
  <si>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</si>
  <si>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</si>
  <si>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</si>
  <si>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</si>
  <si>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</si>
  <si>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</si>
  <si>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</si>
  <si>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</si>
  <si>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</si>
  <si>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</si>
  <si>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</si>
  <si>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</si>
  <si>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</si>
  <si>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</si>
  <si>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</si>
  <si>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</si>
  <si>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</si>
  <si>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</si>
  <si>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</si>
  <si>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</si>
  <si>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</si>
  <si>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</si>
  <si>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</si>
  <si>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</si>
  <si>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</si>
  <si>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</si>
  <si>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</si>
  <si>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</si>
  <si>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</si>
  <si>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</si>
  <si>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</si>
  <si>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</si>
  <si>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</si>
  <si>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</si>
  <si>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</si>
  <si>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</si>
  <si>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</si>
  <si>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</si>
  <si>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</si>
  <si>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</si>
  <si>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</si>
  <si>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</si>
  <si>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</si>
  <si>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</si>
  <si>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</si>
  <si>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</si>
  <si>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</si>
  <si>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</si>
  <si>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</si>
  <si>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</si>
  <si>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</si>
  <si>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</si>
  <si>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</si>
  <si>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</si>
  <si>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</si>
  <si>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</si>
  <si>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</si>
  <si>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</si>
  <si>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</si>
  <si>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</si>
  <si>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</si>
  <si>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</si>
  <si>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</si>
  <si>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</si>
  <si>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</si>
  <si>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</si>
  <si>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</si>
  <si>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</si>
  <si>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</si>
  <si>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</si>
  <si>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</si>
  <si>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</si>
  <si>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</si>
  <si>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</si>
  <si>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</si>
  <si>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</si>
  <si>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</si>
  <si>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</si>
  <si>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</si>
  <si>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</si>
  <si>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</si>
  <si>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</si>
  <si>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</si>
  <si>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</si>
  <si>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</si>
  <si>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</si>
  <si>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</si>
  <si>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</si>
  <si>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</si>
  <si>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</si>
  <si>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</si>
  <si>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</si>
  <si>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</si>
  <si>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</si>
  <si>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</si>
  <si>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</si>
  <si>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</si>
  <si>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</si>
  <si>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</si>
  <si>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</si>
  <si>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</si>
  <si>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</si>
  <si>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</si>
  <si>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</si>
  <si>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</si>
  <si>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</si>
  <si>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</si>
  <si>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</si>
  <si>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</si>
  <si>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</si>
  <si>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</si>
  <si>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</si>
  <si>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</si>
  <si>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</si>
  <si>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</si>
  <si>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</si>
  <si>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</si>
  <si>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</si>
  <si>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</si>
  <si>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</si>
  <si>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</si>
  <si>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</si>
  <si>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</si>
  <si>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</si>
  <si>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</si>
  <si>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</si>
  <si>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</si>
  <si>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</si>
  <si>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</si>
  <si>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</si>
  <si>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</si>
  <si>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</si>
  <si>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</si>
  <si>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</si>
  <si>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</si>
  <si>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</si>
  <si>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</si>
  <si>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</si>
  <si>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</si>
  <si>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</si>
  <si>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</si>
  <si>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</si>
  <si>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</si>
  <si>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</si>
  <si>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</si>
  <si>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</si>
  <si>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</si>
  <si>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</si>
  <si>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</si>
  <si>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</si>
  <si>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</si>
  <si>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</si>
  <si>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</si>
  <si>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</si>
  <si>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</si>
  <si>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</si>
  <si>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</si>
  <si>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</si>
  <si>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</si>
  <si>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</si>
  <si>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</si>
  <si>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</si>
  <si>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</si>
  <si>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</si>
  <si>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</si>
  <si>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</si>
  <si>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</si>
  <si>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</si>
  <si>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</si>
  <si>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</si>
  <si>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</si>
  <si>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</si>
  <si>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</si>
  <si>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</si>
  <si>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</si>
  <si>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</si>
  <si>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</si>
  <si>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</si>
  <si>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</si>
  <si>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</si>
  <si>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</si>
  <si>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</si>
  <si>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</si>
  <si>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</si>
  <si>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</si>
  <si>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</si>
  <si>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</si>
  <si>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</si>
  <si>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</si>
  <si>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</si>
  <si>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</si>
  <si>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</si>
  <si>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</si>
  <si>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</si>
  <si>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</si>
  <si>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</si>
  <si>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</si>
  <si>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</si>
  <si>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</si>
  <si>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</si>
  <si>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</si>
  <si>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</si>
  <si>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</si>
  <si>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</si>
  <si>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</si>
  <si>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</si>
  <si>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</si>
  <si>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</si>
  <si>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</si>
  <si>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</si>
  <si>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</si>
  <si>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</si>
  <si>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</si>
  <si>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</si>
  <si>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</si>
  <si>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</si>
  <si>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</si>
  <si>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</si>
  <si>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</si>
  <si>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</si>
  <si>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</si>
  <si>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</si>
  <si>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</si>
  <si>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</si>
  <si>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</si>
  <si>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</si>
  <si>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</si>
  <si>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</si>
  <si>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</si>
  <si>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</si>
  <si>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</si>
  <si>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</si>
  <si>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</si>
  <si>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</si>
  <si>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</si>
  <si>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</si>
  <si>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</si>
  <si>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</si>
  <si>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</si>
  <si>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</si>
  <si>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</si>
  <si>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</si>
  <si>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</si>
  <si>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</si>
  <si>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</si>
  <si>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</si>
  <si>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</si>
  <si>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</si>
  <si>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</si>
  <si>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</si>
  <si>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</si>
  <si>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</si>
  <si>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</si>
  <si>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</si>
  <si>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</si>
  <si>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</si>
  <si>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</si>
  <si>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</si>
  <si>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</si>
  <si>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</si>
  <si>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</si>
  <si>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</si>
  <si>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</si>
  <si>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</si>
  <si>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</si>
  <si>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</si>
  <si>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</si>
  <si>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</si>
  <si>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</si>
  <si>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</si>
  <si>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</si>
  <si>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</si>
  <si>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</si>
  <si>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</si>
  <si>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</si>
  <si>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</si>
  <si>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</si>
  <si>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</si>
  <si>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</si>
  <si>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</si>
  <si>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</si>
  <si>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</si>
  <si>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</si>
  <si>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</si>
  <si>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</si>
  <si>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</si>
  <si>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</si>
  <si>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</si>
  <si>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</si>
  <si>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</si>
  <si>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</si>
  <si>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</si>
  <si>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</si>
  <si>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</si>
  <si>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</si>
  <si>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</si>
  <si>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</si>
  <si>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</si>
  <si>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</si>
  <si>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</si>
  <si>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</si>
  <si>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</si>
  <si>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</si>
  <si>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</si>
  <si>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</si>
  <si>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</si>
  <si>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</si>
  <si>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</si>
  <si>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</si>
  <si>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</si>
  <si>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</si>
  <si>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</si>
  <si>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</si>
  <si>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</si>
  <si>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</si>
  <si>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</si>
  <si>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</si>
  <si>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</si>
  <si>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</si>
  <si>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</si>
  <si>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</si>
  <si>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</si>
  <si>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</si>
  <si>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</si>
  <si>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</si>
  <si>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</si>
  <si>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</si>
  <si>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</si>
  <si>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</si>
  <si>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</si>
  <si>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</si>
  <si>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</si>
  <si>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</si>
  <si>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</si>
  <si>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</si>
  <si>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</si>
  <si>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</si>
  <si>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</si>
  <si>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</si>
  <si>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</si>
  <si>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</si>
  <si>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</si>
  <si>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</si>
  <si>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</si>
  <si>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</si>
  <si>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</si>
  <si>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</si>
  <si>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</si>
  <si>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</si>
  <si>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</si>
  <si>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</si>
  <si>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</si>
  <si>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</si>
  <si>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</si>
  <si>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</si>
  <si>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</si>
  <si>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</si>
  <si>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</si>
  <si>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</si>
  <si>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</si>
  <si>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</si>
  <si>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</si>
  <si>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</si>
  <si>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</si>
  <si>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</si>
  <si>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</si>
  <si>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</si>
  <si>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</si>
  <si>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</si>
  <si>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</si>
  <si>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</si>
  <si>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</si>
  <si>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</si>
  <si>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</si>
  <si>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</si>
  <si>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</si>
  <si>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</si>
  <si>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</si>
  <si>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</si>
  <si>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</si>
  <si>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</si>
  <si>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</si>
  <si>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</si>
  <si>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</si>
  <si>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</si>
  <si>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</si>
  <si>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</si>
  <si>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</si>
  <si>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</si>
  <si>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</si>
  <si>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</si>
  <si>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</si>
  <si>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</si>
  <si>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</si>
  <si>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</si>
  <si>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</si>
  <si>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</si>
  <si>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</si>
  <si>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</si>
  <si>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</si>
  <si>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</si>
  <si>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</si>
  <si>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</si>
  <si>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</si>
  <si>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</si>
  <si>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</si>
  <si>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</si>
  <si>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</si>
  <si>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</si>
  <si>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</si>
  <si>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</si>
  <si>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</si>
  <si>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</si>
  <si>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</si>
  <si>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</si>
  <si>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</si>
  <si>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</si>
  <si>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</si>
  <si>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</si>
  <si>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</si>
  <si>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</si>
  <si>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</si>
  <si>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</si>
  <si>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</si>
  <si>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</si>
  <si>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</si>
  <si>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</si>
  <si>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</si>
  <si>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</si>
  <si>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</si>
  <si>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</si>
  <si>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</si>
  <si>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</si>
  <si>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</si>
  <si>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</si>
  <si>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</si>
  <si>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</si>
  <si>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</si>
  <si>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</si>
  <si>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</si>
  <si>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</si>
  <si>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</si>
  <si>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</si>
  <si>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</si>
  <si>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</si>
  <si>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</si>
  <si>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</si>
  <si>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</si>
  <si>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</si>
  <si>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</si>
  <si>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</si>
  <si>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</si>
  <si>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</si>
  <si>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</si>
  <si>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</si>
  <si>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</si>
  <si>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</si>
  <si>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</si>
  <si>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</si>
  <si>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</si>
  <si>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</si>
  <si>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</si>
  <si>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</si>
  <si>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</si>
  <si>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</si>
  <si>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</si>
  <si>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</si>
  <si>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</si>
  <si>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</si>
  <si>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</si>
  <si>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</si>
  <si>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</si>
  <si>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</si>
  <si>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</si>
  <si>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</si>
  <si>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</si>
  <si>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</si>
  <si>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</si>
  <si>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</si>
  <si>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</si>
  <si>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</si>
  <si>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</si>
  <si>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</si>
  <si>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</si>
  <si>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</si>
  <si>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</si>
  <si>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</si>
  <si>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</si>
  <si>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</si>
  <si>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</si>
  <si>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</si>
  <si>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</si>
  <si>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</si>
  <si>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</si>
  <si>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</si>
  <si>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</si>
  <si>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</si>
  <si>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</si>
  <si>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</si>
  <si>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</si>
  <si>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</si>
  <si>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</si>
  <si>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</si>
  <si>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</si>
  <si>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</si>
  <si>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</si>
  <si>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</si>
  <si>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</si>
  <si>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</si>
  <si>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</si>
  <si>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</si>
  <si>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</si>
  <si>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</si>
  <si>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</si>
  <si>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</si>
  <si>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</si>
  <si>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</si>
  <si>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</si>
  <si>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</si>
  <si>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</si>
  <si>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</si>
  <si>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</si>
  <si>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</si>
  <si>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</si>
  <si>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</si>
  <si>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</si>
  <si>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</si>
  <si>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</si>
  <si>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</si>
  <si>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</si>
  <si>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</si>
  <si>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</si>
  <si>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</si>
  <si>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</si>
  <si>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</si>
  <si>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</si>
  <si>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</si>
  <si>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</si>
  <si>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</si>
  <si>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</si>
  <si>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</si>
  <si>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</si>
  <si>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</si>
  <si>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</si>
  <si>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</si>
  <si>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</si>
  <si>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</si>
  <si>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</si>
  <si>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</si>
  <si>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</si>
  <si>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</si>
  <si>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</si>
  <si>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</si>
  <si>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</si>
  <si>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</si>
  <si>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</si>
  <si>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</si>
  <si>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</si>
  <si>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</si>
  <si>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</si>
  <si>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</si>
  <si>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</si>
  <si>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</si>
  <si>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</si>
  <si>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</si>
  <si>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</si>
  <si>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</si>
  <si>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</si>
  <si>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</si>
  <si>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</si>
  <si>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</si>
  <si>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</si>
  <si>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</si>
  <si>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</si>
  <si>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</si>
  <si>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</si>
  <si>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</si>
  <si>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</si>
  <si>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</si>
  <si>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</si>
  <si>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</si>
  <si>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</si>
  <si>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</si>
  <si>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</si>
  <si>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</si>
  <si>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</si>
  <si>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</si>
  <si>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</si>
  <si>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</si>
  <si>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</si>
  <si>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</si>
  <si>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</si>
  <si>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</si>
  <si>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</si>
  <si>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</si>
  <si>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</si>
  <si>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</si>
  <si>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</si>
  <si>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</si>
  <si>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</si>
  <si>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</si>
  <si>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</si>
  <si>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</si>
  <si>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</si>
  <si>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</si>
  <si>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</si>
  <si>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</si>
  <si>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</si>
  <si>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</si>
  <si>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</si>
  <si>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</si>
  <si>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</si>
  <si>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</si>
  <si>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</si>
  <si>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</si>
  <si>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</si>
  <si>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</si>
  <si>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</si>
  <si>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</si>
  <si>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</si>
  <si>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</si>
  <si>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</si>
  <si>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</si>
  <si>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</si>
  <si>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</si>
  <si>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</si>
  <si>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</si>
  <si>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</si>
  <si>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</si>
  <si>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</si>
  <si>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</si>
  <si>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</si>
  <si>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</si>
  <si>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</si>
  <si>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</si>
  <si>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</si>
  <si>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</si>
  <si>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</si>
  <si>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</si>
  <si>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</si>
  <si>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</si>
  <si>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</si>
  <si>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</si>
  <si>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</si>
  <si>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</si>
  <si>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</si>
  <si>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</si>
  <si>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</si>
  <si>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</si>
  <si>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</si>
  <si>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</si>
  <si>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</si>
  <si>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</si>
  <si>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</si>
  <si>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</si>
  <si>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</si>
  <si>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</si>
  <si>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</si>
  <si>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</si>
  <si>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</si>
  <si>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</si>
  <si>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</si>
  <si>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</si>
  <si>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</si>
  <si>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</si>
  <si>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</si>
  <si>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</si>
  <si>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</si>
  <si>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</si>
  <si>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</si>
  <si>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</si>
  <si>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</si>
  <si>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</si>
  <si>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</si>
  <si>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</si>
  <si>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</si>
  <si>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</si>
  <si>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</si>
  <si>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</si>
  <si>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</si>
  <si>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</si>
  <si>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</si>
  <si>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</si>
  <si>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</si>
  <si>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</si>
  <si>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</si>
  <si>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</si>
  <si>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</si>
  <si>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</si>
  <si>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</si>
  <si>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</si>
  <si>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</si>
  <si>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</si>
  <si>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</si>
  <si>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</si>
  <si>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</si>
  <si>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</si>
  <si>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</si>
  <si>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</si>
  <si>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</si>
  <si>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</si>
  <si>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</si>
  <si>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</si>
  <si>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</si>
  <si>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</si>
  <si>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</si>
  <si>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</si>
  <si>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</si>
  <si>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</si>
  <si>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</si>
  <si>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</si>
  <si>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</si>
  <si>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</si>
  <si>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</si>
  <si>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</si>
  <si>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</si>
  <si>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</si>
  <si>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</si>
  <si>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</si>
  <si>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</si>
  <si>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</si>
  <si>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</si>
  <si>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</si>
  <si>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</si>
  <si>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</si>
  <si>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</si>
  <si>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</si>
  <si>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</si>
  <si>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</si>
  <si>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</si>
  <si>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</si>
  <si>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</si>
  <si>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</si>
  <si>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</si>
  <si>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</si>
  <si>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</si>
  <si>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</si>
  <si>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</si>
  <si>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</si>
  <si>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</si>
  <si>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</si>
  <si>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</si>
  <si>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</si>
  <si>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</si>
  <si>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</si>
  <si>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</si>
  <si>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</si>
  <si>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</si>
  <si>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</si>
  <si>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</si>
  <si>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</si>
  <si>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</si>
  <si>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</si>
  <si>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</si>
  <si>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</si>
  <si>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</si>
  <si>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</si>
  <si>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</si>
  <si>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</si>
  <si>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</si>
  <si>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</si>
  <si>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</si>
  <si>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</si>
  <si>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</si>
  <si>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</si>
  <si>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</si>
  <si>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</si>
  <si>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</si>
  <si>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</si>
  <si>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</si>
  <si>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</si>
  <si>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</si>
  <si>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</si>
  <si>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</si>
  <si>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</si>
  <si>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</si>
  <si>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</si>
  <si>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</si>
  <si>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</si>
  <si>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</si>
  <si>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</si>
  <si>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</si>
  <si>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</si>
  <si>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</si>
  <si>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</si>
  <si>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</si>
  <si>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</si>
  <si>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</si>
  <si>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</si>
  <si>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</si>
  <si>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</si>
  <si>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</si>
  <si>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</si>
  <si>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</si>
  <si>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</si>
  <si>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</si>
  <si>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</si>
  <si>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</si>
  <si>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</si>
  <si>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</si>
  <si>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</si>
  <si>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</si>
  <si>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</si>
  <si>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</si>
  <si>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</si>
  <si>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</si>
  <si>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</si>
  <si>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</si>
  <si>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</si>
  <si>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</si>
  <si>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</si>
  <si>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</si>
  <si>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</si>
  <si>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</si>
  <si>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</si>
  <si>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</si>
  <si>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</si>
  <si>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</si>
  <si>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</si>
  <si>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</si>
  <si>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</si>
  <si>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</si>
  <si>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</si>
  <si>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</si>
  <si>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</si>
  <si>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</si>
  <si>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</si>
  <si>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</si>
  <si>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</si>
  <si>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</si>
  <si>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</si>
  <si>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</si>
  <si>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</si>
  <si>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</si>
  <si>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</si>
  <si>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</si>
  <si>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</si>
  <si>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</si>
  <si>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</si>
  <si>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</si>
  <si>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</si>
  <si>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</si>
  <si>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</si>
  <si>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</si>
  <si>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</si>
  <si>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</si>
  <si>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</si>
  <si>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</si>
  <si>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</si>
  <si>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</si>
  <si>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</si>
  <si>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</si>
  <si>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</si>
  <si>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</si>
  <si>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</si>
  <si>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</si>
  <si>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</si>
  <si>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</si>
  <si>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</si>
  <si>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</si>
  <si>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</si>
  <si>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</si>
  <si>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</si>
  <si>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</si>
  <si>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</si>
  <si>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</si>
  <si>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</si>
  <si>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</si>
  <si>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</si>
  <si>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</si>
  <si>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</si>
  <si>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</si>
  <si>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</si>
  <si>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</si>
  <si>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</si>
  <si>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</si>
  <si>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</si>
  <si>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</si>
  <si>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</si>
  <si>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</si>
  <si>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</si>
  <si>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</si>
  <si>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</si>
  <si>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</si>
  <si>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</si>
  <si>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</si>
  <si>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</si>
  <si>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</si>
  <si>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</si>
  <si>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</si>
  <si>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</si>
  <si>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</si>
  <si>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</si>
  <si>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</si>
  <si>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</si>
  <si>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</si>
  <si>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</si>
  <si>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</si>
  <si>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</si>
  <si>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</si>
  <si>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</si>
  <si>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</si>
  <si>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</si>
  <si>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</si>
  <si>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</si>
  <si>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</si>
  <si>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</si>
  <si>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</si>
  <si>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</si>
  <si>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</si>
  <si>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</si>
  <si>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</si>
  <si>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</si>
  <si>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</si>
  <si>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</si>
  <si>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</si>
  <si>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</si>
  <si>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</si>
  <si>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</si>
  <si>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</si>
  <si>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</si>
  <si>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</si>
  <si>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</si>
  <si>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</si>
  <si>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</si>
  <si>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</si>
  <si>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</si>
  <si>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</si>
  <si>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</si>
  <si>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</si>
  <si>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</si>
  <si>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</si>
  <si>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</si>
  <si>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</si>
  <si>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</si>
  <si>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</si>
  <si>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</si>
  <si>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</si>
  <si>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</si>
  <si>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</si>
  <si>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</si>
  <si>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</si>
  <si>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</si>
  <si>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</si>
  <si>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</si>
  <si>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</si>
  <si>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</si>
  <si>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</si>
  <si>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</si>
  <si>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</si>
  <si>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</si>
  <si>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</si>
  <si>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</si>
  <si>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</si>
  <si>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</si>
  <si>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</si>
  <si>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</si>
  <si>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</si>
  <si>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</si>
  <si>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</si>
  <si>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</si>
  <si>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</si>
  <si>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</si>
  <si>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</si>
  <si>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</si>
  <si>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</si>
  <si>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</si>
  <si>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</si>
  <si>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</si>
  <si>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</si>
  <si>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</si>
  <si>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</si>
  <si>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</si>
  <si>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</si>
  <si>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</si>
  <si>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</si>
  <si>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</si>
  <si>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</si>
  <si>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</si>
  <si>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</si>
  <si>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</si>
  <si>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</si>
  <si>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</si>
  <si>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</si>
  <si>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</si>
  <si>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</si>
  <si>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</si>
  <si>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</si>
  <si>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</si>
  <si>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</si>
  <si>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</si>
  <si>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</si>
  <si>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</si>
  <si>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</si>
  <si>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</si>
  <si>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</si>
  <si>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</si>
  <si>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</si>
  <si>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</si>
  <si>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</si>
  <si>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</si>
  <si>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</si>
  <si>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</si>
  <si>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</si>
  <si>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</si>
  <si>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</si>
  <si>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</si>
  <si>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</si>
  <si>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</si>
  <si>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</si>
  <si>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</si>
  <si>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</si>
  <si>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</si>
  <si>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</si>
  <si>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</si>
  <si>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</si>
  <si>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</si>
  <si>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</si>
  <si>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</si>
  <si>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</si>
  <si>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</si>
  <si>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</si>
  <si>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</si>
  <si>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</si>
  <si>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</si>
  <si>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</si>
  <si>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</si>
  <si>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</si>
  <si>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</si>
  <si>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</si>
  <si>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</si>
  <si>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</si>
  <si>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</si>
  <si>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</si>
  <si>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</si>
  <si>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</si>
  <si>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</si>
  <si>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</si>
  <si>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</si>
  <si>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</si>
  <si>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</si>
  <si>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</si>
  <si>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</si>
  <si>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</si>
  <si>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</si>
  <si>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</si>
  <si>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</si>
  <si>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</si>
  <si>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</si>
  <si>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</si>
  <si>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</si>
  <si>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</si>
  <si>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</si>
  <si>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</si>
  <si>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</si>
  <si>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</si>
  <si>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</si>
  <si>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</si>
  <si>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</si>
  <si>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</si>
  <si>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</si>
  <si>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</si>
  <si>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</si>
  <si>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</si>
  <si>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</si>
  <si>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</si>
  <si>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</si>
  <si>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</si>
  <si>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</si>
  <si>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</si>
  <si>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</si>
  <si>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</si>
  <si>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</si>
  <si>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</si>
  <si>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</si>
  <si>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</si>
  <si>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</si>
  <si>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</si>
  <si>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</si>
  <si>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</si>
  <si>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</si>
  <si>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</si>
  <si>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</si>
  <si>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</si>
  <si>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</si>
  <si>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</si>
  <si>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</si>
  <si>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</si>
  <si>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</si>
  <si>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</si>
  <si>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</si>
  <si>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</si>
  <si>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</si>
  <si>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</si>
  <si>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</si>
  <si>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</si>
  <si>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</si>
  <si>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</si>
  <si>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</si>
  <si>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</si>
  <si>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</si>
  <si>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</si>
  <si>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</si>
  <si>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</si>
  <si>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</si>
  <si>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</si>
  <si>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</si>
  <si>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</si>
  <si>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</si>
  <si>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</si>
  <si>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</si>
  <si>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</si>
  <si>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</si>
  <si>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</si>
  <si>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</si>
  <si>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</si>
  <si>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</si>
  <si>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</si>
  <si>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</si>
  <si>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</si>
  <si>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</si>
  <si>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</si>
  <si>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</si>
  <si>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</si>
  <si>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</si>
  <si>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</si>
  <si>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</si>
  <si>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</si>
  <si>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</si>
  <si>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</si>
  <si>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</si>
  <si>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</si>
  <si>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</si>
  <si>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</si>
  <si>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</si>
  <si>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</si>
  <si>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</si>
  <si>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</si>
  <si>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</si>
  <si>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</si>
  <si>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</si>
  <si>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</si>
  <si>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</si>
  <si>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</si>
  <si>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</si>
  <si>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</si>
  <si>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</si>
  <si>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</si>
  <si>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</si>
  <si>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</si>
  <si>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</si>
  <si>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</si>
  <si>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</si>
  <si>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</si>
  <si>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</si>
  <si>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</si>
  <si>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</si>
  <si>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</si>
  <si>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</si>
  <si>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</si>
  <si>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</si>
  <si>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</si>
  <si>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</si>
  <si>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</si>
  <si>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</si>
  <si>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</si>
  <si>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</si>
  <si>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</si>
  <si>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</si>
  <si>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</si>
  <si>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</si>
  <si>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</si>
  <si>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</si>
  <si>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</si>
  <si>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</si>
  <si>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</si>
  <si>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</si>
  <si>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</si>
  <si>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</si>
  <si>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</si>
  <si>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</si>
  <si>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</si>
  <si>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</si>
  <si>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</si>
  <si>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</si>
  <si>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</si>
  <si>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</si>
  <si>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</si>
  <si>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</si>
  <si>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</si>
  <si>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</si>
  <si>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</si>
  <si>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</si>
  <si>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</si>
  <si>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</si>
  <si>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</si>
  <si>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</si>
  <si>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</si>
  <si>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</si>
  <si>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</si>
  <si>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</si>
  <si>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</si>
  <si>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</si>
  <si>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</si>
  <si>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</si>
  <si>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</si>
  <si>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</si>
  <si>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</si>
  <si>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</si>
  <si>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</si>
  <si>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</si>
  <si>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</si>
  <si>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</si>
  <si>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</si>
  <si>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</si>
  <si>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</si>
  <si>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</si>
  <si>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</si>
  <si>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</si>
  <si>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</si>
  <si>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</si>
  <si>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</si>
  <si>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</si>
  <si>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</si>
  <si>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</si>
  <si>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</si>
  <si>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</si>
  <si>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</si>
  <si>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</si>
  <si>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</si>
  <si>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</si>
  <si>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</si>
  <si>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</si>
  <si>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</si>
  <si>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</si>
  <si>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</si>
  <si>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</si>
  <si>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</si>
  <si>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</si>
  <si>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</si>
  <si>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</si>
  <si>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</si>
  <si>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</si>
  <si>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</si>
  <si>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</si>
  <si>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</si>
  <si>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</si>
  <si>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</si>
  <si>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</si>
  <si>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</si>
  <si>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</si>
  <si>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</si>
  <si>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</si>
  <si>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</si>
  <si>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</si>
  <si>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</si>
  <si>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</si>
  <si>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</si>
  <si>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</si>
  <si>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</si>
  <si>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</si>
  <si>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</si>
  <si>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</si>
  <si>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</si>
  <si>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</si>
  <si>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</si>
  <si>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</si>
  <si>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</si>
  <si>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</si>
  <si>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</si>
  <si>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</si>
  <si>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</si>
  <si>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</si>
  <si>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</si>
  <si>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</si>
  <si>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</si>
  <si>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</si>
  <si>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</si>
  <si>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</si>
  <si>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</si>
  <si>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</si>
  <si>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</si>
  <si>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</si>
  <si>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</si>
  <si>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</si>
  <si>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</si>
  <si>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</si>
  <si>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</si>
  <si>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</si>
  <si>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</si>
  <si>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</si>
  <si>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</si>
  <si>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</si>
  <si>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</si>
  <si>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</si>
  <si>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</si>
  <si>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</si>
  <si>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</si>
  <si>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</si>
  <si>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</si>
  <si>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</si>
  <si>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</si>
  <si>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</si>
  <si>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</si>
  <si>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</si>
  <si>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</si>
  <si>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</si>
  <si>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</si>
  <si>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</si>
  <si>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</si>
  <si>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</si>
  <si>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</si>
  <si>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</si>
  <si>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</si>
  <si>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</si>
  <si>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</si>
  <si>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</si>
  <si>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</si>
  <si>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</si>
  <si>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</si>
  <si>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</si>
  <si>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</si>
  <si>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</si>
  <si>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</si>
  <si>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</si>
  <si>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</si>
  <si>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</si>
  <si>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</si>
  <si>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</si>
  <si>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</si>
  <si>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</si>
  <si>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</si>
  <si>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</si>
  <si>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</si>
  <si>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</si>
  <si>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</si>
  <si>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</si>
  <si>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</si>
  <si>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</si>
  <si>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</si>
  <si>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</si>
  <si>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</si>
  <si>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</si>
  <si>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</si>
  <si>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</si>
  <si>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</si>
  <si>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</si>
  <si>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</si>
  <si>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</si>
  <si>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</si>
  <si>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</si>
  <si>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</si>
  <si>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</si>
  <si>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</si>
  <si>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</si>
  <si>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</si>
  <si>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</si>
  <si>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</si>
  <si>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</si>
  <si>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</si>
  <si>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</si>
  <si>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</si>
  <si>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</si>
  <si>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</si>
  <si>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</si>
  <si>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</si>
  <si>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</si>
  <si>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</si>
  <si>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</si>
  <si>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</si>
  <si>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</si>
  <si>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</si>
  <si>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</si>
  <si>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</si>
  <si>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</si>
  <si>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</si>
  <si>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</si>
  <si>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</si>
  <si>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</si>
  <si>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</si>
  <si>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</si>
  <si>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</si>
  <si>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</si>
  <si>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</si>
  <si>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</si>
  <si>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</si>
  <si>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</si>
  <si>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</si>
  <si>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</si>
  <si>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</si>
  <si>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</si>
  <si>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</si>
  <si>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</si>
  <si>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</si>
  <si>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</si>
  <si>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</si>
  <si>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</si>
  <si>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</si>
  <si>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</si>
  <si>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</si>
  <si>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</si>
  <si>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</si>
  <si>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</si>
  <si>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</si>
  <si>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</si>
  <si>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</si>
  <si>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</si>
  <si>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</si>
  <si>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</si>
  <si>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</si>
  <si>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</si>
  <si>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</si>
  <si>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</si>
  <si>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</si>
  <si>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</si>
  <si>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</si>
  <si>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</si>
  <si>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</si>
  <si>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</si>
  <si>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</si>
  <si>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</si>
  <si>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</si>
  <si>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</si>
  <si>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</si>
  <si>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</si>
  <si>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</si>
  <si>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</si>
  <si>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</si>
  <si>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</si>
  <si>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</si>
  <si>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</si>
  <si>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</si>
  <si>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</si>
  <si>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</si>
  <si>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</si>
  <si>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</si>
  <si>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</si>
  <si>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</si>
  <si>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</si>
  <si>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</si>
  <si>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</si>
  <si>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</si>
  <si>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</si>
  <si>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</si>
  <si>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</si>
  <si>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</si>
  <si>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</si>
  <si>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</si>
  <si>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</si>
  <si>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</si>
  <si>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</si>
  <si>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</si>
  <si>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</si>
  <si>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</si>
  <si>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</si>
  <si>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</si>
  <si>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</si>
  <si>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</si>
  <si>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</si>
  <si>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</si>
  <si>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</si>
  <si>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</si>
  <si>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</si>
  <si>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</si>
  <si>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</si>
  <si>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</si>
  <si>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</si>
  <si>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</si>
  <si>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</si>
  <si>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</si>
  <si>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</si>
  <si>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</si>
  <si>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</si>
  <si>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</si>
  <si>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</si>
  <si>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</si>
  <si>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</si>
  <si>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</si>
  <si>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</si>
  <si>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</si>
  <si>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</si>
  <si>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</si>
  <si>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</si>
  <si>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</si>
  <si>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</si>
  <si>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</si>
  <si>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</si>
  <si>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</si>
  <si>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</si>
  <si>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</si>
  <si>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</si>
  <si>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</si>
  <si>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</si>
  <si>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</si>
  <si>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</si>
  <si>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</si>
  <si>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</si>
  <si>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</si>
  <si>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</si>
  <si>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</si>
  <si>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</si>
  <si>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</si>
  <si>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</si>
  <si>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</si>
  <si>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</si>
  <si>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</si>
  <si>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</si>
  <si>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</si>
  <si>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</si>
  <si>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</si>
  <si>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</si>
  <si>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</si>
  <si>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</si>
  <si>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</si>
  <si>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</si>
  <si>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</si>
  <si>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</si>
  <si>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</si>
  <si>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</si>
  <si>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</si>
  <si>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</si>
  <si>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</si>
  <si>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</si>
  <si>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</si>
  <si>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</si>
  <si>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</si>
  <si>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</si>
  <si>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</si>
  <si>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</si>
  <si>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</si>
  <si>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</si>
  <si>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</si>
  <si>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</si>
  <si>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</si>
  <si>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</si>
  <si>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</si>
  <si>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</si>
  <si>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</si>
  <si>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</si>
  <si>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</si>
  <si>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</si>
  <si>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</si>
  <si>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</si>
  <si>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</si>
  <si>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</si>
  <si>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</si>
  <si>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</si>
  <si>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</si>
  <si>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</si>
  <si>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</si>
  <si>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</si>
  <si>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</si>
  <si>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</si>
  <si>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</si>
  <si>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</si>
  <si>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</si>
  <si>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</si>
  <si>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</si>
  <si>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</si>
  <si>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</si>
  <si>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</si>
  <si>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</si>
  <si>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</si>
  <si>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</si>
  <si>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</si>
  <si>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</si>
  <si>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</si>
  <si>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</si>
  <si>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</si>
  <si>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</si>
  <si>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</si>
  <si>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</si>
  <si>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</si>
  <si>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</si>
  <si>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</si>
  <si>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</si>
  <si>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</si>
  <si>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</si>
  <si>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</si>
  <si>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</si>
  <si>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</si>
  <si>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</si>
  <si>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</si>
  <si>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</si>
  <si>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</si>
  <si>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</si>
  <si>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</si>
  <si>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</si>
  <si>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</si>
  <si>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</si>
  <si>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</si>
  <si>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</si>
  <si>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</si>
  <si>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</si>
  <si>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</si>
  <si>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</si>
  <si>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</si>
  <si>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</si>
  <si>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</si>
  <si>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</si>
  <si>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</si>
  <si>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</si>
  <si>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</si>
  <si>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</si>
  <si>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</si>
  <si>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</si>
  <si>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</si>
  <si>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</si>
  <si>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</si>
  <si>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</si>
  <si>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</si>
  <si>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</si>
  <si>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</si>
  <si>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</si>
  <si>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</si>
  <si>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</si>
  <si>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</si>
  <si>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</si>
  <si>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</si>
  <si>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</si>
  <si>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</si>
  <si>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</si>
  <si>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</si>
  <si>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</si>
  <si>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</si>
  <si>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</si>
  <si>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</si>
  <si>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</si>
  <si>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</si>
  <si>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</si>
  <si>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</si>
  <si>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</si>
  <si>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</si>
  <si>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</si>
  <si>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</si>
  <si>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</si>
  <si>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</si>
  <si>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</si>
  <si>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</si>
  <si>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</si>
  <si>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</si>
  <si>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</si>
  <si>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</si>
  <si>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</si>
  <si>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</si>
  <si>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</si>
  <si>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</si>
  <si>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</si>
  <si>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</si>
  <si>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</si>
  <si>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</si>
  <si>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</si>
  <si>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</si>
  <si>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</si>
  <si>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</si>
  <si>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</si>
  <si>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</si>
  <si>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</si>
  <si>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</si>
  <si>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</si>
  <si>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</si>
  <si>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</si>
  <si>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</si>
  <si>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</si>
  <si>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</si>
  <si>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</si>
  <si>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</si>
  <si>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</si>
  <si>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</si>
  <si>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</si>
  <si>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</si>
  <si>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</si>
  <si>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</si>
  <si>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</si>
  <si>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</si>
  <si>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</si>
  <si>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</si>
  <si>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</si>
  <si>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</si>
  <si>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</si>
  <si>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</si>
  <si>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</si>
  <si>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</si>
  <si>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</si>
  <si>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</si>
  <si>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</si>
  <si>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</si>
  <si>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</si>
  <si>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</si>
  <si>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</si>
  <si>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</si>
  <si>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</si>
  <si>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</si>
  <si>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</si>
  <si>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</si>
  <si>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</si>
  <si>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</si>
  <si>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</si>
  <si>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</si>
  <si>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</si>
  <si>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</si>
  <si>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</si>
  <si>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</si>
  <si>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</si>
  <si>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</si>
  <si>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</si>
  <si>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</si>
  <si>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</si>
  <si>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</si>
  <si>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</si>
  <si>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</si>
  <si>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</si>
  <si>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</si>
  <si>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</si>
  <si>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</si>
  <si>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</si>
  <si>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</si>
  <si>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</si>
  <si>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</si>
  <si>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</si>
  <si>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</si>
  <si>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</si>
  <si>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</si>
  <si>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</si>
  <si>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</si>
  <si>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</si>
  <si>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</si>
  <si>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</si>
  <si>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</si>
  <si>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</si>
  <si>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</si>
  <si>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</si>
  <si>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</si>
  <si>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</si>
  <si>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</si>
  <si>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</si>
  <si>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</si>
  <si>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</si>
  <si>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</si>
  <si>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</si>
  <si>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</si>
  <si>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</si>
  <si>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</si>
  <si>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</si>
  <si>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</si>
  <si>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</si>
  <si>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</si>
  <si>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</si>
  <si>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</si>
  <si>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</si>
  <si>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</si>
  <si>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</si>
  <si>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</si>
  <si>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</si>
  <si>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</si>
  <si>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</si>
  <si>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</si>
  <si>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</si>
  <si>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</si>
  <si>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</si>
  <si>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</si>
  <si>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</si>
  <si>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</si>
  <si>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</si>
  <si>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</si>
  <si>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</si>
  <si>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</si>
  <si>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</si>
  <si>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</si>
  <si>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</si>
  <si>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</si>
  <si>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</si>
  <si>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</si>
  <si>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</si>
  <si>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</si>
  <si>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</si>
  <si>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</si>
  <si>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</si>
  <si>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</si>
  <si>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</si>
  <si>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</si>
  <si>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</si>
  <si>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</si>
  <si>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</si>
  <si>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</si>
  <si>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</si>
  <si>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</si>
  <si>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</si>
  <si>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</si>
  <si>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</si>
  <si>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</si>
  <si>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</si>
  <si>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</si>
  <si>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</si>
  <si>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</si>
  <si>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</si>
  <si>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</si>
  <si>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</si>
  <si>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</si>
  <si>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</si>
  <si>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</si>
  <si>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</si>
  <si>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</si>
  <si>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</si>
  <si>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</si>
  <si>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</si>
  <si>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</si>
  <si>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</si>
  <si>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</si>
  <si>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</si>
  <si>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</si>
  <si>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</si>
  <si>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</si>
  <si>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</si>
  <si>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</si>
  <si>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</si>
  <si>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</si>
  <si>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</si>
  <si>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</si>
  <si>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</si>
  <si>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</si>
  <si>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</si>
  <si>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</si>
  <si>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</si>
  <si>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</si>
  <si>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</si>
  <si>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</si>
  <si>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</si>
  <si>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</si>
  <si>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</si>
  <si>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</si>
  <si>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</si>
  <si>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</si>
  <si>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</si>
  <si>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</si>
  <si>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</si>
  <si>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</si>
  <si>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</si>
  <si>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</si>
  <si>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</si>
  <si>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</si>
  <si>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</si>
  <si>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</si>
  <si>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</si>
  <si>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</si>
  <si>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</si>
  <si>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</si>
  <si>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</si>
  <si>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</si>
  <si>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</si>
  <si>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</si>
  <si>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</si>
  <si>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</si>
  <si>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</si>
  <si>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</si>
  <si>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</si>
  <si>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</si>
  <si>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</si>
  <si>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</si>
  <si>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</si>
  <si>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</si>
  <si>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</si>
  <si>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</si>
  <si>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</si>
  <si>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</si>
  <si>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</si>
  <si>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</si>
  <si>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</si>
  <si>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</si>
  <si>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</si>
  <si>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</si>
  <si>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</si>
  <si>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</si>
  <si>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</si>
  <si>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</si>
  <si>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</si>
  <si>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</si>
  <si>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</si>
  <si>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</si>
  <si>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</si>
  <si>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</si>
  <si>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</si>
  <si>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</si>
  <si>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</si>
  <si>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</si>
  <si>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</si>
  <si>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</si>
  <si>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</si>
  <si>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</si>
  <si>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</si>
  <si>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</si>
  <si>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</si>
  <si>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</si>
  <si>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</si>
  <si>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</si>
  <si>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</si>
  <si>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</si>
  <si>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</si>
  <si>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</si>
  <si>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</si>
  <si>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</si>
  <si>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</si>
  <si>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</si>
  <si>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</si>
  <si>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</si>
  <si>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</si>
  <si>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</si>
  <si>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</si>
  <si>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</si>
  <si>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</si>
  <si>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</si>
  <si>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</si>
  <si>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</si>
  <si>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</si>
  <si>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</si>
  <si>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</si>
  <si>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</si>
  <si>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</si>
  <si>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</si>
  <si>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</si>
  <si>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</si>
  <si>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</si>
  <si>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</si>
  <si>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</si>
  <si>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</si>
  <si>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</si>
  <si>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</si>
  <si>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</si>
  <si>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</si>
  <si>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</si>
  <si>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</si>
  <si>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</si>
  <si>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</si>
  <si>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</si>
  <si>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</si>
  <si>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</si>
  <si>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</si>
  <si>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</si>
  <si>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</si>
  <si>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</si>
  <si>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</si>
  <si>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</si>
  <si>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</si>
  <si>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</si>
  <si>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</si>
  <si>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</si>
  <si>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</si>
  <si>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</si>
  <si>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</si>
  <si>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</si>
  <si>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</si>
  <si>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</si>
  <si>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</si>
  <si>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</si>
  <si>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</si>
  <si>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</si>
  <si>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</si>
  <si>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</si>
  <si>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</si>
  <si>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</si>
  <si>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</si>
  <si>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</si>
  <si>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</si>
  <si>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</si>
  <si>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</si>
  <si>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</si>
  <si>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</si>
  <si>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</si>
  <si>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</si>
  <si>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</si>
  <si>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</si>
  <si>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</si>
  <si>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</si>
  <si>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</si>
  <si>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</si>
  <si>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</si>
  <si>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</si>
  <si>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</si>
  <si>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</si>
  <si>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</si>
  <si>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</si>
  <si>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</si>
  <si>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</si>
  <si>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</si>
  <si>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</si>
  <si>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</si>
  <si>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</si>
  <si>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</si>
  <si>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</si>
  <si>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</si>
  <si>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</si>
  <si>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</si>
  <si>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</si>
  <si>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</si>
  <si>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</si>
  <si>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</si>
  <si>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</si>
  <si>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</si>
  <si>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</si>
  <si>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</si>
  <si>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</si>
  <si>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</si>
  <si>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</si>
  <si>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</si>
  <si>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</si>
  <si>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</si>
  <si>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</si>
  <si>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</si>
  <si>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</si>
  <si>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</si>
  <si>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</si>
  <si>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</si>
  <si>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</si>
  <si>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</si>
  <si>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</si>
  <si>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</si>
  <si>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</si>
  <si>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</si>
  <si>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</si>
  <si>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</si>
  <si>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</si>
  <si>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</si>
  <si>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</si>
  <si>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</si>
  <si>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</si>
  <si>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</si>
  <si>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</si>
  <si>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</si>
  <si>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</si>
  <si>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</si>
  <si>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</si>
  <si>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</si>
  <si>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</si>
  <si>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</si>
  <si>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</si>
  <si>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</si>
  <si>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</si>
  <si>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</si>
  <si>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</si>
  <si>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</si>
  <si>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</si>
  <si>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</si>
  <si>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</si>
  <si>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</si>
  <si>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</si>
  <si>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</si>
  <si>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</si>
  <si>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</si>
  <si>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</si>
  <si>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</si>
  <si>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</si>
  <si>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</si>
  <si>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</si>
  <si>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</si>
  <si>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</si>
  <si>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</si>
  <si>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</si>
  <si>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</si>
  <si>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</si>
  <si>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</si>
  <si>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</si>
  <si>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</si>
  <si>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</si>
  <si>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</si>
  <si>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</si>
  <si>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</si>
  <si>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</si>
  <si>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</si>
  <si>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</si>
  <si>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</si>
  <si>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</si>
  <si>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</si>
  <si>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</si>
  <si>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</si>
  <si>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</si>
  <si>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</si>
  <si>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</si>
  <si>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</si>
  <si>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</si>
  <si>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</si>
  <si>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</si>
  <si>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</si>
  <si>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</si>
  <si>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</si>
  <si>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</si>
  <si>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</si>
  <si>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</si>
  <si>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</si>
  <si>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</si>
  <si>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</si>
  <si>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</si>
  <si>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</si>
  <si>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</si>
  <si>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</si>
  <si>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</si>
  <si>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</si>
  <si>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</si>
  <si>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</si>
  <si>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</si>
  <si>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</si>
  <si>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</si>
  <si>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</si>
  <si>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</si>
  <si>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</si>
  <si>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</si>
  <si>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</si>
  <si>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</si>
  <si>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</si>
  <si>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</si>
  <si>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</si>
  <si>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</si>
  <si>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</si>
  <si>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</si>
  <si>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</si>
  <si>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</si>
  <si>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</si>
  <si>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</si>
  <si>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</si>
  <si>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</si>
  <si>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</si>
  <si>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</si>
  <si>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</si>
  <si>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</si>
  <si>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</si>
  <si>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</si>
  <si>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</si>
  <si>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</si>
  <si>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</si>
  <si>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</si>
  <si>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</si>
  <si>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</si>
  <si>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</si>
  <si>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</si>
  <si>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</si>
  <si>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</si>
  <si>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</si>
  <si>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</si>
  <si>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</si>
  <si>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</si>
  <si>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</si>
  <si>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</si>
  <si>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</si>
  <si>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</si>
  <si>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</si>
  <si>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</si>
  <si>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</si>
  <si>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</si>
  <si>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</si>
  <si>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</si>
  <si>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</si>
  <si>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</si>
  <si>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</si>
  <si>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</si>
  <si>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</si>
  <si>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</si>
  <si>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</si>
  <si>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</si>
  <si>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</si>
  <si>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</si>
  <si>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</si>
  <si>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</si>
  <si>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</si>
  <si>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</si>
  <si>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</si>
  <si>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</si>
  <si>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</si>
  <si>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</si>
  <si>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</si>
  <si>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</si>
  <si>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</si>
  <si>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</si>
  <si>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</si>
  <si>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</si>
  <si>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</si>
  <si>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</si>
  <si>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</si>
  <si>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</si>
  <si>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</si>
  <si>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</si>
  <si>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</si>
  <si>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</si>
  <si>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</si>
  <si>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</si>
  <si>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</si>
  <si>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</si>
  <si>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</si>
  <si>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</si>
  <si>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</si>
  <si>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</si>
  <si>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</si>
  <si>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</si>
  <si>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</si>
  <si>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</si>
  <si>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</si>
  <si>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</si>
  <si>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</si>
  <si>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</si>
  <si>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</si>
  <si>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</si>
  <si>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</si>
  <si>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</si>
  <si>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</si>
  <si>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</si>
  <si>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</si>
  <si>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</si>
  <si>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</si>
  <si>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</si>
  <si>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</si>
  <si>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</si>
  <si>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</si>
  <si>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</si>
  <si>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</si>
  <si>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</si>
  <si>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</si>
  <si>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</si>
  <si>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</si>
  <si>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</si>
  <si>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</si>
  <si>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</si>
  <si>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</si>
  <si>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</si>
  <si>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</si>
  <si>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</si>
  <si>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</si>
  <si>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</si>
  <si>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</si>
  <si>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</si>
  <si>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</si>
  <si>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</si>
  <si>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</si>
  <si>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</si>
  <si>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</si>
  <si>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</si>
  <si>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</si>
  <si>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</si>
  <si>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</si>
  <si>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</si>
  <si>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</si>
  <si>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</si>
  <si>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</si>
  <si>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</si>
  <si>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</si>
  <si>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</si>
  <si>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</si>
  <si>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</si>
  <si>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</si>
  <si>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</si>
  <si>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</si>
  <si>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</si>
  <si>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</si>
  <si>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</si>
  <si>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</si>
  <si>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</si>
  <si>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</si>
  <si>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</si>
  <si>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</si>
  <si>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</si>
  <si>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</si>
  <si>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</si>
  <si>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</si>
  <si>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</si>
  <si>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</si>
  <si>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</si>
  <si>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</si>
  <si>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</si>
  <si>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</si>
  <si>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</si>
  <si>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</si>
  <si>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</si>
  <si>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</si>
  <si>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</si>
  <si>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</si>
  <si>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</si>
  <si>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</si>
  <si>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</si>
  <si>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</si>
  <si>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</si>
  <si>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</si>
  <si>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</si>
  <si>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</si>
  <si>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</si>
  <si>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</si>
  <si>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</si>
  <si>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</si>
  <si>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</si>
  <si>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</si>
  <si>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</si>
  <si>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</si>
  <si>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</si>
  <si>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</si>
  <si>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</si>
  <si>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</si>
  <si>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</si>
  <si>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</si>
  <si>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</si>
  <si>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</si>
  <si>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</si>
  <si>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</si>
  <si>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</si>
  <si>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</si>
  <si>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</si>
  <si>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</si>
  <si>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</si>
  <si>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</si>
  <si>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</si>
  <si>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</si>
  <si>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</si>
  <si>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</si>
  <si>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</si>
  <si>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</si>
  <si>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</si>
  <si>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</si>
  <si>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</si>
  <si>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</si>
  <si>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</si>
  <si>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</si>
  <si>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</si>
  <si>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</si>
  <si>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</si>
  <si>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</si>
  <si>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</si>
  <si>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</si>
  <si>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</si>
  <si>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</si>
  <si>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</si>
  <si>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</si>
  <si>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</si>
  <si>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</si>
  <si>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</si>
  <si>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</si>
  <si>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</si>
  <si>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</si>
  <si>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</si>
  <si>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</si>
  <si>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</si>
  <si>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</si>
  <si>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</si>
  <si>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</si>
  <si>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</si>
  <si>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</si>
  <si>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</si>
  <si>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</si>
  <si>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</si>
  <si>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</si>
  <si>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</si>
  <si>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</si>
  <si>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</si>
  <si>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</si>
  <si>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</si>
  <si>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</si>
  <si>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</si>
  <si>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</si>
  <si>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</si>
  <si>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</si>
  <si>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</si>
  <si>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</si>
  <si>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</si>
  <si>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</si>
  <si>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</si>
  <si>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</si>
  <si>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</si>
  <si>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</si>
  <si>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</si>
  <si>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</si>
  <si>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</si>
  <si>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</si>
  <si>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</si>
  <si>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</si>
  <si>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</si>
  <si>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</si>
  <si>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</si>
  <si>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</si>
  <si>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</si>
  <si>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</si>
  <si>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</si>
  <si>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</si>
  <si>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</si>
  <si>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</si>
  <si>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</si>
  <si>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</si>
  <si>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</si>
  <si>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</si>
  <si>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</si>
  <si>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</si>
  <si>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</si>
  <si>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</si>
  <si>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</si>
  <si>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</si>
  <si>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</si>
  <si>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</si>
  <si>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</si>
  <si>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</si>
  <si>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</si>
  <si>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</si>
  <si>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</si>
  <si>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</si>
  <si>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</si>
  <si>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</si>
  <si>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</si>
  <si>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</si>
  <si>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</si>
  <si>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</si>
  <si>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</si>
  <si>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</si>
  <si>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</si>
  <si>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</si>
  <si>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</si>
  <si>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</si>
  <si>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</si>
  <si>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</si>
  <si>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</si>
  <si>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</si>
  <si>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</si>
  <si>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</si>
  <si>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</si>
  <si>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</si>
  <si>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</si>
  <si>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</si>
  <si>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</si>
  <si>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</si>
  <si>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</si>
  <si>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</si>
  <si>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</si>
  <si>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</si>
  <si>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</si>
  <si>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</si>
  <si>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</si>
  <si>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</si>
  <si>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</si>
  <si>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</si>
  <si>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</si>
  <si>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</si>
  <si>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</si>
  <si>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</si>
  <si>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</si>
  <si>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</si>
  <si>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</si>
  <si>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</si>
  <si>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</si>
  <si>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</si>
  <si>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</si>
  <si>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</si>
  <si>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</si>
  <si>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</si>
  <si>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</si>
  <si>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</si>
  <si>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</si>
  <si>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</si>
  <si>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</si>
  <si>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</si>
  <si>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</si>
  <si>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</si>
  <si>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</si>
  <si>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</si>
  <si>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</si>
  <si>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</si>
  <si>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</si>
  <si>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</si>
  <si>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</si>
  <si>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</si>
  <si>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</si>
  <si>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</si>
  <si>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</si>
  <si>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</si>
  <si>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</si>
  <si>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</si>
  <si>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</si>
  <si>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</si>
  <si>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</si>
  <si>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</si>
  <si>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</si>
  <si>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</si>
  <si>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</si>
  <si>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</si>
  <si>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</si>
  <si>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</si>
  <si>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</si>
  <si>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</si>
  <si>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</si>
  <si>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</si>
  <si>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</si>
  <si>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</si>
  <si>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</si>
  <si>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</si>
  <si>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</si>
  <si>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</si>
  <si>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</si>
  <si>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</si>
  <si>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</si>
  <si>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</si>
  <si>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</si>
  <si>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</si>
  <si>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</si>
  <si>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</si>
  <si>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</si>
  <si>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</si>
  <si>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</si>
  <si>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</si>
  <si>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</si>
  <si>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</si>
  <si>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</si>
  <si>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</si>
  <si>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</si>
  <si>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</si>
  <si>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</si>
  <si>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</si>
  <si>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</si>
  <si>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</si>
  <si>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</si>
  <si>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</si>
  <si>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</si>
  <si>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</si>
  <si>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</si>
  <si>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</si>
  <si>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</si>
  <si>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</si>
  <si>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</si>
  <si>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</si>
  <si>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</si>
  <si>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</si>
  <si>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</si>
  <si>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</si>
  <si>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</si>
  <si>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</si>
  <si>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</si>
  <si>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</si>
  <si>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</si>
  <si>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</si>
  <si>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</si>
  <si>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</si>
  <si>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</si>
  <si>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</si>
  <si>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</si>
  <si>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</si>
  <si>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</si>
  <si>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</si>
  <si>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</si>
  <si>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</si>
  <si>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</si>
  <si>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</si>
  <si>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</si>
  <si>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</si>
  <si>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</si>
  <si>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</si>
  <si>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</si>
  <si>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</si>
  <si>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</si>
  <si>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</si>
  <si>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</si>
  <si>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</si>
  <si>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</si>
  <si>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</si>
  <si>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</si>
  <si>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</si>
  <si>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</si>
  <si>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</si>
  <si>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</si>
  <si>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</si>
  <si>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</si>
  <si>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</si>
  <si>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</si>
  <si>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</si>
  <si>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</si>
  <si>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</si>
  <si>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</si>
  <si>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</si>
  <si>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</si>
  <si>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</si>
  <si>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</si>
  <si>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</si>
  <si>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</si>
  <si>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</si>
  <si>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</si>
  <si>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</si>
  <si>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</si>
  <si>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</si>
  <si>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</si>
  <si>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</si>
  <si>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</si>
  <si>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</si>
  <si>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</si>
  <si>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</si>
  <si>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</si>
  <si>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</si>
  <si>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</si>
  <si>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</si>
  <si>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</si>
  <si>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</si>
  <si>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</si>
  <si>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</si>
  <si>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</si>
  <si>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</si>
  <si>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</si>
  <si>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</si>
  <si>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</si>
  <si>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</si>
  <si>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</si>
  <si>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</si>
  <si>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</si>
  <si>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</si>
  <si>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</si>
  <si>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</si>
  <si>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</si>
  <si>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</si>
  <si>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</si>
  <si>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</si>
  <si>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</si>
  <si>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</si>
  <si>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</si>
  <si>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</si>
  <si>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</si>
  <si>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</si>
  <si>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</si>
  <si>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</si>
  <si>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</si>
  <si>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</si>
  <si>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</si>
  <si>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</si>
  <si>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</si>
  <si>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</si>
  <si>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</si>
  <si>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</si>
  <si>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</si>
  <si>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</si>
  <si>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</si>
  <si>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</si>
  <si>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</si>
  <si>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</si>
  <si>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</si>
  <si>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</si>
  <si>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</si>
  <si>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</si>
  <si>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</si>
  <si>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</si>
  <si>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</si>
  <si>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</si>
  <si>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</si>
  <si>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</si>
  <si>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</si>
  <si>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</si>
  <si>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</si>
  <si>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</si>
  <si>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</si>
  <si>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</si>
  <si>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</si>
  <si>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</si>
  <si>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</si>
  <si>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</si>
  <si>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</si>
  <si>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</si>
  <si>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</si>
  <si>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</si>
  <si>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</si>
  <si>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</si>
  <si>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</si>
  <si>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</si>
  <si>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</si>
  <si>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</si>
  <si>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</si>
  <si>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</si>
  <si>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</si>
  <si>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</si>
  <si>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</si>
  <si>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</si>
  <si>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</si>
  <si>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</si>
  <si>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</si>
  <si>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</si>
  <si>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</si>
  <si>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</si>
  <si>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</si>
  <si>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</si>
  <si>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</si>
  <si>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</si>
  <si>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</si>
  <si>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</si>
  <si>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</si>
  <si>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</si>
  <si>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</si>
  <si>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</si>
  <si>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</si>
  <si>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</si>
  <si>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</si>
  <si>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</si>
  <si>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</si>
  <si>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</si>
  <si>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</si>
  <si>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</si>
  <si>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</si>
  <si>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</si>
  <si>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</si>
  <si>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</si>
  <si>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</si>
  <si>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</si>
  <si>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</si>
  <si>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</si>
  <si>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</si>
  <si>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</si>
  <si>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</si>
  <si>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</si>
  <si>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</si>
  <si>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</si>
  <si>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</si>
  <si>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</si>
  <si>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</si>
  <si>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</si>
  <si>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</si>
  <si>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</si>
  <si>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</si>
  <si>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</si>
  <si>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</si>
  <si>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</si>
  <si>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</si>
  <si>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</si>
  <si>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</si>
  <si>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</si>
  <si>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</si>
  <si>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</si>
  <si>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</si>
  <si>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</si>
  <si>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</si>
  <si>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</si>
  <si>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</si>
  <si>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</si>
  <si>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</si>
  <si>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</si>
  <si>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</si>
  <si>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</si>
  <si>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</si>
  <si>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</si>
  <si>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</si>
  <si>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</si>
  <si>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</si>
  <si>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</si>
  <si>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</si>
  <si>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</si>
  <si>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</si>
  <si>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</si>
  <si>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</si>
  <si>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</si>
  <si>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</si>
  <si>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</si>
  <si>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</si>
  <si>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</si>
  <si>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</si>
  <si>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</si>
  <si>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</si>
  <si>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</si>
  <si>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</si>
  <si>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</si>
  <si>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</si>
  <si>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</si>
  <si>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</si>
  <si>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</si>
  <si>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</si>
  <si>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</si>
  <si>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</si>
  <si>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</si>
  <si>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</si>
  <si>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</si>
  <si>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</si>
  <si>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</si>
  <si>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</si>
  <si>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</si>
  <si>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</si>
  <si>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</si>
  <si>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</si>
  <si>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</si>
  <si>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</si>
  <si>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</si>
  <si>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</si>
  <si>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</si>
  <si>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</si>
  <si>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</si>
  <si>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</si>
  <si>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</si>
  <si>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</si>
  <si>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</si>
  <si>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</si>
  <si>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</si>
  <si>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</si>
  <si>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</si>
  <si>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</si>
  <si>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</si>
  <si>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</si>
  <si>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</si>
  <si>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</si>
  <si>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</si>
  <si>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</si>
  <si>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</si>
  <si>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</si>
  <si>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</si>
  <si>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</si>
  <si>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</si>
  <si>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</si>
  <si>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</si>
  <si>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</si>
  <si>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</si>
  <si>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</si>
  <si>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</si>
  <si>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</si>
  <si>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</si>
  <si>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</si>
  <si>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</si>
  <si>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</si>
  <si>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</si>
  <si>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</si>
  <si>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</si>
  <si>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</si>
  <si>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</si>
  <si>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</si>
  <si>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</si>
  <si>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</si>
  <si>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</si>
  <si>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</si>
  <si>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</si>
  <si>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</si>
  <si>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</si>
  <si>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</si>
  <si>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</si>
  <si>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</si>
  <si>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</si>
  <si>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</si>
  <si>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</si>
  <si>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</si>
  <si>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</si>
  <si>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</si>
  <si>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</si>
  <si>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</si>
  <si>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</si>
  <si>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</si>
  <si>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</si>
  <si>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</si>
  <si>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</si>
  <si>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</si>
  <si>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</si>
  <si>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</si>
  <si>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</si>
  <si>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</si>
  <si>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</si>
  <si>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</si>
  <si>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</si>
  <si>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</si>
  <si>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</si>
  <si>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</si>
  <si>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</si>
  <si>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</si>
  <si>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</si>
  <si>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</si>
  <si>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</si>
  <si>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</si>
  <si>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</si>
  <si>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</si>
  <si>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</si>
  <si>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</si>
  <si>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</si>
  <si>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</si>
  <si>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</si>
  <si>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</si>
  <si>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</si>
  <si>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</si>
  <si>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</si>
  <si>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</si>
  <si>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</si>
  <si>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</si>
  <si>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</si>
  <si>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</si>
  <si>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</si>
  <si>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</si>
  <si>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</si>
  <si>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</si>
  <si>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</si>
  <si>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</si>
  <si>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</si>
  <si>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</si>
  <si>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</si>
  <si>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</si>
  <si>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</si>
  <si>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</si>
  <si>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</si>
  <si>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</si>
  <si>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</si>
  <si>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</si>
  <si>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</si>
  <si>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</si>
  <si>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</si>
  <si>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</si>
  <si>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</si>
  <si>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</si>
  <si>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</si>
  <si>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</si>
  <si>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</si>
  <si>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</si>
  <si>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</si>
  <si>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</si>
  <si>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</si>
  <si>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</si>
  <si>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</si>
  <si>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</si>
  <si>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</si>
  <si>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</si>
  <si>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</si>
  <si>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</si>
  <si>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</si>
  <si>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</si>
  <si>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</si>
  <si>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</si>
  <si>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</si>
  <si>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</si>
  <si>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</si>
  <si>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</si>
  <si>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</si>
  <si>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</si>
  <si>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</si>
  <si>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</si>
  <si>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</si>
  <si>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</si>
  <si>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</si>
  <si>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</si>
  <si>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</si>
  <si>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</si>
  <si>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</si>
  <si>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</si>
  <si>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</si>
  <si>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</si>
  <si>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</si>
  <si>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</si>
  <si>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</si>
  <si>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</si>
  <si>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</si>
  <si>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</si>
  <si>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</si>
  <si>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</si>
  <si>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</si>
  <si>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</si>
  <si>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</si>
  <si>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</si>
  <si>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</si>
  <si>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</si>
  <si>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</si>
  <si>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</si>
  <si>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</si>
  <si>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</si>
  <si>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</si>
  <si>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</si>
  <si>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</si>
  <si>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</si>
  <si>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</si>
  <si>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</si>
  <si>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</si>
  <si>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</si>
  <si>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</si>
  <si>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</si>
  <si>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</si>
  <si>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</si>
  <si>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</si>
  <si>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</si>
  <si>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</si>
  <si>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</si>
  <si>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</si>
  <si>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</si>
  <si>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</si>
  <si>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</si>
  <si>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</si>
  <si>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</si>
  <si>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</si>
  <si>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</si>
  <si>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</si>
  <si>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</si>
  <si>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</si>
  <si>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</si>
  <si>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</si>
  <si>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</si>
  <si>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</si>
  <si>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</si>
  <si>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</si>
  <si>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</si>
  <si>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</si>
  <si>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</si>
  <si>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</si>
  <si>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</si>
  <si>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</si>
  <si>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</si>
  <si>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</si>
  <si>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</si>
  <si>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</si>
  <si>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</si>
  <si>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</si>
  <si>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</si>
  <si>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</si>
  <si>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</si>
  <si>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</si>
  <si>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</si>
  <si>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</si>
  <si>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</si>
  <si>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</si>
  <si>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</si>
  <si>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</si>
  <si>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</si>
  <si>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</si>
  <si>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</si>
  <si>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</si>
  <si>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</si>
  <si>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</si>
  <si>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</si>
  <si>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</si>
  <si>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</si>
  <si>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</si>
  <si>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</si>
  <si>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</si>
  <si>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</si>
  <si>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</si>
  <si>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</si>
  <si>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</si>
  <si>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</si>
  <si>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</si>
  <si>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</si>
  <si>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</si>
  <si>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</si>
  <si>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</si>
  <si>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</si>
  <si>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</si>
  <si>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</si>
  <si>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</si>
  <si>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</si>
  <si>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</si>
  <si>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</si>
  <si>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</si>
  <si>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</si>
  <si>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</si>
  <si>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</si>
  <si>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</si>
  <si>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</si>
  <si>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</si>
  <si>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</si>
  <si>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</si>
  <si>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</si>
  <si>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</si>
  <si>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</si>
  <si>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</si>
  <si>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</si>
  <si>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</si>
  <si>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</si>
  <si>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</si>
  <si>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</si>
  <si>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</si>
  <si>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</si>
  <si>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</si>
  <si>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</si>
  <si>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</si>
  <si>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</si>
  <si>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</si>
  <si>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</si>
  <si>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</si>
  <si>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</si>
  <si>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</si>
  <si>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</si>
  <si>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</si>
  <si>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</si>
  <si>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</si>
  <si>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</si>
  <si>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</si>
  <si>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</si>
  <si>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</si>
  <si>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</si>
  <si>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</si>
  <si>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</si>
  <si>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</si>
  <si>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</si>
  <si>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</si>
  <si>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</si>
  <si>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</si>
  <si>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</si>
  <si>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</si>
  <si>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</si>
  <si>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</si>
  <si>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</si>
  <si>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</si>
  <si>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</si>
  <si>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</si>
  <si>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</si>
  <si>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</si>
  <si>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</si>
  <si>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</si>
  <si>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</si>
  <si>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</si>
  <si>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</si>
  <si>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</si>
  <si>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</si>
  <si>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</si>
  <si>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</si>
  <si>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</si>
  <si>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</si>
  <si>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</si>
  <si>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</si>
  <si>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</si>
  <si>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</si>
  <si>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</si>
  <si>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</si>
  <si>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</si>
  <si>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</si>
  <si>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</si>
  <si>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</si>
  <si>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</si>
  <si>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</si>
  <si>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</si>
  <si>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</si>
  <si>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</si>
  <si>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</si>
  <si>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</si>
  <si>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</si>
  <si>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</si>
  <si>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</si>
  <si>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</si>
  <si>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</si>
  <si>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</si>
  <si>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</si>
  <si>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</si>
  <si>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</si>
  <si>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</si>
  <si>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</si>
  <si>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</si>
  <si>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</si>
  <si>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</si>
  <si>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</si>
  <si>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</si>
  <si>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</si>
  <si>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</si>
  <si>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</si>
  <si>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</si>
  <si>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</si>
  <si>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</si>
  <si>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</si>
  <si>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</si>
  <si>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</si>
  <si>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</si>
  <si>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</si>
  <si>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</si>
  <si>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</si>
  <si>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</si>
  <si>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</si>
  <si>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</si>
  <si>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</si>
  <si>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</si>
  <si>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</si>
  <si>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</si>
  <si>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</si>
  <si>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</si>
  <si>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</si>
  <si>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</si>
  <si>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</si>
  <si>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</si>
  <si>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</si>
  <si>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</si>
  <si>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</si>
  <si>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</si>
  <si>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</si>
  <si>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</si>
  <si>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</si>
  <si>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</si>
  <si>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</si>
  <si>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</si>
  <si>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</si>
  <si>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</si>
  <si>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</si>
  <si>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</si>
  <si>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</si>
  <si>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</si>
  <si>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</si>
  <si>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</si>
  <si>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</si>
  <si>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</si>
  <si>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</si>
  <si>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</si>
  <si>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</si>
  <si>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</si>
  <si>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</si>
  <si>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</si>
  <si>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</si>
  <si>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</si>
  <si>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</si>
  <si>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</si>
  <si>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</si>
  <si>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</si>
  <si>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</si>
  <si>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</si>
  <si>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</si>
  <si>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</si>
  <si>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</si>
  <si>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</si>
  <si>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</si>
  <si>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</si>
  <si>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</si>
  <si>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</si>
  <si>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</si>
  <si>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</si>
  <si>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</si>
  <si>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</si>
  <si>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</si>
  <si>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</si>
  <si>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</si>
  <si>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</si>
  <si>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</si>
  <si>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</si>
  <si>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</si>
  <si>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</si>
  <si>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</si>
  <si>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</si>
  <si>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</si>
  <si>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</si>
  <si>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</si>
  <si>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</si>
  <si>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</si>
  <si>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</si>
  <si>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</si>
  <si>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</si>
  <si>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</si>
  <si>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</si>
  <si>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</si>
  <si>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</si>
  <si>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</si>
  <si>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</si>
  <si>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</si>
  <si>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</si>
  <si>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</si>
  <si>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</si>
  <si>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</si>
  <si>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</si>
  <si>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</si>
  <si>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</si>
  <si>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</si>
  <si>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</si>
  <si>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</si>
  <si>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</si>
  <si>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</si>
  <si>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</si>
  <si>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</si>
  <si>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</si>
  <si>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</si>
  <si>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</si>
  <si>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</si>
  <si>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</si>
  <si>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</si>
  <si>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</si>
  <si>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</si>
  <si>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</si>
  <si>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</si>
  <si>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</si>
  <si>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</si>
  <si>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</si>
  <si>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</si>
  <si>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</si>
  <si>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</si>
  <si>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</si>
  <si>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</si>
  <si>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</si>
  <si>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</si>
  <si>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</si>
  <si>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</si>
  <si>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</si>
  <si>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</si>
  <si>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</si>
  <si>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</si>
  <si>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</si>
  <si>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</si>
  <si>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</si>
  <si>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</si>
  <si>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</si>
  <si>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</si>
  <si>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</si>
  <si>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</si>
  <si>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</si>
  <si>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</si>
  <si>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</si>
  <si>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</si>
  <si>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</si>
  <si>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</si>
  <si>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</si>
  <si>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</si>
  <si>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</si>
  <si>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</si>
  <si>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</si>
  <si>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</si>
  <si>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</si>
  <si>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</si>
  <si>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</si>
  <si>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</si>
  <si>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</si>
  <si>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</si>
  <si>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</si>
  <si>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</si>
  <si>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</si>
  <si>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</si>
  <si>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</si>
  <si>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</si>
  <si>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</si>
  <si>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</si>
  <si>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</si>
  <si>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</si>
  <si>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</si>
  <si>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</si>
  <si>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</si>
  <si>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</si>
  <si>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</si>
  <si>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</si>
  <si>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</si>
  <si>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</si>
  <si>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</si>
  <si>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</si>
  <si>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</si>
  <si>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</si>
  <si>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</si>
  <si>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</si>
  <si>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</si>
  <si>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</si>
  <si>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</si>
  <si>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</si>
  <si>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</si>
  <si>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</si>
  <si>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</si>
  <si>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</si>
  <si>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</si>
  <si>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</si>
  <si>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</si>
  <si>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</si>
  <si>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</si>
  <si>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</si>
  <si>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</si>
  <si>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</si>
  <si>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</si>
  <si>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</si>
  <si>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</si>
  <si>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</si>
  <si>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</si>
  <si>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</si>
  <si>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</si>
  <si>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</si>
  <si>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</si>
  <si>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</si>
  <si>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</si>
  <si>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</si>
  <si>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</si>
  <si>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</si>
  <si>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</si>
  <si>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</si>
  <si>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</si>
  <si>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</si>
  <si>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</si>
  <si>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</si>
  <si>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</si>
  <si>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</si>
  <si>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</si>
  <si>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</si>
  <si>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</si>
  <si>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</si>
  <si>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</si>
  <si>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</si>
  <si>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</si>
  <si>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</si>
  <si>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</si>
  <si>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</si>
  <si>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</si>
  <si>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</si>
  <si>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</si>
  <si>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</si>
  <si>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</si>
  <si>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</si>
  <si>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</si>
  <si>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</si>
  <si>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</si>
  <si>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</si>
  <si>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</si>
  <si>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</si>
  <si>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</si>
  <si>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</si>
  <si>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</si>
  <si>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</si>
  <si>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</si>
  <si>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</si>
  <si>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</si>
  <si>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</si>
  <si>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</si>
  <si>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</si>
  <si>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</si>
  <si>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</si>
  <si>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</si>
  <si>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</si>
  <si>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</si>
  <si>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</si>
  <si>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</si>
  <si>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</si>
  <si>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</si>
  <si>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</si>
  <si>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</si>
  <si>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</si>
  <si>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</si>
  <si>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</si>
  <si>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</si>
  <si>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</si>
  <si>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</si>
  <si>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</si>
  <si>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</si>
  <si>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</si>
  <si>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</si>
  <si>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</si>
  <si>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</si>
  <si>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</si>
  <si>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</si>
  <si>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</si>
  <si>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</si>
  <si>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</si>
  <si>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</si>
  <si>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</si>
  <si>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</si>
  <si>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</si>
  <si>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</si>
  <si>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</si>
  <si>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</si>
  <si>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</si>
  <si>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</si>
  <si>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</si>
  <si>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</si>
  <si>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</si>
  <si>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</si>
  <si>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</si>
  <si>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</si>
  <si>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</si>
  <si>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</si>
  <si>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</si>
  <si>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</si>
  <si>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</si>
  <si>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</si>
  <si>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</si>
  <si>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</si>
  <si>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</si>
  <si>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</si>
  <si>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</si>
  <si>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</si>
  <si>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</si>
  <si>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</si>
  <si>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</si>
  <si>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</si>
  <si>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</si>
  <si>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</si>
  <si>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</si>
  <si>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</si>
  <si>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</si>
  <si>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</si>
  <si>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</si>
  <si>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</si>
  <si>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</si>
  <si>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</si>
  <si>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</si>
  <si>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</si>
  <si>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</si>
  <si>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</si>
  <si>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</si>
  <si>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</si>
  <si>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</si>
  <si>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</si>
  <si>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</si>
  <si>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</si>
  <si>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</si>
  <si>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</si>
  <si>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</si>
  <si>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</si>
  <si>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</si>
  <si>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</si>
  <si>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</si>
  <si>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</si>
  <si>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</si>
  <si>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</si>
  <si>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</si>
  <si>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</si>
  <si>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</si>
  <si>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</si>
  <si>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</si>
  <si>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</si>
  <si>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</si>
  <si>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</si>
  <si>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</si>
  <si>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</si>
  <si>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</si>
  <si>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</si>
  <si>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</si>
  <si>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</si>
  <si>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</si>
  <si>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</si>
  <si>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</si>
  <si>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</si>
  <si>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</si>
  <si>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</si>
  <si>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</si>
  <si>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</si>
  <si>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</si>
  <si>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</si>
  <si>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</si>
  <si>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</si>
  <si>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</si>
  <si>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</si>
  <si>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</si>
  <si>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</si>
  <si>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</si>
  <si>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</si>
  <si>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</si>
  <si>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</si>
  <si>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</si>
  <si>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</si>
  <si>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</si>
  <si>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</si>
  <si>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</si>
  <si>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</si>
  <si>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</si>
  <si>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</si>
  <si>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</si>
  <si>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</si>
  <si>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</si>
  <si>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</si>
  <si>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</si>
  <si>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</si>
  <si>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</si>
  <si>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</si>
  <si>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</si>
  <si>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</si>
  <si>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</si>
  <si>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</si>
  <si>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</si>
  <si>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</si>
  <si>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</si>
  <si>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</si>
  <si>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</si>
  <si>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</si>
  <si>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</si>
  <si>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</si>
  <si>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</si>
  <si>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</si>
  <si>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</si>
  <si>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</si>
  <si>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</si>
  <si>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</si>
  <si>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</si>
  <si>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</si>
  <si>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</si>
  <si>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</si>
  <si>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</si>
  <si>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</si>
  <si>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</si>
  <si>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</si>
  <si>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</si>
  <si>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</si>
  <si>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</si>
  <si>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</si>
  <si>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</si>
  <si>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</si>
  <si>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</si>
  <si>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</si>
  <si>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</si>
  <si>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</si>
  <si>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</si>
  <si>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</si>
  <si>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</si>
  <si>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</si>
  <si>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</si>
  <si>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</si>
  <si>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</si>
  <si>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</si>
  <si>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</si>
  <si>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</si>
  <si>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</si>
  <si>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</si>
  <si>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</si>
  <si>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</si>
  <si>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</si>
  <si>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</si>
  <si>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</si>
  <si>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</si>
  <si>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</si>
  <si>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</si>
  <si>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</si>
  <si>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</si>
  <si>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</si>
  <si>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</si>
  <si>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</si>
  <si>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</si>
  <si>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</si>
  <si>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</si>
  <si>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</si>
  <si>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</si>
  <si>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</si>
  <si>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</si>
  <si>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</si>
  <si>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</si>
  <si>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</si>
  <si>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</si>
  <si>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</si>
  <si>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</si>
  <si>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</si>
  <si>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</si>
  <si>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</si>
  <si>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</si>
  <si>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</si>
  <si>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</si>
  <si>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</si>
  <si>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</si>
  <si>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</si>
  <si>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</si>
  <si>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</si>
  <si>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</si>
  <si>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</si>
  <si>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</si>
  <si>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</si>
  <si>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</si>
  <si>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</si>
  <si>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</si>
  <si>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</si>
  <si>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</si>
  <si>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</si>
  <si>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</si>
  <si>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</si>
  <si>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</si>
  <si>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</si>
  <si>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</si>
  <si>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</si>
  <si>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</si>
  <si>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</si>
  <si>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</si>
  <si>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</si>
  <si>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</si>
  <si>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</si>
  <si>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</si>
  <si>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</si>
  <si>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</si>
  <si>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</si>
  <si>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</si>
  <si>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</si>
  <si>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</si>
  <si>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</si>
  <si>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</si>
  <si>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</si>
  <si>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</si>
  <si>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</si>
  <si>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</si>
  <si>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</si>
  <si>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</si>
  <si>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</si>
  <si>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</si>
  <si>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</si>
  <si>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</si>
  <si>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</si>
  <si>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</si>
  <si>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</si>
  <si>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</si>
  <si>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</si>
  <si>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</si>
  <si>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</si>
  <si>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</si>
  <si>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</si>
  <si>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</si>
  <si>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</si>
  <si>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</si>
  <si>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</si>
  <si>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</si>
  <si>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</si>
  <si>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</si>
  <si>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</si>
  <si>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</si>
  <si>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</si>
  <si>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</si>
  <si>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</si>
  <si>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</si>
  <si>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</si>
  <si>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</si>
  <si>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</si>
  <si>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</si>
  <si>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</si>
  <si>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</si>
  <si>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</si>
  <si>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</si>
  <si>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</si>
  <si>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</si>
  <si>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</si>
  <si>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</si>
  <si>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</si>
  <si>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</si>
  <si>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</si>
  <si>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</si>
  <si>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</si>
  <si>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</si>
  <si>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</si>
  <si>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</si>
  <si>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</si>
  <si>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</si>
  <si>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</si>
  <si>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</si>
  <si>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</si>
  <si>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</si>
  <si>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</si>
  <si>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</si>
  <si>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</si>
  <si>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</si>
  <si>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</si>
  <si>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</si>
  <si>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</si>
  <si>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</si>
  <si>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</si>
  <si>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</si>
  <si>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</si>
  <si>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</si>
  <si>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</si>
  <si>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</si>
  <si>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</si>
  <si>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</si>
  <si>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</si>
  <si>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</si>
  <si>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</si>
  <si>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</si>
  <si>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</si>
  <si>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</si>
  <si>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</si>
  <si>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</si>
  <si>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</si>
  <si>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</si>
  <si>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</si>
  <si>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</si>
  <si>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</si>
  <si>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</si>
  <si>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</si>
  <si>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</si>
  <si>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</si>
  <si>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</si>
  <si>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</si>
  <si>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</si>
  <si>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</si>
  <si>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</si>
  <si>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</si>
  <si>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</si>
  <si>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</si>
  <si>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</si>
  <si>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</si>
  <si>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</si>
  <si>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</si>
  <si>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</si>
  <si>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</si>
  <si>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</si>
  <si>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</si>
  <si>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</si>
  <si>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</si>
  <si>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</si>
  <si>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</si>
  <si>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</si>
  <si>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</si>
  <si>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</si>
  <si>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</si>
  <si>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</si>
  <si>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</si>
  <si>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</si>
  <si>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</si>
  <si>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</si>
  <si>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</si>
  <si>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</si>
  <si>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</si>
  <si>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</si>
  <si>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</si>
  <si>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</si>
  <si>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</si>
  <si>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</si>
  <si>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</si>
  <si>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</si>
  <si>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</si>
  <si>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</si>
  <si>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</si>
  <si>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</si>
  <si>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</si>
  <si>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</si>
  <si>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</si>
  <si>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</si>
  <si>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</si>
  <si>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</si>
  <si>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</si>
  <si>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</si>
  <si>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</si>
  <si>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</si>
  <si>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</si>
  <si>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</si>
  <si>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</si>
  <si>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</si>
  <si>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</si>
  <si>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</si>
  <si>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</si>
  <si>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</si>
  <si>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</si>
  <si>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</si>
  <si>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</si>
  <si>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</si>
  <si>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</si>
  <si>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</si>
  <si>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</si>
  <si>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</si>
  <si>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</si>
  <si>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</si>
  <si>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</si>
  <si>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</si>
  <si>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</si>
  <si>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</si>
  <si>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</si>
  <si>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</si>
  <si>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</si>
  <si>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</si>
  <si>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</si>
  <si>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</si>
  <si>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</si>
  <si>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</si>
  <si>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</si>
  <si>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</si>
  <si>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</si>
  <si>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</si>
  <si>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</si>
  <si>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</si>
  <si>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</si>
  <si>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</si>
  <si>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</si>
  <si>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</si>
  <si>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</si>
  <si>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</si>
  <si>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</si>
  <si>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</si>
  <si>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</si>
  <si>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</si>
  <si>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</si>
  <si>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</si>
  <si>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</si>
  <si>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</si>
  <si>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</si>
  <si>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</si>
  <si>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</si>
  <si>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</si>
  <si>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</si>
  <si>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</si>
  <si>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</si>
  <si>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</si>
  <si>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</si>
  <si>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</si>
  <si>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</si>
  <si>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</si>
  <si>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</si>
  <si>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</si>
  <si>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</si>
  <si>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</si>
  <si>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</si>
  <si>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</si>
  <si>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</si>
  <si>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</si>
  <si>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</si>
  <si>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</si>
  <si>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</si>
  <si>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</si>
  <si>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</si>
  <si>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</si>
  <si>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</si>
  <si>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</si>
  <si>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</si>
  <si>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</si>
  <si>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</si>
  <si>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</si>
  <si>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</si>
  <si>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</si>
  <si>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</si>
  <si>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</si>
  <si>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</si>
  <si>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</si>
  <si>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</si>
  <si>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</si>
  <si>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</si>
  <si>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</si>
  <si>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</si>
  <si>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</si>
  <si>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</si>
  <si>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</si>
  <si>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</si>
  <si>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</si>
  <si>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</si>
  <si>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</si>
  <si>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</si>
  <si>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</si>
  <si>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</si>
  <si>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</si>
  <si>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</si>
  <si>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</si>
  <si>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</si>
  <si>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</si>
  <si>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</si>
  <si>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</si>
  <si>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</si>
  <si>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</si>
  <si>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</si>
  <si>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</si>
  <si>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</si>
  <si>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</si>
  <si>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</si>
  <si>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</si>
  <si>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</si>
  <si>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</si>
  <si>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</si>
  <si>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</si>
  <si>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</si>
  <si>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</si>
  <si>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</si>
  <si>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</si>
  <si>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</si>
  <si>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</si>
  <si>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</si>
  <si>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</si>
  <si>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</si>
  <si>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</si>
  <si>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</si>
  <si>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</si>
  <si>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</si>
  <si>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</si>
  <si>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</si>
  <si>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</si>
  <si>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</si>
  <si>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</si>
  <si>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</si>
  <si>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</si>
  <si>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</si>
  <si>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</si>
  <si>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</si>
  <si>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</si>
  <si>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</si>
  <si>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</si>
  <si>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</si>
  <si>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</si>
  <si>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</si>
  <si>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</si>
  <si>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</si>
  <si>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</si>
  <si>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</si>
  <si>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</si>
  <si>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</si>
  <si>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</si>
  <si>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</si>
  <si>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</si>
  <si>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</si>
  <si>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</si>
  <si>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</si>
  <si>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</si>
  <si>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</si>
  <si>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</si>
  <si>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</si>
  <si>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</si>
  <si>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</si>
  <si>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</si>
  <si>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</si>
  <si>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</si>
  <si>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</si>
  <si>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</si>
  <si>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</si>
  <si>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</si>
  <si>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</si>
  <si>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</si>
  <si>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</si>
  <si>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</si>
  <si>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</si>
  <si>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</si>
  <si>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</si>
  <si>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</si>
  <si>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</si>
  <si>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</si>
  <si>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</si>
  <si>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</si>
  <si>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</si>
  <si>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</si>
  <si>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</si>
  <si>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</si>
  <si>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</si>
  <si>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</si>
  <si>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</si>
  <si>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</si>
  <si>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</si>
  <si>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</si>
  <si>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</si>
  <si>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</si>
  <si>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</si>
  <si>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</si>
  <si>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</si>
  <si>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</si>
  <si>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</si>
  <si>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</si>
  <si>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</si>
  <si>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</si>
  <si>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</si>
  <si>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</si>
  <si>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</si>
  <si>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</si>
  <si>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</si>
  <si>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</si>
  <si>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</si>
  <si>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</si>
  <si>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</si>
  <si>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</si>
  <si>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</si>
  <si>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</si>
  <si>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</si>
  <si>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</si>
  <si>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</si>
  <si>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</si>
  <si>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</si>
  <si>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</si>
  <si>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</si>
  <si>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</si>
  <si>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</si>
  <si>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</si>
  <si>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</si>
  <si>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</si>
  <si>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</si>
  <si>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</si>
  <si>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</si>
  <si>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</si>
  <si>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</si>
  <si>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</si>
  <si>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</si>
  <si>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</si>
  <si>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</si>
  <si>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</si>
  <si>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</si>
  <si>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</si>
  <si>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</si>
  <si>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</si>
  <si>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</si>
  <si>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</si>
  <si>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</si>
  <si>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</si>
  <si>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</si>
  <si>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</si>
  <si>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</si>
  <si>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</si>
  <si>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</si>
  <si>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</si>
  <si>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</si>
  <si>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</si>
  <si>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</si>
  <si>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</si>
  <si>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</si>
  <si>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</si>
  <si>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</si>
  <si>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</si>
  <si>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</si>
  <si>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</si>
  <si>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</si>
  <si>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</si>
  <si>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</si>
  <si>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</si>
  <si>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</si>
  <si>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</si>
  <si>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</si>
  <si>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</si>
  <si>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</si>
  <si>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</si>
  <si>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</si>
  <si>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</si>
  <si>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</si>
  <si>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</si>
  <si>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</si>
  <si>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</si>
  <si>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</si>
  <si>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</si>
  <si>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</si>
  <si>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</si>
  <si>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</si>
  <si>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</si>
  <si>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</si>
  <si>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</si>
  <si>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</si>
  <si>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</si>
  <si>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</si>
  <si>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</si>
  <si>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</si>
  <si>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</si>
  <si>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</si>
  <si>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</si>
  <si>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</si>
  <si>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</si>
  <si>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</si>
  <si>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</si>
  <si>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</si>
  <si>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</si>
  <si>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</si>
  <si>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</si>
  <si>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</si>
  <si>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</si>
  <si>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</si>
  <si>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</si>
  <si>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</si>
  <si>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</si>
  <si>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</si>
  <si>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</si>
  <si>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</si>
  <si>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</si>
  <si>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</si>
  <si>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</si>
  <si>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</si>
  <si>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</si>
  <si>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</si>
  <si>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</si>
  <si>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</si>
  <si>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</si>
  <si>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</si>
  <si>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</si>
  <si>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</si>
  <si>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</si>
  <si>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</si>
  <si>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</si>
  <si>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</si>
  <si>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</si>
  <si>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</si>
  <si>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</si>
  <si>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</si>
  <si>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</si>
  <si>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</si>
  <si>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</si>
  <si>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</si>
  <si>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</si>
  <si>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</si>
  <si>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</si>
  <si>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</si>
  <si>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</si>
  <si>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</si>
  <si>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</si>
  <si>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</si>
  <si>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</si>
  <si>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</si>
  <si>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</si>
  <si>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</si>
  <si>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</si>
  <si>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</si>
  <si>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</si>
  <si>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</si>
  <si>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</si>
  <si>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</si>
  <si>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</si>
  <si>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</si>
  <si>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</si>
  <si>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</si>
  <si>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</si>
  <si>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</si>
  <si>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</si>
  <si>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</si>
  <si>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</si>
  <si>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</si>
  <si>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</si>
  <si>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</si>
  <si>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</si>
  <si>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</si>
  <si>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</si>
  <si>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</si>
  <si>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</si>
  <si>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</si>
  <si>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</si>
  <si>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</si>
  <si>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</si>
  <si>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</si>
  <si>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</si>
  <si>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</si>
  <si>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</si>
  <si>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</si>
  <si>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</si>
  <si>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</si>
  <si>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</si>
  <si>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</si>
  <si>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</si>
  <si>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</si>
  <si>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</si>
  <si>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</si>
  <si>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</si>
  <si>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</si>
  <si>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</si>
  <si>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</si>
  <si>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</si>
  <si>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</si>
  <si>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</si>
  <si>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</si>
  <si>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</si>
  <si>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</si>
  <si>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</si>
  <si>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</si>
  <si>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</si>
  <si>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</si>
  <si>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</si>
  <si>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</si>
  <si>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</si>
  <si>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</si>
  <si>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</si>
  <si>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</si>
  <si>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</si>
  <si>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</si>
  <si>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</si>
  <si>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</si>
  <si>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</si>
  <si>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</si>
  <si>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</si>
  <si>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</si>
  <si>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</si>
  <si>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</si>
  <si>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</si>
  <si>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</si>
  <si>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</si>
  <si>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</si>
  <si>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</si>
  <si>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</si>
  <si>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</si>
  <si>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</si>
  <si>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</si>
  <si>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</si>
  <si>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</si>
  <si>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</si>
  <si>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</si>
  <si>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</si>
  <si>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</si>
  <si>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</si>
  <si>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</si>
  <si>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</si>
  <si>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</si>
  <si>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</si>
  <si>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</si>
  <si>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</si>
  <si>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</si>
  <si>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</si>
  <si>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</si>
  <si>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</si>
  <si>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</si>
  <si>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</si>
  <si>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</si>
  <si>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</si>
  <si>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</si>
  <si>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</si>
  <si>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</si>
  <si>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</si>
  <si>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</si>
  <si>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</si>
  <si>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</si>
  <si>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</si>
  <si>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</si>
  <si>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</si>
  <si>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</si>
  <si>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</si>
  <si>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</si>
  <si>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</si>
  <si>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</si>
  <si>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</si>
  <si>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</si>
  <si>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</si>
  <si>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</si>
  <si>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</si>
  <si>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</si>
  <si>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</si>
  <si>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</si>
  <si>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</si>
  <si>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</si>
  <si>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</si>
  <si>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</si>
  <si>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</si>
  <si>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</si>
  <si>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</si>
  <si>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</si>
  <si>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</si>
  <si>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</si>
  <si>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</si>
  <si>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</si>
  <si>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</si>
  <si>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</si>
  <si>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</si>
  <si>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</si>
  <si>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</si>
  <si>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</si>
  <si>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</si>
  <si>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</si>
  <si>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</si>
  <si>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</si>
  <si>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</si>
  <si>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</si>
  <si>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</si>
  <si>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</si>
  <si>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</si>
  <si>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</si>
  <si>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</si>
  <si>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</si>
  <si>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</si>
  <si>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</si>
  <si>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</si>
  <si>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</si>
  <si>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</si>
  <si>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</si>
  <si>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</si>
  <si>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</si>
  <si>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</si>
  <si>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</si>
  <si>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</si>
  <si>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</si>
  <si>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</si>
  <si>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</si>
  <si>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</si>
  <si>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</si>
  <si>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</si>
  <si>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</si>
  <si>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</si>
  <si>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</si>
  <si>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</si>
  <si>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</si>
  <si>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</si>
  <si>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</si>
  <si>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</si>
  <si>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</si>
  <si>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</si>
  <si>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</si>
  <si>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</si>
  <si>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</si>
  <si>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</si>
  <si>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</si>
  <si>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</si>
  <si>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</si>
  <si>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</si>
  <si>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</si>
  <si>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</si>
  <si>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</si>
  <si>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</si>
  <si>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</si>
  <si>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</si>
  <si>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</si>
  <si>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</si>
  <si>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</si>
  <si>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</si>
  <si>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</si>
  <si>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</si>
  <si>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</si>
  <si>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</si>
  <si>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</si>
  <si>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</si>
  <si>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</si>
  <si>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</si>
  <si>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</si>
  <si>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</si>
  <si>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</si>
  <si>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</si>
  <si>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</si>
  <si>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</si>
  <si>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</si>
  <si>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</si>
  <si>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</si>
  <si>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</si>
  <si>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</si>
  <si>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</si>
  <si>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</si>
  <si>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</si>
  <si>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</si>
  <si>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</si>
  <si>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</si>
  <si>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</si>
  <si>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</si>
  <si>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</si>
  <si>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</si>
  <si>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</si>
  <si>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</si>
  <si>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</si>
  <si>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</si>
  <si>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</si>
  <si>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</si>
  <si>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</si>
  <si>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</si>
  <si>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</si>
  <si>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</si>
  <si>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</si>
  <si>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</si>
  <si>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</si>
  <si>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</si>
  <si>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</si>
  <si>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</si>
  <si>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</si>
  <si>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</si>
  <si>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</si>
  <si>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</si>
  <si>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</si>
  <si>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</si>
  <si>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</si>
  <si>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</si>
  <si>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</si>
  <si>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</si>
  <si>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</si>
  <si>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</si>
  <si>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</si>
  <si>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</si>
  <si>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</si>
  <si>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</si>
  <si>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</si>
  <si>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</si>
  <si>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</si>
  <si>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</si>
  <si>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</si>
  <si>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</si>
  <si>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</si>
  <si>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</si>
  <si>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</si>
  <si>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</si>
  <si>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</si>
  <si>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</si>
  <si>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</si>
  <si>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</si>
  <si>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</si>
  <si>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</si>
  <si>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</si>
  <si>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</si>
  <si>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</si>
  <si>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</si>
  <si>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</si>
  <si>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</si>
  <si>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</si>
  <si>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</si>
  <si>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</si>
  <si>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</si>
  <si>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</si>
  <si>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</si>
  <si>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</si>
  <si>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</si>
  <si>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</si>
  <si>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</si>
  <si>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</si>
  <si>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</si>
  <si>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</si>
  <si>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</si>
  <si>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</si>
  <si>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</si>
  <si>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</si>
  <si>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</si>
  <si>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</si>
  <si>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</si>
  <si>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</si>
  <si>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</si>
  <si>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</si>
  <si>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</si>
  <si>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</si>
  <si>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</si>
  <si>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</si>
  <si>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</si>
  <si>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</si>
  <si>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</si>
  <si>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</si>
  <si>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</si>
  <si>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</si>
  <si>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</si>
  <si>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</si>
  <si>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</si>
  <si>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</si>
  <si>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</si>
  <si>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</si>
  <si>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</si>
  <si>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</si>
  <si>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</si>
  <si>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</si>
  <si>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</si>
  <si>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</si>
  <si>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</si>
  <si>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</si>
  <si>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</si>
  <si>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</si>
  <si>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</si>
  <si>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</si>
  <si>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</si>
  <si>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</si>
  <si>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</si>
  <si>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</si>
  <si>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</si>
  <si>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</si>
  <si>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</si>
  <si>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</si>
  <si>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</si>
  <si>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</si>
  <si>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</si>
  <si>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</si>
  <si>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</si>
  <si>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</si>
  <si>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</si>
  <si>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</si>
  <si>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</si>
  <si>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</si>
  <si>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</si>
  <si>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</si>
  <si>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</si>
  <si>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</si>
  <si>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</si>
  <si>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</si>
  <si>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</si>
  <si>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</si>
  <si>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</si>
  <si>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</si>
  <si>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</si>
  <si>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</si>
  <si>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</si>
  <si>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</si>
  <si>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</si>
  <si>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</si>
  <si>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</si>
  <si>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</si>
  <si>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</si>
  <si>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</si>
  <si>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</si>
  <si>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</si>
  <si>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</si>
  <si>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</si>
  <si>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</si>
  <si>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</si>
  <si>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</si>
  <si>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</si>
  <si>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</si>
  <si>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</si>
  <si>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</si>
  <si>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</si>
  <si>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</si>
  <si>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</si>
  <si>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</si>
  <si>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</si>
  <si>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</si>
  <si>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</si>
  <si>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</si>
  <si>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</si>
  <si>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</si>
  <si>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</si>
  <si>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</si>
  <si>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</si>
  <si>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</si>
  <si>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</si>
  <si>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</si>
  <si>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</si>
  <si>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</si>
  <si>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</si>
  <si>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</si>
  <si>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</si>
  <si>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</si>
  <si>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</si>
  <si>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</si>
  <si>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</si>
  <si>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</si>
  <si>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</si>
  <si>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</si>
  <si>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</si>
  <si>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</si>
  <si>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</si>
  <si>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</si>
  <si>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</si>
  <si>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</si>
  <si>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</si>
  <si>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</si>
  <si>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</si>
  <si>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</si>
  <si>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</si>
  <si>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</si>
  <si>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</si>
  <si>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</si>
  <si>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</si>
  <si>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</si>
  <si>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</si>
  <si>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</si>
  <si>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</si>
  <si>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</si>
  <si>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</si>
  <si>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</si>
  <si>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</si>
  <si>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</si>
  <si>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</si>
  <si>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</si>
  <si>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</si>
  <si>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</si>
  <si>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</si>
  <si>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</si>
  <si>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</si>
  <si>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</si>
  <si>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</si>
  <si>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</si>
  <si>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</si>
  <si>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</si>
  <si>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</si>
  <si>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</si>
  <si>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</si>
  <si>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</si>
  <si>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</si>
  <si>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</si>
  <si>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</si>
  <si>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</si>
  <si>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</si>
  <si>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</si>
  <si>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</si>
  <si>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</si>
  <si>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</si>
  <si>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</si>
  <si>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</si>
  <si>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</si>
  <si>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</si>
  <si>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</si>
  <si>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</si>
  <si>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</si>
  <si>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</si>
  <si>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</si>
  <si>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</si>
  <si>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</si>
  <si>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</si>
  <si>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</si>
  <si>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</si>
  <si>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</si>
  <si>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</si>
  <si>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</si>
  <si>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</si>
  <si>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</si>
  <si>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</si>
  <si>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</si>
  <si>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</si>
  <si>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</si>
  <si>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</si>
  <si>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</si>
  <si>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</si>
  <si>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</si>
  <si>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</si>
  <si>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</si>
  <si>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</si>
  <si>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</si>
  <si>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</si>
  <si>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</si>
  <si>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</si>
  <si>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</si>
  <si>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</si>
  <si>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</si>
  <si>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</si>
  <si>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</si>
  <si>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</si>
  <si>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</si>
  <si>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</si>
  <si>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</si>
  <si>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</si>
  <si>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</si>
  <si>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</si>
  <si>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</si>
  <si>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</si>
  <si>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</si>
  <si>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</si>
  <si>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</si>
  <si>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</si>
  <si>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</si>
  <si>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</si>
  <si>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</si>
  <si>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</si>
  <si>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</si>
  <si>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</si>
  <si>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</si>
  <si>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</si>
  <si>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</si>
  <si>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</si>
  <si>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</si>
  <si>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</si>
  <si>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</si>
  <si>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</si>
  <si>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</si>
  <si>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</si>
  <si>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</si>
  <si>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</si>
  <si>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</si>
  <si>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</si>
  <si>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</si>
  <si>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</si>
  <si>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</si>
  <si>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</si>
  <si>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</si>
  <si>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</si>
  <si>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</si>
  <si>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</si>
  <si>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</si>
  <si>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</si>
  <si>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</si>
  <si>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</si>
  <si>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</si>
  <si>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</si>
  <si>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</si>
  <si>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</si>
  <si>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</si>
  <si>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</si>
  <si>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</si>
  <si>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</si>
  <si>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</si>
  <si>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</si>
  <si>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</si>
  <si>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</si>
  <si>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</si>
  <si>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</si>
  <si>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</si>
  <si>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</si>
  <si>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</si>
  <si>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</si>
  <si>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</si>
  <si>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</si>
  <si>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</si>
  <si>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</si>
  <si>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</si>
  <si>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</si>
  <si>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</si>
  <si>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</si>
  <si>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</si>
  <si>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</si>
  <si>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</si>
  <si>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</si>
  <si>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</si>
  <si>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</si>
  <si>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</si>
  <si>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</si>
  <si>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</si>
  <si>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</si>
  <si>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</si>
  <si>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</si>
  <si>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</si>
  <si>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</si>
  <si>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</si>
  <si>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</si>
  <si>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</si>
  <si>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</si>
  <si>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</si>
  <si>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</si>
  <si>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</si>
  <si>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</si>
  <si>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</si>
  <si>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</si>
  <si>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</si>
  <si>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</si>
  <si>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</si>
  <si>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</si>
  <si>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</si>
  <si>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</si>
  <si>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</si>
  <si>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</si>
  <si>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</si>
  <si>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</si>
  <si>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</si>
  <si>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</si>
  <si>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</si>
  <si>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</si>
  <si>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</si>
  <si>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</si>
  <si>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</si>
  <si>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</si>
  <si>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</si>
  <si>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</si>
  <si>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</si>
  <si>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</si>
  <si>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</si>
  <si>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</si>
  <si>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</si>
  <si>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</si>
  <si>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</si>
  <si>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</si>
  <si>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</si>
  <si>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</si>
  <si>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</si>
  <si>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</si>
  <si>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</si>
  <si>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</si>
  <si>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</si>
  <si>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</si>
  <si>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</si>
  <si>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</si>
  <si>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</si>
  <si>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</si>
  <si>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</si>
  <si>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</si>
  <si>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</si>
  <si>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</si>
  <si>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</si>
  <si>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</si>
  <si>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</si>
  <si>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</si>
  <si>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</si>
  <si>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</si>
  <si>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</si>
  <si>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</si>
  <si>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</si>
  <si>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</si>
  <si>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</si>
  <si>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</si>
  <si>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</si>
  <si>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</si>
  <si>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</si>
  <si>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</si>
  <si>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</si>
  <si>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</si>
  <si>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</si>
  <si>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</si>
  <si>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</si>
  <si>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</si>
  <si>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</si>
  <si>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</si>
  <si>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</si>
  <si>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</si>
  <si>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</si>
  <si>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</si>
  <si>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</si>
  <si>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</si>
  <si>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</si>
  <si>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</si>
  <si>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</si>
  <si>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</si>
  <si>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</si>
  <si>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</si>
  <si>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</si>
  <si>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</si>
  <si>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</si>
  <si>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</si>
  <si>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</si>
  <si>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</si>
  <si>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</si>
  <si>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</si>
  <si>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</si>
  <si>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</si>
  <si>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</si>
  <si>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</si>
  <si>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</si>
  <si>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</si>
  <si>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</si>
  <si>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</si>
  <si>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</si>
  <si>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</si>
  <si>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</si>
  <si>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</si>
  <si>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</si>
  <si>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</si>
  <si>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</si>
  <si>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</si>
  <si>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</si>
  <si>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</si>
  <si>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</si>
  <si>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</si>
  <si>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</si>
  <si>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</si>
  <si>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</si>
  <si>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</si>
  <si>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</si>
  <si>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</si>
  <si>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</si>
  <si>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</si>
  <si>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</si>
  <si>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</si>
  <si>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</si>
  <si>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</si>
  <si>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</si>
  <si>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</si>
  <si>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</si>
  <si>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</si>
  <si>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</si>
  <si>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</si>
  <si>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</si>
  <si>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</si>
  <si>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</si>
  <si>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</si>
  <si>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</si>
  <si>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</si>
  <si>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</si>
  <si>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</si>
  <si>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</si>
  <si>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</si>
  <si>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</si>
  <si>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</si>
  <si>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</si>
  <si>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</si>
  <si>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</si>
  <si>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</si>
  <si>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</si>
  <si>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</si>
  <si>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</si>
  <si>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</si>
  <si>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</si>
  <si>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</si>
  <si>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</si>
  <si>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</si>
  <si>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</si>
  <si>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</si>
  <si>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</si>
  <si>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</si>
  <si>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</si>
  <si>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</si>
  <si>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</si>
  <si>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</si>
  <si>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</si>
  <si>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</si>
  <si>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</si>
  <si>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</si>
  <si>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</si>
  <si>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</si>
  <si>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</si>
  <si>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</si>
  <si>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</si>
  <si>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</si>
  <si>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</si>
  <si>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</si>
  <si>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</si>
  <si>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</si>
  <si>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</si>
  <si>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</si>
  <si>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</si>
  <si>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</si>
  <si>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</si>
  <si>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</si>
  <si>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</si>
  <si>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</si>
  <si>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</si>
  <si>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</si>
  <si>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</si>
  <si>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</si>
  <si>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</si>
  <si>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</si>
  <si>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</si>
  <si>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</si>
  <si>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</si>
  <si>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</si>
  <si>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</si>
  <si>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</si>
  <si>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</si>
  <si>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</si>
  <si>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</si>
  <si>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</si>
  <si>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</si>
  <si>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</si>
  <si>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</si>
  <si>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</si>
  <si>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</si>
  <si>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</si>
  <si>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</si>
  <si>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</si>
  <si>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</si>
  <si>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</si>
  <si>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</si>
  <si>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</si>
  <si>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</si>
  <si>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</si>
  <si>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</si>
  <si>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</si>
  <si>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</si>
  <si>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</si>
  <si>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</si>
  <si>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</si>
  <si>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</si>
  <si>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</si>
  <si>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</si>
  <si>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</si>
  <si>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</si>
  <si>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</si>
  <si>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</si>
  <si>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</si>
  <si>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</si>
  <si>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</si>
  <si>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</si>
  <si>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</si>
  <si>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</si>
  <si>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</si>
  <si>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</si>
  <si>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</si>
  <si>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</si>
  <si>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</si>
  <si>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</si>
  <si>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</si>
  <si>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</si>
  <si>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</si>
  <si>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</si>
  <si>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</si>
  <si>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</si>
  <si>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</si>
  <si>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</si>
  <si>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</si>
  <si>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</si>
  <si>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</si>
  <si>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</si>
  <si>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</si>
  <si>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</si>
  <si>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</si>
  <si>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</si>
  <si>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</si>
  <si>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</si>
  <si>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</si>
  <si>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</si>
  <si>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</si>
  <si>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</si>
  <si>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</si>
  <si>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</si>
  <si>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</si>
  <si>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</si>
  <si>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</si>
  <si>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</si>
  <si>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</si>
  <si>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</si>
  <si>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</si>
  <si>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</si>
  <si>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</si>
  <si>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</si>
  <si>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</si>
  <si>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</si>
  <si>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</si>
  <si>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</si>
  <si>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</si>
  <si>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</si>
  <si>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</si>
  <si>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</si>
  <si>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</si>
  <si>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</si>
  <si>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</si>
  <si>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</si>
  <si>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</si>
  <si>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</si>
  <si>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</si>
  <si>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</si>
  <si>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</si>
  <si>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</si>
  <si>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</si>
  <si>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</si>
  <si>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</si>
  <si>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</si>
  <si>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</si>
  <si>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</si>
  <si>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</si>
  <si>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</si>
  <si>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</si>
  <si>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</si>
  <si>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</si>
  <si>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</si>
  <si>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</si>
  <si>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</si>
  <si>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</si>
  <si>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</si>
  <si>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</si>
  <si>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</si>
  <si>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</si>
  <si>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</si>
  <si>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</si>
  <si>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</si>
  <si>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</si>
  <si>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</si>
  <si>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</si>
  <si>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</si>
  <si>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</si>
  <si>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</si>
  <si>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</si>
  <si>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</si>
  <si>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</si>
  <si>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</si>
  <si>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</si>
  <si>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</si>
  <si>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</si>
  <si>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</si>
  <si>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</si>
  <si>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</si>
  <si>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</si>
  <si>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</si>
  <si>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</si>
  <si>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</si>
  <si>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</si>
  <si>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</si>
  <si>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</si>
  <si>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</si>
  <si>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</si>
  <si>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</si>
  <si>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</si>
  <si>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</si>
  <si>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</si>
  <si>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</si>
  <si>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</si>
  <si>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</si>
  <si>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</si>
  <si>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</si>
  <si>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</si>
  <si>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</si>
  <si>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</si>
  <si>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</si>
  <si>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</si>
  <si>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</si>
  <si>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</si>
  <si>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</si>
  <si>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</si>
  <si>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</si>
  <si>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</si>
  <si>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</si>
  <si>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</si>
  <si>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</si>
  <si>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</si>
  <si>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</si>
  <si>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</si>
  <si>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</si>
  <si>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</si>
  <si>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</si>
  <si>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</si>
  <si>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</si>
  <si>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</si>
  <si>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</si>
  <si>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</si>
  <si>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</si>
  <si>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</si>
  <si>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</si>
  <si>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</si>
  <si>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</si>
  <si>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</si>
  <si>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</si>
  <si>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</si>
  <si>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</si>
  <si>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</si>
  <si>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</si>
  <si>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</si>
  <si>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</si>
  <si>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</si>
  <si>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</si>
  <si>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</si>
  <si>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</si>
  <si>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</si>
  <si>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</si>
  <si>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</si>
  <si>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</si>
  <si>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</si>
  <si>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</si>
  <si>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</si>
  <si>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</si>
  <si>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</si>
  <si>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</si>
  <si>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</si>
  <si>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</si>
  <si>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</si>
  <si>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</si>
  <si>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</si>
  <si>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</si>
  <si>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</si>
  <si>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</si>
  <si>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</si>
  <si>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</si>
  <si>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</si>
  <si>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</si>
  <si>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</si>
  <si>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</si>
  <si>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</si>
  <si>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</si>
  <si>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</si>
  <si>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</si>
  <si>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</si>
  <si>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</si>
  <si>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</si>
  <si>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</si>
  <si>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</si>
  <si>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</si>
  <si>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</si>
  <si>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</si>
  <si>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</si>
  <si>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</si>
  <si>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</si>
  <si>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</si>
  <si>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</si>
  <si>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</si>
  <si>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</si>
  <si>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</si>
  <si>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</si>
  <si>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</si>
  <si>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</si>
  <si>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</si>
  <si>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</si>
  <si>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</si>
  <si>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</si>
  <si>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</si>
  <si>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</si>
  <si>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</si>
  <si>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</si>
  <si>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</si>
  <si>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</si>
  <si>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</si>
  <si>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</si>
  <si>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</si>
  <si>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</si>
  <si>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</si>
  <si>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</si>
  <si>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</si>
  <si>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</si>
  <si>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</si>
  <si>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</si>
  <si>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</si>
  <si>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</si>
  <si>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</si>
  <si>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</si>
  <si>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</si>
  <si>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</si>
  <si>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</si>
  <si>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</si>
  <si>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</si>
  <si>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</si>
  <si>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</si>
  <si>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</si>
  <si>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</si>
  <si>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</si>
  <si>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</si>
  <si>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</si>
  <si>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</si>
  <si>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</si>
  <si>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</si>
  <si>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</si>
  <si>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</si>
  <si>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</si>
  <si>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</si>
  <si>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</si>
  <si>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</si>
  <si>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</si>
  <si>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</si>
  <si>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</si>
  <si>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</si>
  <si>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</si>
  <si>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</si>
  <si>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</si>
  <si>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</si>
  <si>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</si>
  <si>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</si>
  <si>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</si>
  <si>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</si>
  <si>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</si>
  <si>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</si>
  <si>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</si>
  <si>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</si>
  <si>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</si>
  <si>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</si>
  <si>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</si>
  <si>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</si>
  <si>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</si>
  <si>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</si>
  <si>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</si>
  <si>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</si>
  <si>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</si>
  <si>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</si>
  <si>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</si>
  <si>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</si>
  <si>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</si>
  <si>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</si>
  <si>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</si>
  <si>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</si>
  <si>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</si>
  <si>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</si>
  <si>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</si>
  <si>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</si>
  <si>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</si>
  <si>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</si>
  <si>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</si>
  <si>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</si>
  <si>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</si>
  <si>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</si>
  <si>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</si>
  <si>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</si>
  <si>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</si>
  <si>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</si>
  <si>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</si>
  <si>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</si>
  <si>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</si>
  <si>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</si>
  <si>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</si>
  <si>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</si>
  <si>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</si>
  <si>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</si>
  <si>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</si>
  <si>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</si>
  <si>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</si>
  <si>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</si>
  <si>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</si>
  <si>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</si>
  <si>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</si>
  <si>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</si>
  <si>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</si>
  <si>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</si>
  <si>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</si>
  <si>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</si>
  <si>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</si>
  <si>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</si>
  <si>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</si>
  <si>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</si>
  <si>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</si>
  <si>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</si>
  <si>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</si>
  <si>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</si>
  <si>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</si>
  <si>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</si>
  <si>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</si>
  <si>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</si>
  <si>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</si>
  <si>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</si>
  <si>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</si>
  <si>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</si>
  <si>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</si>
  <si>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</si>
  <si>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</si>
  <si>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</si>
  <si>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</si>
  <si>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</si>
  <si>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</si>
  <si>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</si>
  <si>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</si>
  <si>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</si>
  <si>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</si>
  <si>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</si>
  <si>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</si>
  <si>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</si>
  <si>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</si>
  <si>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</si>
  <si>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</si>
  <si>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</si>
  <si>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</si>
  <si>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</si>
  <si>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</si>
  <si>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</si>
  <si>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</si>
  <si>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</si>
  <si>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</si>
  <si>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</si>
  <si>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</si>
  <si>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</si>
  <si>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</si>
  <si>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</si>
  <si>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</si>
  <si>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</si>
  <si>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</si>
  <si>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</si>
  <si>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</si>
  <si>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</si>
  <si>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</si>
  <si>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</si>
  <si>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</si>
  <si>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</si>
  <si>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</si>
  <si>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</si>
  <si>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</si>
  <si>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</si>
  <si>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</si>
  <si>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</si>
  <si>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</si>
  <si>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</si>
  <si>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</si>
  <si>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</si>
  <si>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</si>
  <si>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</si>
  <si>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</si>
  <si>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</si>
  <si>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</si>
  <si>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</si>
  <si>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</si>
  <si>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</si>
  <si>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</si>
  <si>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</si>
  <si>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</si>
  <si>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</si>
  <si>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</si>
  <si>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</si>
  <si>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</si>
  <si>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</si>
  <si>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</si>
  <si>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</si>
  <si>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</si>
  <si>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</si>
  <si>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</si>
  <si>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</si>
  <si>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</si>
  <si>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</si>
  <si>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</si>
  <si>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</si>
  <si>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</si>
  <si>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</si>
  <si>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</si>
  <si>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</si>
  <si>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</si>
  <si>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</si>
  <si>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</si>
  <si>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</si>
  <si>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</si>
  <si>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</si>
  <si>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</si>
  <si>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</si>
  <si>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</si>
  <si>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</si>
  <si>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</si>
  <si>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</si>
  <si>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</si>
  <si>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</si>
  <si>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</si>
  <si>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</si>
  <si>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</si>
  <si>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</si>
  <si>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</si>
  <si>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</si>
  <si>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</si>
  <si>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</si>
  <si>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</si>
  <si>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</si>
  <si>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</si>
  <si>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</si>
  <si>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</si>
  <si>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</si>
  <si>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</si>
  <si>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</si>
  <si>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</si>
  <si>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</si>
  <si>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</si>
  <si>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</si>
  <si>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</si>
  <si>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</si>
  <si>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</si>
  <si>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</si>
  <si>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</si>
  <si>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</si>
  <si>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</si>
  <si>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</si>
  <si>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</si>
  <si>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</si>
  <si>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</si>
  <si>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</si>
  <si>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</si>
  <si>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</si>
  <si>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</si>
  <si>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</si>
  <si>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</si>
  <si>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</si>
  <si>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</si>
  <si>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</si>
  <si>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</si>
  <si>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</si>
  <si>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</si>
  <si>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</si>
  <si>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</si>
  <si>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</si>
  <si>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</si>
  <si>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</si>
  <si>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</si>
  <si>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</si>
  <si>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</si>
  <si>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</si>
  <si>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</si>
  <si>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</si>
  <si>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</si>
  <si>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</si>
  <si>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</si>
  <si>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</si>
  <si>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</si>
  <si>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</si>
  <si>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</si>
  <si>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</si>
  <si>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</si>
  <si>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</si>
  <si>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</si>
  <si>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</si>
  <si>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</si>
  <si>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</si>
  <si>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</si>
  <si>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</si>
  <si>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</si>
  <si>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</si>
  <si>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</si>
  <si>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</si>
  <si>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</si>
  <si>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</si>
  <si>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</si>
  <si>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</si>
  <si>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</si>
  <si>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</si>
  <si>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</si>
  <si>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</si>
  <si>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</si>
  <si>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</si>
  <si>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</si>
  <si>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</si>
  <si>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</si>
  <si>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</si>
  <si>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</si>
  <si>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</si>
  <si>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</si>
  <si>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</si>
  <si>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</si>
  <si>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</si>
  <si>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</si>
  <si>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</si>
  <si>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</si>
  <si>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</si>
  <si>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</si>
  <si>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</si>
  <si>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</si>
  <si>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</si>
  <si>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</si>
  <si>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</si>
  <si>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</si>
  <si>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</si>
  <si>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</si>
  <si>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</si>
  <si>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</si>
  <si>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</si>
  <si>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</si>
  <si>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</si>
  <si>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</si>
  <si>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</si>
  <si>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</si>
  <si>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</si>
  <si>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</si>
  <si>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</si>
  <si>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</si>
  <si>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</si>
  <si>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</si>
  <si>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</si>
  <si>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</si>
  <si>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</si>
  <si>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</si>
  <si>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</si>
  <si>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</si>
  <si>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</si>
  <si>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</si>
  <si>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</si>
  <si>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</si>
  <si>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</si>
  <si>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</si>
  <si>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</si>
  <si>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</si>
  <si>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</si>
  <si>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</si>
  <si>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</si>
  <si>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</si>
  <si>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</si>
  <si>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</si>
  <si>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</si>
  <si>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</si>
  <si>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</si>
  <si>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</si>
  <si>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</si>
  <si>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</si>
  <si>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</si>
  <si>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</si>
  <si>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</si>
  <si>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</si>
  <si>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</si>
  <si>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</si>
  <si>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</si>
  <si>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</si>
  <si>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</si>
  <si>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</si>
  <si>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</si>
  <si>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</si>
  <si>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</si>
  <si>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</si>
  <si>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</si>
  <si>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</si>
  <si>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</si>
  <si>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</si>
  <si>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</si>
  <si>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</si>
  <si>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</si>
  <si>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</si>
  <si>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</si>
  <si>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</si>
  <si>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</si>
  <si>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</si>
  <si>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</si>
  <si>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</si>
  <si>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</si>
  <si>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</si>
  <si>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</si>
  <si>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</si>
  <si>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</si>
  <si>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</si>
  <si>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</si>
  <si>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</si>
  <si>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</si>
  <si>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</si>
  <si>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</si>
  <si>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</si>
  <si>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</si>
  <si>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</si>
  <si>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</si>
  <si>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</si>
  <si>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</si>
  <si>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</si>
  <si>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</si>
  <si>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</si>
  <si>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</si>
  <si>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</si>
  <si>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</si>
  <si>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</si>
  <si>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</si>
  <si>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</si>
  <si>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</si>
  <si>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</si>
  <si>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</si>
  <si>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</si>
  <si>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</si>
  <si>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</si>
  <si>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</si>
  <si>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</si>
  <si>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</si>
  <si>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</si>
  <si>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</si>
  <si>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</si>
  <si>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</si>
  <si>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</si>
  <si>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</si>
  <si>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</si>
  <si>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</si>
  <si>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</si>
  <si>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</si>
  <si>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</si>
  <si>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</si>
  <si>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</si>
  <si>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</si>
  <si>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</si>
  <si>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</si>
  <si>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</si>
  <si>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</si>
  <si>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</si>
  <si>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</si>
  <si>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</si>
  <si>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</si>
  <si>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</si>
  <si>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</si>
  <si>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</si>
  <si>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</si>
  <si>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</si>
  <si>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</si>
  <si>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</si>
  <si>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</si>
  <si>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</si>
  <si>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</si>
  <si>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</si>
  <si>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</si>
  <si>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</si>
  <si>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</si>
  <si>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</si>
  <si>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</si>
  <si>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</si>
  <si>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</si>
  <si>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</si>
  <si>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</si>
  <si>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</si>
  <si>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</si>
  <si>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</si>
  <si>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</si>
  <si>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</si>
  <si>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</si>
  <si>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</si>
  <si>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</si>
  <si>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</si>
  <si>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</si>
  <si>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</si>
  <si>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</si>
  <si>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</si>
  <si>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</si>
  <si>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</si>
  <si>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</si>
  <si>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</si>
  <si>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</si>
  <si>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</si>
  <si>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</si>
  <si>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</si>
  <si>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</si>
  <si>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</si>
  <si>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</si>
  <si>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</si>
  <si>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</si>
  <si>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</si>
  <si>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</si>
  <si>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</si>
  <si>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</si>
  <si>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</si>
  <si>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</si>
  <si>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</si>
  <si>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</si>
  <si>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</si>
  <si>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</si>
  <si>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</si>
  <si>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</si>
  <si>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</si>
  <si>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</si>
  <si>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</si>
  <si>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</si>
  <si>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</si>
  <si>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</si>
  <si>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</si>
  <si>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</si>
  <si>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</si>
  <si>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</si>
  <si>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</si>
  <si>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</si>
  <si>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</si>
  <si>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</si>
  <si>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</si>
  <si>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</si>
  <si>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</si>
  <si>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</si>
  <si>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</si>
  <si>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</si>
  <si>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</si>
  <si>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</si>
  <si>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</si>
  <si>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</si>
  <si>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</si>
  <si>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</si>
  <si>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</si>
  <si>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</si>
  <si>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</si>
  <si>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</si>
  <si>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</si>
  <si>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</si>
  <si>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</si>
  <si>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</si>
  <si>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</si>
  <si>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</si>
  <si>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</si>
  <si>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</si>
  <si>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</si>
  <si>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</si>
  <si>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</si>
  <si>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</si>
  <si>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</si>
  <si>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</si>
  <si>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</si>
  <si>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</si>
  <si>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</si>
  <si>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</si>
  <si>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</si>
  <si>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</si>
  <si>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</si>
  <si>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</si>
  <si>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</si>
  <si>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</si>
  <si>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</si>
  <si>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</si>
  <si>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</si>
  <si>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</si>
  <si>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</si>
  <si>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</si>
  <si>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</si>
  <si>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</si>
  <si>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</si>
  <si>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</si>
  <si>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</si>
  <si>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</si>
  <si>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</si>
  <si>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</si>
  <si>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</si>
  <si>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</si>
  <si>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</si>
  <si>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</si>
  <si>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</si>
  <si>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</si>
  <si>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</si>
  <si>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</si>
  <si>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</si>
  <si>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</si>
  <si>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</si>
  <si>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</si>
  <si>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</si>
  <si>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</si>
  <si>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</si>
  <si>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</si>
  <si>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</si>
  <si>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</si>
  <si>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</si>
  <si>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</si>
  <si>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</si>
  <si>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</si>
  <si>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</si>
  <si>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</si>
  <si>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</si>
  <si>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</si>
  <si>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</si>
  <si>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</si>
  <si>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</si>
  <si>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</si>
  <si>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</si>
  <si>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</si>
  <si>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</si>
  <si>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</si>
  <si>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</si>
  <si>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</si>
  <si>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</si>
  <si>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</si>
  <si>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</si>
  <si>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</si>
  <si>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</si>
  <si>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</si>
  <si>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</si>
  <si>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</si>
  <si>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</si>
  <si>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</si>
  <si>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</si>
  <si>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</si>
  <si>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</si>
  <si>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</si>
  <si>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</si>
  <si>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</si>
  <si>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</si>
  <si>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</si>
  <si>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</si>
  <si>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</si>
  <si>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</si>
  <si>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</si>
  <si>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</si>
  <si>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</si>
  <si>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</si>
  <si>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</si>
  <si>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</si>
  <si>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</si>
  <si>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</si>
  <si>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</si>
  <si>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</si>
  <si>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</si>
  <si>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</si>
  <si>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</si>
  <si>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</si>
  <si>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</si>
  <si>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</si>
  <si>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</si>
  <si>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</si>
  <si>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</si>
  <si>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</si>
  <si>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</si>
  <si>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</si>
  <si>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</si>
  <si>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</si>
  <si>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</si>
  <si>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</si>
  <si>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</si>
  <si>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</si>
  <si>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</si>
  <si>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</si>
  <si>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</si>
  <si>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</si>
  <si>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</si>
  <si>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</si>
  <si>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</si>
  <si>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</si>
  <si>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</si>
  <si>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</si>
  <si>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</si>
  <si>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</si>
  <si>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</si>
  <si>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</si>
  <si>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</si>
  <si>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</si>
  <si>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</si>
  <si>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</si>
  <si>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</si>
  <si>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</si>
  <si>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</si>
  <si>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</si>
  <si>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</si>
  <si>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</si>
  <si>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</si>
  <si>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</si>
  <si>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</si>
  <si>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</si>
  <si>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</si>
  <si>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</si>
  <si>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</si>
  <si>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</si>
  <si>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</si>
  <si>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</si>
  <si>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</si>
  <si>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</si>
  <si>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</si>
  <si>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</si>
  <si>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</si>
  <si>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</si>
  <si>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</si>
  <si>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</si>
  <si>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</si>
  <si>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</si>
  <si>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</si>
  <si>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</si>
  <si>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</si>
  <si>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</si>
  <si>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</si>
  <si>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</si>
  <si>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</si>
  <si>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</si>
  <si>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</si>
  <si>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</si>
  <si>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</si>
  <si>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</si>
  <si>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</si>
  <si>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</si>
  <si>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</si>
  <si>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</si>
  <si>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</si>
  <si>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</si>
  <si>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</si>
  <si>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</si>
  <si>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</si>
  <si>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</si>
  <si>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</si>
  <si>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</si>
  <si>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</si>
  <si>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</si>
  <si>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</si>
  <si>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</si>
  <si>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</si>
  <si>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</si>
  <si>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</si>
  <si>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</si>
  <si>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</si>
  <si>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</si>
  <si>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</si>
  <si>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</si>
  <si>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</si>
  <si>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</si>
  <si>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</si>
  <si>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</si>
  <si>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</si>
  <si>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</si>
  <si>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</si>
  <si>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</si>
  <si>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</si>
  <si>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</si>
  <si>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</si>
  <si>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</si>
  <si>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</si>
  <si>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</si>
  <si>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</si>
  <si>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</si>
  <si>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</si>
  <si>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</si>
  <si>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</si>
  <si>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</si>
  <si>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</si>
  <si>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</si>
  <si>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</si>
  <si>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</si>
  <si>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</si>
  <si>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</si>
  <si>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</si>
  <si>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</si>
  <si>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</si>
  <si>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</si>
  <si>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</si>
  <si>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</si>
  <si>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</si>
  <si>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</si>
  <si>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</si>
  <si>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</si>
  <si>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</si>
  <si>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</si>
  <si>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</si>
  <si>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</si>
  <si>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</si>
  <si>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</si>
  <si>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</si>
  <si>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</si>
  <si>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</si>
  <si>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</si>
  <si>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</si>
  <si>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</si>
  <si>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</si>
  <si>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</si>
  <si>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</si>
  <si>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</si>
  <si>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</si>
  <si>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</si>
  <si>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</si>
  <si>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</si>
  <si>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</si>
  <si>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</si>
  <si>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</si>
  <si>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</si>
  <si>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</si>
  <si>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</si>
  <si>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</si>
  <si>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</si>
  <si>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</si>
  <si>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</si>
  <si>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</si>
  <si>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</si>
  <si>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</si>
  <si>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</si>
  <si>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</si>
  <si>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</si>
  <si>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</si>
  <si>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</si>
  <si>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</si>
  <si>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</si>
  <si>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</si>
  <si>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</si>
  <si>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</si>
  <si>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</si>
  <si>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</si>
  <si>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</si>
  <si>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</si>
  <si>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</si>
  <si>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</si>
  <si>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</si>
  <si>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</si>
  <si>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</si>
  <si>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</si>
  <si>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</si>
  <si>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</si>
  <si>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</si>
  <si>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</si>
  <si>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</si>
  <si>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</si>
  <si>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</si>
  <si>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</si>
  <si>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</si>
  <si>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</si>
  <si>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</si>
  <si>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</si>
  <si>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</si>
  <si>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</si>
  <si>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</si>
  <si>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</si>
  <si>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</si>
  <si>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</si>
  <si>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</si>
  <si>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</si>
  <si>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</si>
  <si>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</si>
  <si>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</si>
  <si>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</si>
  <si>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</si>
  <si>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</si>
  <si>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</si>
  <si>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</si>
  <si>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</si>
  <si>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</si>
  <si>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</si>
  <si>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</si>
  <si>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</si>
  <si>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</si>
  <si>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</si>
  <si>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</si>
  <si>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</si>
  <si>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</si>
  <si>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</si>
  <si>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</si>
  <si>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</si>
  <si>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</si>
  <si>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</si>
  <si>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</si>
  <si>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</si>
  <si>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</si>
  <si>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</si>
  <si>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</si>
  <si>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</si>
  <si>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</si>
  <si>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</si>
  <si>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</si>
  <si>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</si>
  <si>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</si>
  <si>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</si>
  <si>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</si>
  <si>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</si>
  <si>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</si>
  <si>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</si>
  <si>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</si>
  <si>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</si>
  <si>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</si>
  <si>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</si>
  <si>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</si>
  <si>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</si>
  <si>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</si>
  <si>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</si>
  <si>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</si>
  <si>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</si>
  <si>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</si>
  <si>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</si>
  <si>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</si>
  <si>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</si>
  <si>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</si>
  <si>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</si>
  <si>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</si>
  <si>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</si>
  <si>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</si>
  <si>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</si>
  <si>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</si>
  <si>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</si>
  <si>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</si>
  <si>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</si>
  <si>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</si>
  <si>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</si>
  <si>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</si>
  <si>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</si>
  <si>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</si>
  <si>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</si>
  <si>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</si>
  <si>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</si>
  <si>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</si>
  <si>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</si>
  <si>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</si>
  <si>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</si>
  <si>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</si>
  <si>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</si>
  <si>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</si>
  <si>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</si>
  <si>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</si>
  <si>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</si>
  <si>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</si>
  <si>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</si>
  <si>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</si>
  <si>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</si>
  <si>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</si>
  <si>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</si>
  <si>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</si>
  <si>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</si>
  <si>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</si>
  <si>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</si>
  <si>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</si>
  <si>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</si>
  <si>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</si>
  <si>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</si>
  <si>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</si>
  <si>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</si>
  <si>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</si>
  <si>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</si>
  <si>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</si>
  <si>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</si>
  <si>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</si>
  <si>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</si>
  <si>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</si>
  <si>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</si>
  <si>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</si>
  <si>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</si>
  <si>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</si>
  <si>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</si>
  <si>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</si>
  <si>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</si>
  <si>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</si>
  <si>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</si>
  <si>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</si>
  <si>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</si>
  <si>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</si>
  <si>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</si>
  <si>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</si>
  <si>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</si>
  <si>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</si>
  <si>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</si>
  <si>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</si>
  <si>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</si>
  <si>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</si>
  <si>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</si>
  <si>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</si>
  <si>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</si>
  <si>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</si>
  <si>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</si>
  <si>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</si>
  <si>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</si>
  <si>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</si>
  <si>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</si>
  <si>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</si>
  <si>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</si>
  <si>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</si>
  <si>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</si>
  <si>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</si>
  <si>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</si>
  <si>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</si>
  <si>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</si>
  <si>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</si>
  <si>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</si>
  <si>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</si>
  <si>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</si>
  <si>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</si>
  <si>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</si>
  <si>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</si>
  <si>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</si>
  <si>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</si>
  <si>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</si>
  <si>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</si>
  <si>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</si>
  <si>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</si>
  <si>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</si>
  <si>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</si>
  <si>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</si>
  <si>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</si>
  <si>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</si>
  <si>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</si>
  <si>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</si>
  <si>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</si>
  <si>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</si>
  <si>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</si>
  <si>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</si>
  <si>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</si>
  <si>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</si>
  <si>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</si>
  <si>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</si>
  <si>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</si>
  <si>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</si>
  <si>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</si>
  <si>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</si>
  <si>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</si>
  <si>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</si>
  <si>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</si>
  <si>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</si>
  <si>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</si>
  <si>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</si>
  <si>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</si>
  <si>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</si>
  <si>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</si>
  <si>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</si>
  <si>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</si>
  <si>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</si>
  <si>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</si>
  <si>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</si>
  <si>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</si>
  <si>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</si>
  <si>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</si>
  <si>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</si>
  <si>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</si>
  <si>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</si>
  <si>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</si>
  <si>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</si>
  <si>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</si>
  <si>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</si>
  <si>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</si>
  <si>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</si>
  <si>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</si>
  <si>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</si>
  <si>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</si>
  <si>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</si>
  <si>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</si>
  <si>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</si>
  <si>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</si>
  <si>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</si>
  <si>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</si>
  <si>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</si>
  <si>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</si>
  <si>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</si>
  <si>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</si>
  <si>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</si>
  <si>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</si>
  <si>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</si>
  <si>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</si>
  <si>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</si>
  <si>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</si>
  <si>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</si>
  <si>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</si>
  <si>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</si>
  <si>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</si>
  <si>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</si>
  <si>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</si>
  <si>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</si>
  <si>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</si>
  <si>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</si>
  <si>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</si>
  <si>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</si>
  <si>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</si>
  <si>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</si>
  <si>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</si>
  <si>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</si>
  <si>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</si>
  <si>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</si>
  <si>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</si>
  <si>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</si>
  <si>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</si>
  <si>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</si>
  <si>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</si>
  <si>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</si>
  <si>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</si>
  <si>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</si>
  <si>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</si>
  <si>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</si>
  <si>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</si>
  <si>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</si>
  <si>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</si>
  <si>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</si>
  <si>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</si>
  <si>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</si>
  <si>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</si>
  <si>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</si>
  <si>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</si>
  <si>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</si>
  <si>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</si>
  <si>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</si>
  <si>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</si>
  <si>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</si>
  <si>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</si>
  <si>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</si>
  <si>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</si>
  <si>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</si>
  <si>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</si>
  <si>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</si>
  <si>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</si>
  <si>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</si>
  <si>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</si>
  <si>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</si>
  <si>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</si>
  <si>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</si>
  <si>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</si>
  <si>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</si>
  <si>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</si>
  <si>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</si>
  <si>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</si>
  <si>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</si>
  <si>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</si>
  <si>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</si>
  <si>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</si>
  <si>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</si>
  <si>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</si>
  <si>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</si>
  <si>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</si>
  <si>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</si>
  <si>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</si>
  <si>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</si>
  <si>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</si>
  <si>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</si>
  <si>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</si>
  <si>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</si>
  <si>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</si>
  <si>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</si>
  <si>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</si>
  <si>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</si>
  <si>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</si>
  <si>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</si>
  <si>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</si>
  <si>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</si>
  <si>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</si>
  <si>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</si>
  <si>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</si>
  <si>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</si>
  <si>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</si>
  <si>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</si>
  <si>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</si>
  <si>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</si>
  <si>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</si>
  <si>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</si>
  <si>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</si>
  <si>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</si>
  <si>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</si>
  <si>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</si>
  <si>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</si>
  <si>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</si>
  <si>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</si>
  <si>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</si>
  <si>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</si>
  <si>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</si>
  <si>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</si>
  <si>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</si>
  <si>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</si>
  <si>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</si>
  <si>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</si>
  <si>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</si>
  <si>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</si>
  <si>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</si>
  <si>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</si>
  <si>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</si>
  <si>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</si>
  <si>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</si>
  <si>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</si>
  <si>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</si>
  <si>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</si>
  <si>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</si>
  <si>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</si>
  <si>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</si>
  <si>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</si>
  <si>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</si>
  <si>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</si>
  <si>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</si>
  <si>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</si>
  <si>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</si>
  <si>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</si>
  <si>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</si>
  <si>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</si>
  <si>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</si>
  <si>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</si>
  <si>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</si>
  <si>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</si>
  <si>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</si>
  <si>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</si>
  <si>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</si>
  <si>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</si>
  <si>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</si>
  <si>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</si>
  <si>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</si>
  <si>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</si>
  <si>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</si>
  <si>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</si>
  <si>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</si>
  <si>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</si>
  <si>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</si>
  <si>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</si>
  <si>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</si>
  <si>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</si>
  <si>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</si>
  <si>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</si>
  <si>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</si>
  <si>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</si>
  <si>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</si>
  <si>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</si>
  <si>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</si>
  <si>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</si>
  <si>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</si>
  <si>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</si>
  <si>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</si>
  <si>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</si>
  <si>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</si>
  <si>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</si>
  <si>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</si>
  <si>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</si>
  <si>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</si>
  <si>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</si>
  <si>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</si>
  <si>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</si>
  <si>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</si>
  <si>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</si>
  <si>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</si>
  <si>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</si>
  <si>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</si>
  <si>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</si>
  <si>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</si>
  <si>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</si>
  <si>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</si>
  <si>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</si>
  <si>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</si>
  <si>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</si>
  <si>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</si>
  <si>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</si>
  <si>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</si>
  <si>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</si>
  <si>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</si>
  <si>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</si>
  <si>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</si>
  <si>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</si>
  <si>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</si>
  <si>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</si>
  <si>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</si>
  <si>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</si>
  <si>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</si>
  <si>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</si>
  <si>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</si>
  <si>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</si>
  <si>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</si>
  <si>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</si>
  <si>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</si>
  <si>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</si>
  <si>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</si>
  <si>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</si>
  <si>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</si>
  <si>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</si>
  <si>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</si>
  <si>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</si>
  <si>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</si>
  <si>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</si>
  <si>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</si>
  <si>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</si>
  <si>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</si>
  <si>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</si>
  <si>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</si>
  <si>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</si>
  <si>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</si>
  <si>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</si>
  <si>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</si>
  <si>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</si>
  <si>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</si>
  <si>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</si>
  <si>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</si>
  <si>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</si>
  <si>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</si>
  <si>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</si>
  <si>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</si>
  <si>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</si>
  <si>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</si>
  <si>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</si>
  <si>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</si>
  <si>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</si>
  <si>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</si>
  <si>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</si>
  <si>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</si>
  <si>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</si>
  <si>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</si>
  <si>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</si>
  <si>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</si>
  <si>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</si>
  <si>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</si>
  <si>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</si>
  <si>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</si>
  <si>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</si>
  <si>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</si>
  <si>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</si>
  <si>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</si>
  <si>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</si>
  <si>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</si>
  <si>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</si>
  <si>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</si>
  <si>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</si>
  <si>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</si>
  <si>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</si>
  <si>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</si>
  <si>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</si>
  <si>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</si>
  <si>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</si>
  <si>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</si>
  <si>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</si>
  <si>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</si>
  <si>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</si>
  <si>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</si>
  <si>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</si>
  <si>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</si>
  <si>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</si>
  <si>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</si>
  <si>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</si>
  <si>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</si>
  <si>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</si>
  <si>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</si>
  <si>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</si>
  <si>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</si>
  <si>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</si>
  <si>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</si>
  <si>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</si>
  <si>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</si>
  <si>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</si>
  <si>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</si>
  <si>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</si>
  <si>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</si>
  <si>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</si>
  <si>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</si>
  <si>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</si>
  <si>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</si>
  <si>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</si>
  <si>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</si>
  <si>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</si>
  <si>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</si>
  <si>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</si>
  <si>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</si>
  <si>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</si>
  <si>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</si>
  <si>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</si>
  <si>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</si>
  <si>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</si>
  <si>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</si>
  <si>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</si>
  <si>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</si>
  <si>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</si>
  <si>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</si>
  <si>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</si>
  <si>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</si>
  <si>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</si>
  <si>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</si>
  <si>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</si>
  <si>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</si>
  <si>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</si>
  <si>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</si>
  <si>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</si>
  <si>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</si>
  <si>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</si>
  <si>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</si>
  <si>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</si>
  <si>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</si>
  <si>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</si>
  <si>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</si>
  <si>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</si>
  <si>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</si>
  <si>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</si>
  <si>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</si>
  <si>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</si>
  <si>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</si>
  <si>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</si>
  <si>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</si>
  <si>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</si>
  <si>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</si>
  <si>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</si>
  <si>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</si>
  <si>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</si>
  <si>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</si>
  <si>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</si>
  <si>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</si>
  <si>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</si>
  <si>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</si>
  <si>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</si>
  <si>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</si>
  <si>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</si>
  <si>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</si>
  <si>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</si>
  <si>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</si>
  <si>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</si>
  <si>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</si>
  <si>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</si>
  <si>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</si>
  <si>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</si>
  <si>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</si>
  <si>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</si>
  <si>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</si>
  <si>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</si>
  <si>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</si>
  <si>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</si>
  <si>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</si>
  <si>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</si>
  <si>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</si>
  <si>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</si>
  <si>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</si>
  <si>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</si>
  <si>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</si>
  <si>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</si>
  <si>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</si>
  <si>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</si>
  <si>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</si>
  <si>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</si>
  <si>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</si>
  <si>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</si>
  <si>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</si>
  <si>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</si>
  <si>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</si>
  <si>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</si>
  <si>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</si>
  <si>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</si>
  <si>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</si>
  <si>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</si>
  <si>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</si>
  <si>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</si>
  <si>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</si>
  <si>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</si>
  <si>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</si>
  <si>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</si>
  <si>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</si>
  <si>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</si>
  <si>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</si>
  <si>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</si>
  <si>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</si>
  <si>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</si>
  <si>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</si>
  <si>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</si>
  <si>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</si>
  <si>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</si>
  <si>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</si>
  <si>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</si>
  <si>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</si>
  <si>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</si>
  <si>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</si>
  <si>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</si>
  <si>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</si>
  <si>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</si>
  <si>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</si>
  <si>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</si>
  <si>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</si>
  <si>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</si>
  <si>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</si>
  <si>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</si>
  <si>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</si>
  <si>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</si>
  <si>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</si>
  <si>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</si>
  <si>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</si>
  <si>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</si>
  <si>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</si>
  <si>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</si>
  <si>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</si>
  <si>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</si>
  <si>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</si>
  <si>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</si>
  <si>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</si>
  <si>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</si>
  <si>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</si>
  <si>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</si>
  <si>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</si>
  <si>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</si>
  <si>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</si>
  <si>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</si>
  <si>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</si>
  <si>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</si>
  <si>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</si>
  <si>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</si>
  <si>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</si>
  <si>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</si>
  <si>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</si>
  <si>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</si>
  <si>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</si>
  <si>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</si>
  <si>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</si>
  <si>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</si>
  <si>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</si>
  <si>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</si>
  <si>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</si>
  <si>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</si>
  <si>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</si>
  <si>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</si>
  <si>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</si>
  <si>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</si>
  <si>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</si>
  <si>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</si>
  <si>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</si>
  <si>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</si>
  <si>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</si>
  <si>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</si>
  <si>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</si>
  <si>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</si>
  <si>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</si>
  <si>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</si>
  <si>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</si>
  <si>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</si>
  <si>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</si>
  <si>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</si>
  <si>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</si>
  <si>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</si>
  <si>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</si>
  <si>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</si>
  <si>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</si>
  <si>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</si>
  <si>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</si>
  <si>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</si>
  <si>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</si>
  <si>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</si>
  <si>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</si>
  <si>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</si>
  <si>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</si>
  <si>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</si>
  <si>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</si>
  <si>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</si>
  <si>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</si>
  <si>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</si>
  <si>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</si>
  <si>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</si>
  <si>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</si>
  <si>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</si>
  <si>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</si>
  <si>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</si>
  <si>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</si>
  <si>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</si>
  <si>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</si>
  <si>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</si>
  <si>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</si>
  <si>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</si>
  <si>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</si>
  <si>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</si>
  <si>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</si>
  <si>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</si>
  <si>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</si>
  <si>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</si>
  <si>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</si>
  <si>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</si>
  <si>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</si>
  <si>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</si>
  <si>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</si>
  <si>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</si>
  <si>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</si>
  <si>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</si>
  <si>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</si>
  <si>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</si>
  <si>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</si>
  <si>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</si>
  <si>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</si>
  <si>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</si>
  <si>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</si>
  <si>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</si>
  <si>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</si>
  <si>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</si>
  <si>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</si>
  <si>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</si>
  <si>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</si>
  <si>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</si>
  <si>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</si>
  <si>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</si>
  <si>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</si>
  <si>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</si>
  <si>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</si>
  <si>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</si>
  <si>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</si>
  <si>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</si>
  <si>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</si>
  <si>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</si>
  <si>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</si>
  <si>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</si>
  <si>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</si>
  <si>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</si>
  <si>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</si>
  <si>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</si>
  <si>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</si>
  <si>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</si>
  <si>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</si>
  <si>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</si>
  <si>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</si>
  <si>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</si>
  <si>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</si>
  <si>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</si>
  <si>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</si>
  <si>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</si>
  <si>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</si>
  <si>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</si>
  <si>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</si>
  <si>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</si>
  <si>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</si>
  <si>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</si>
  <si>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</si>
  <si>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</si>
  <si>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</si>
  <si>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</si>
  <si>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</si>
  <si>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</si>
  <si>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</si>
  <si>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</si>
  <si>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</si>
  <si>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</si>
  <si>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</si>
  <si>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</si>
  <si>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</si>
  <si>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</si>
  <si>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</si>
  <si>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</si>
  <si>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</si>
  <si>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</si>
  <si>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</si>
  <si>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</si>
  <si>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</si>
  <si>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</si>
  <si>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</si>
  <si>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</si>
  <si>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</si>
  <si>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</si>
  <si>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</si>
  <si>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</si>
  <si>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</si>
  <si>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</si>
  <si>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</si>
  <si>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</si>
  <si>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</si>
  <si>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</si>
  <si>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</si>
  <si>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</si>
  <si>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</si>
  <si>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</si>
  <si>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</si>
  <si>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</si>
  <si>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</si>
  <si>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</si>
  <si>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</si>
  <si>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</si>
  <si>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</si>
  <si>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</si>
  <si>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</si>
  <si>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</si>
  <si>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</si>
  <si>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</si>
  <si>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</si>
  <si>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</si>
  <si>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</si>
  <si>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</si>
  <si>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</si>
  <si>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</si>
  <si>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</si>
  <si>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</si>
  <si>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</si>
  <si>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</si>
  <si>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</si>
  <si>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</si>
  <si>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</si>
  <si>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</si>
  <si>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</si>
  <si>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</si>
  <si>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</si>
  <si>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</si>
  <si>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</si>
  <si>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</si>
  <si>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</si>
  <si>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</si>
  <si>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</si>
  <si>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</si>
  <si>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</si>
  <si>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</si>
  <si>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</si>
  <si>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</si>
  <si>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</si>
  <si>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</si>
  <si>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</si>
  <si>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</si>
  <si>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</si>
  <si>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</si>
  <si>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</si>
  <si>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</si>
  <si>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</si>
  <si>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</si>
  <si>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</si>
  <si>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</si>
  <si>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</si>
  <si>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</si>
  <si>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</si>
  <si>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</si>
  <si>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</si>
  <si>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</si>
  <si>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</si>
  <si>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</si>
  <si>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</si>
  <si>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</si>
  <si>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</si>
  <si>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</si>
  <si>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</si>
  <si>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</si>
  <si>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</si>
  <si>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</si>
  <si>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</si>
  <si>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</si>
  <si>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</si>
  <si>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</si>
  <si>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</si>
  <si>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</si>
  <si>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</si>
  <si>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</si>
  <si>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</si>
  <si>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</si>
  <si>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</si>
  <si>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</si>
  <si>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</si>
  <si>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</si>
  <si>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</si>
  <si>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</si>
  <si>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</si>
  <si>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</si>
  <si>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</si>
  <si>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</si>
  <si>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</si>
  <si>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</si>
  <si>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</si>
  <si>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</si>
  <si>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</si>
  <si>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</si>
  <si>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</si>
  <si>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</si>
  <si>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</si>
  <si>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</si>
  <si>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</si>
  <si>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</si>
  <si>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</si>
  <si>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</si>
  <si>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</si>
  <si>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</si>
  <si>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</si>
  <si>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</si>
  <si>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</si>
  <si>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</si>
  <si>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</si>
  <si>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</si>
  <si>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</si>
  <si>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</si>
  <si>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</si>
  <si>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</si>
  <si>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</si>
  <si>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</si>
  <si>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</si>
  <si>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</si>
  <si>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</si>
  <si>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</si>
  <si>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</si>
  <si>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</si>
  <si>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</si>
  <si>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</si>
  <si>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</si>
  <si>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</si>
  <si>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</si>
  <si>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</si>
  <si>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</si>
  <si>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</si>
  <si>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</si>
  <si>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</si>
  <si>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</si>
  <si>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</si>
  <si>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</si>
  <si>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</si>
  <si>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</si>
  <si>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</si>
  <si>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</si>
  <si>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</si>
  <si>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</si>
  <si>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</si>
  <si>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</si>
  <si>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</si>
  <si>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</si>
  <si>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</si>
  <si>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</si>
  <si>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</si>
  <si>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</si>
  <si>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</si>
  <si>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</si>
  <si>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</si>
  <si>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</si>
  <si>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</si>
  <si>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</si>
  <si>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</si>
  <si>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</si>
  <si>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</si>
  <si>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</si>
  <si>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</si>
  <si>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</si>
  <si>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</si>
  <si>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</si>
  <si>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</si>
  <si>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</si>
  <si>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</si>
  <si>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</si>
  <si>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</si>
  <si>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</si>
  <si>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</si>
  <si>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</si>
  <si>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</si>
  <si>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</si>
  <si>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</si>
  <si>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</si>
  <si>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</si>
  <si>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</si>
  <si>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</si>
  <si>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</si>
  <si>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</si>
  <si>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</si>
  <si>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</si>
  <si>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</si>
  <si>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</si>
  <si>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</si>
  <si>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</si>
  <si>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</si>
  <si>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</si>
  <si>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</si>
  <si>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</si>
  <si>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</si>
  <si>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</si>
  <si>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</si>
  <si>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</si>
  <si>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</si>
  <si>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</si>
  <si>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</si>
  <si>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</si>
  <si>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</si>
  <si>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</si>
  <si>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</si>
  <si>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</si>
  <si>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</si>
  <si>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</si>
  <si>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</si>
  <si>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</si>
  <si>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</si>
  <si>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</si>
  <si>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</si>
  <si>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</si>
  <si>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</si>
  <si>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</si>
  <si>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</si>
  <si>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</si>
  <si>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</si>
  <si>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</si>
  <si>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</si>
  <si>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</si>
  <si>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</si>
  <si>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</si>
  <si>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</si>
  <si>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</si>
  <si>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</si>
  <si>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</si>
  <si>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</si>
  <si>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</si>
  <si>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</si>
  <si>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</si>
  <si>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</si>
  <si>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</si>
  <si>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</si>
  <si>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</si>
  <si>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</si>
  <si>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</si>
  <si>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</si>
  <si>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</si>
  <si>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</si>
  <si>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</si>
  <si>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</si>
  <si>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</si>
  <si>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</si>
  <si>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</si>
  <si>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</si>
  <si>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</si>
  <si>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</si>
  <si>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</si>
  <si>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</si>
  <si>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</si>
  <si>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</si>
  <si>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</si>
  <si>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</si>
  <si>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</si>
  <si>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</si>
  <si>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</si>
  <si>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</si>
  <si>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</si>
  <si>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</si>
  <si>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</si>
  <si>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</si>
  <si>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</si>
  <si>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</si>
  <si>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</si>
  <si>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</si>
  <si>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</si>
  <si>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</si>
  <si>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</si>
  <si>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</si>
  <si>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</si>
  <si>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</si>
  <si>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</si>
  <si>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</si>
  <si>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</si>
  <si>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</si>
  <si>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</si>
  <si>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</si>
  <si>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</si>
  <si>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</si>
  <si>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</si>
  <si>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</si>
  <si>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</si>
  <si>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</si>
  <si>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</si>
  <si>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</si>
  <si>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</si>
  <si>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</si>
  <si>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</si>
  <si>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</si>
  <si>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</si>
  <si>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</si>
  <si>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</si>
  <si>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</si>
  <si>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</si>
  <si>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</si>
  <si>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</si>
  <si>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</si>
  <si>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</si>
  <si>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</si>
  <si>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</si>
  <si>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</si>
  <si>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</si>
  <si>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</si>
  <si>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</si>
  <si>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</si>
  <si>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</si>
  <si>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</si>
  <si>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</si>
  <si>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</si>
  <si>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</si>
  <si>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</si>
  <si>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</si>
  <si>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</si>
  <si>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</si>
  <si>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</si>
  <si>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</si>
  <si>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</si>
  <si>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</si>
  <si>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</si>
  <si>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</si>
  <si>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</si>
  <si>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</si>
  <si>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</si>
  <si>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</si>
  <si>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</si>
  <si>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</si>
  <si>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</si>
  <si>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</si>
  <si>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</si>
  <si>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</si>
  <si>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</si>
  <si>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</si>
  <si>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</si>
  <si>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</si>
  <si>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</si>
  <si>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</si>
  <si>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</si>
  <si>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</si>
  <si>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</si>
  <si>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</si>
  <si>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</si>
  <si>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</si>
  <si>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</si>
  <si>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</si>
  <si>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</si>
  <si>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</si>
  <si>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</si>
  <si>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</si>
  <si>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</si>
  <si>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</si>
  <si>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</si>
  <si>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</si>
  <si>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</si>
  <si>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</si>
  <si>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</si>
  <si>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</si>
  <si>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</si>
  <si>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</si>
  <si>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</si>
  <si>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</si>
  <si>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</si>
  <si>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</si>
  <si>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</si>
  <si>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</si>
  <si>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</si>
  <si>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</si>
  <si>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</si>
  <si>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</si>
  <si>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</si>
  <si>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</si>
  <si>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</si>
  <si>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</si>
  <si>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</si>
  <si>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</si>
  <si>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</si>
  <si>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</si>
  <si>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</si>
  <si>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</si>
  <si>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</si>
  <si>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</si>
  <si>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</si>
  <si>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</si>
  <si>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</si>
  <si>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</si>
  <si>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</si>
  <si>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</si>
  <si>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</si>
  <si>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</si>
  <si>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</si>
  <si>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</si>
  <si>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</si>
  <si>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</si>
  <si>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</si>
  <si>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</si>
  <si>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</si>
  <si>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</si>
  <si>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</si>
  <si>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</si>
  <si>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</si>
  <si>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</si>
  <si>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</si>
  <si>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</si>
  <si>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</si>
  <si>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</si>
  <si>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</si>
  <si>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</si>
  <si>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</si>
  <si>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</si>
  <si>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</si>
  <si>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</si>
  <si>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</si>
  <si>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</si>
  <si>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</si>
  <si>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</si>
  <si>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</si>
  <si>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</si>
  <si>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</si>
  <si>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</si>
  <si>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</si>
  <si>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</si>
  <si>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</si>
  <si>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</si>
  <si>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</si>
  <si>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</si>
  <si>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</si>
  <si>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</si>
  <si>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</si>
  <si>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</si>
  <si>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</si>
  <si>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</si>
  <si>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</si>
  <si>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</si>
  <si>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</si>
  <si>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</si>
  <si>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</si>
  <si>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</si>
  <si>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</si>
  <si>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</si>
  <si>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</si>
  <si>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</si>
  <si>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</si>
  <si>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</si>
  <si>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</si>
  <si>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</si>
  <si>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</si>
  <si>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</si>
  <si>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</si>
  <si>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</si>
  <si>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</si>
  <si>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</si>
  <si>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</si>
  <si>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</si>
  <si>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</si>
  <si>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</si>
  <si>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</si>
  <si>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</si>
  <si>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</si>
  <si>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</si>
  <si>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</si>
  <si>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</si>
  <si>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</si>
  <si>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</si>
  <si>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</si>
  <si>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</si>
  <si>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</si>
  <si>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</si>
  <si>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</si>
  <si>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</si>
  <si>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</si>
  <si>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</si>
  <si>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</si>
  <si>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</si>
  <si>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</si>
  <si>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</si>
  <si>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</si>
  <si>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</si>
  <si>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</si>
  <si>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</si>
  <si>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</si>
  <si>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</si>
  <si>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</si>
  <si>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</si>
  <si>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</si>
  <si>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</si>
  <si>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</si>
  <si>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</si>
  <si>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</si>
  <si>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</si>
  <si>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</si>
  <si>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</si>
  <si>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</si>
  <si>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</si>
  <si>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</si>
  <si>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</si>
  <si>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</si>
  <si>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</si>
  <si>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</si>
  <si>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</si>
  <si>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</si>
  <si>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</si>
  <si>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</si>
  <si>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</si>
  <si>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</si>
  <si>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</si>
  <si>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</si>
  <si>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</si>
  <si>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</si>
  <si>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</si>
  <si>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</si>
  <si>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</si>
  <si>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</si>
  <si>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</si>
  <si>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</si>
  <si>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</si>
  <si>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</si>
  <si>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</si>
  <si>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</si>
  <si>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</si>
  <si>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</si>
  <si>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</si>
  <si>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</si>
  <si>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</si>
  <si>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</si>
  <si>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</si>
  <si>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</si>
  <si>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</si>
  <si>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</si>
  <si>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</si>
  <si>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</si>
  <si>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</si>
  <si>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</si>
  <si>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</si>
  <si>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</si>
  <si>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</si>
  <si>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</si>
  <si>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</si>
  <si>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</si>
  <si>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</si>
  <si>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</si>
  <si>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</si>
  <si>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</si>
  <si>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</si>
  <si>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</si>
  <si>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</si>
  <si>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</si>
  <si>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</si>
  <si>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</si>
  <si>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</si>
  <si>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</si>
  <si>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</si>
  <si>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</si>
  <si>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</si>
  <si>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</si>
  <si>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</si>
  <si>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</si>
  <si>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</si>
  <si>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</si>
  <si>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</si>
  <si>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</si>
  <si>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</si>
  <si>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</si>
  <si>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</si>
  <si>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</si>
  <si>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</si>
  <si>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</si>
  <si>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</si>
  <si>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</si>
  <si>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</si>
  <si>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</si>
  <si>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</si>
  <si>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</si>
  <si>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</si>
  <si>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</si>
  <si>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</si>
  <si>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</si>
  <si>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</si>
  <si>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</si>
  <si>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</si>
  <si>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</si>
  <si>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</si>
  <si>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</si>
  <si>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</si>
  <si>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</si>
  <si>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</si>
  <si>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</si>
  <si>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</si>
  <si>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</si>
  <si>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</si>
  <si>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</si>
  <si>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</si>
  <si>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</si>
  <si>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</si>
  <si>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</si>
  <si>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</si>
  <si>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</si>
  <si>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</si>
  <si>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</si>
  <si>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</si>
  <si>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</si>
  <si>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</si>
  <si>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</si>
  <si>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</si>
  <si>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</si>
  <si>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</si>
  <si>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</si>
  <si>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</si>
  <si>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</si>
  <si>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</si>
  <si>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</si>
  <si>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</si>
  <si>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</si>
  <si>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</si>
  <si>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</si>
  <si>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</si>
  <si>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</si>
  <si>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</si>
  <si>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</si>
  <si>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</si>
  <si>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</si>
  <si>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</si>
  <si>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</si>
  <si>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</si>
  <si>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</si>
  <si>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</si>
  <si>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</si>
  <si>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</si>
  <si>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</si>
  <si>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</si>
  <si>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</si>
  <si>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</si>
  <si>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</si>
  <si>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</si>
  <si>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</si>
  <si>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</si>
  <si>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</si>
  <si>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</si>
  <si>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</si>
  <si>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</si>
  <si>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</si>
  <si>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</si>
  <si>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</si>
  <si>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</si>
  <si>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</si>
  <si>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</si>
  <si>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</si>
  <si>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</si>
  <si>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</si>
  <si>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</si>
  <si>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</si>
  <si>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</si>
  <si>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</si>
  <si>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</si>
  <si>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</si>
  <si>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</si>
  <si>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</si>
  <si>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</si>
  <si>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</si>
  <si>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</si>
  <si>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</si>
  <si>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</si>
  <si>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</si>
  <si>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</si>
  <si>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</si>
  <si>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</si>
  <si>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</si>
  <si>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</si>
  <si>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</si>
  <si>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</si>
  <si>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</si>
  <si>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</si>
  <si>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</si>
  <si>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</si>
  <si>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</si>
  <si>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</si>
  <si>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</si>
  <si>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</si>
  <si>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</si>
  <si>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</si>
  <si>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</si>
  <si>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</si>
  <si>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</si>
  <si>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</si>
  <si>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</si>
  <si>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</si>
  <si>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</si>
  <si>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</si>
  <si>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</si>
  <si>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</si>
  <si>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</si>
  <si>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</si>
  <si>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</si>
  <si>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</si>
  <si>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</si>
  <si>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</si>
  <si>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</si>
  <si>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</si>
  <si>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</si>
  <si>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</si>
  <si>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</si>
  <si>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</si>
  <si>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</si>
  <si>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</si>
  <si>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</si>
  <si>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</si>
  <si>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</si>
  <si>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</si>
  <si>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</si>
  <si>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</si>
  <si>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</si>
  <si>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</si>
  <si>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</si>
  <si>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</si>
  <si>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</si>
  <si>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</si>
  <si>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</si>
  <si>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</si>
  <si>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</si>
  <si>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</si>
  <si>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</si>
  <si>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</si>
  <si>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</si>
  <si>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</si>
  <si>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</si>
  <si>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</si>
  <si>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</si>
  <si>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</si>
  <si>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</si>
  <si>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</si>
  <si>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</si>
  <si>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</si>
  <si>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</si>
  <si>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</si>
  <si>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</si>
  <si>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</si>
  <si>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</si>
  <si>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</si>
  <si>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</si>
  <si>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</si>
  <si>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</si>
  <si>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</si>
  <si>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</si>
  <si>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</si>
  <si>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</si>
  <si>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</si>
  <si>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</si>
  <si>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</si>
  <si>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</si>
  <si>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</si>
  <si>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</si>
  <si>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</si>
  <si>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</si>
  <si>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</si>
  <si>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</si>
  <si>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</si>
  <si>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</si>
  <si>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</si>
  <si>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</si>
  <si>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</si>
  <si>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</si>
  <si>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</si>
  <si>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</si>
  <si>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</si>
  <si>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</si>
  <si>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</si>
  <si>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</si>
  <si>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</si>
  <si>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</si>
  <si>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</si>
  <si>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</si>
  <si>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</si>
  <si>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</si>
  <si>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</si>
  <si>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</si>
  <si>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</si>
  <si>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</si>
  <si>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</si>
  <si>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</si>
  <si>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</si>
  <si>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</si>
  <si>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</si>
  <si>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</si>
  <si>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</si>
  <si>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</si>
  <si>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</si>
  <si>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</si>
  <si>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</si>
  <si>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</si>
  <si>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</si>
  <si>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</si>
  <si>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</si>
  <si>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</si>
  <si>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</si>
  <si>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</si>
  <si>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</si>
  <si>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</si>
  <si>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</si>
  <si>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</si>
  <si>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</si>
  <si>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</si>
  <si>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</si>
  <si>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</si>
  <si>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</si>
  <si>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</si>
  <si>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</si>
  <si>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</si>
  <si>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</si>
  <si>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</si>
  <si>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</si>
  <si>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</si>
  <si>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</si>
  <si>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</si>
  <si>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</si>
  <si>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</si>
  <si>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</si>
  <si>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</si>
  <si>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</si>
  <si>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</si>
  <si>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</si>
  <si>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</si>
  <si>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</si>
  <si>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</si>
  <si>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</si>
  <si>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</si>
  <si>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</si>
  <si>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</si>
  <si>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</si>
  <si>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</si>
  <si>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</si>
  <si>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</si>
  <si>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</si>
  <si>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</si>
  <si>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</si>
  <si>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</si>
  <si>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</si>
  <si>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</si>
  <si>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</si>
  <si>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</si>
  <si>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</si>
  <si>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</si>
  <si>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</si>
  <si>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</si>
  <si>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</si>
  <si>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</si>
  <si>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</si>
  <si>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</si>
  <si>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</si>
  <si>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</si>
  <si>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</si>
  <si>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</si>
  <si>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</si>
  <si>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</si>
  <si>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</si>
  <si>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</si>
  <si>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</si>
  <si>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</si>
  <si>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</si>
  <si>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</si>
  <si>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</si>
  <si>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</si>
  <si>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</si>
  <si>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</si>
  <si>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</si>
  <si>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</si>
  <si>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</si>
  <si>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</si>
  <si>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</si>
  <si>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</si>
  <si>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</si>
  <si>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</si>
  <si>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</si>
  <si>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</si>
  <si>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</si>
  <si>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</si>
  <si>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</si>
  <si>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</si>
  <si>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</si>
  <si>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</si>
  <si>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</si>
  <si>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</si>
  <si>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</si>
  <si>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</si>
  <si>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</si>
  <si>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</si>
  <si>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</si>
  <si>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</si>
  <si>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</si>
  <si>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</si>
  <si>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</si>
  <si>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</si>
  <si>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</si>
  <si>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</si>
  <si>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</si>
  <si>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</si>
  <si>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</si>
  <si>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</si>
  <si>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</si>
  <si>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</si>
  <si>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</si>
  <si>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</si>
  <si>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</si>
  <si>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</si>
  <si>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</si>
  <si>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</si>
  <si>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</si>
  <si>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</si>
  <si>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</si>
  <si>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</si>
  <si>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</si>
  <si>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</si>
  <si>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</si>
  <si>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</si>
  <si>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</si>
  <si>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</si>
  <si>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</si>
  <si>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</si>
  <si>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</si>
  <si>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</si>
  <si>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</si>
  <si>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</si>
  <si>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</si>
  <si>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</si>
  <si>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</si>
  <si>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</si>
  <si>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</si>
  <si>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</si>
  <si>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</si>
  <si>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</si>
  <si>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</si>
  <si>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</si>
  <si>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</si>
  <si>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</si>
  <si>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</si>
  <si>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</si>
  <si>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</si>
  <si>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</si>
  <si>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</si>
  <si>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</si>
  <si>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</si>
  <si>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</si>
  <si>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</si>
  <si>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</si>
  <si>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</si>
  <si>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</si>
  <si>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Dataset</t>
  </si>
  <si>
    <t>Mean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</si>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</sst>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 wrapText="1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42-44E5-8A20-5E2BE8FD243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42-44E5-8A20-5E2BE8FD243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42-44E5-8A20-5E2BE8FD2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871168"/>
        <c:axId val="496871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B42-44E5-8A20-5E2BE8FD243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B42-44E5-8A20-5E2BE8FD243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B42-44E5-8A20-5E2BE8FD243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B42-44E5-8A20-5E2BE8FD243F}"/>
                  </c:ext>
                </c:extLst>
              </c15:ser>
            </c15:filteredLineSeries>
          </c:ext>
        </c:extLst>
      </c:lineChart>
      <c:catAx>
        <c:axId val="49687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71496"/>
        <c:crosses val="autoZero"/>
        <c:auto val="1"/>
        <c:lblAlgn val="ctr"/>
        <c:lblOffset val="100"/>
        <c:noMultiLvlLbl val="0"/>
      </c:catAx>
      <c:valAx>
        <c:axId val="49687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7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4-4C86-A279-4270A10E4C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4-4C86-A279-4270A10E4C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94-4C86-A279-4270A10E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93112"/>
        <c:axId val="505290488"/>
      </c:lineChart>
      <c:catAx>
        <c:axId val="50529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90488"/>
        <c:crosses val="autoZero"/>
        <c:auto val="1"/>
        <c:lblAlgn val="ctr"/>
        <c:lblOffset val="100"/>
        <c:noMultiLvlLbl val="0"/>
      </c:catAx>
      <c:valAx>
        <c:axId val="50529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9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6-4D16-ACE4-F4FF871B853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C6-4D16-ACE4-F4FF871B853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C6-4D16-ACE4-F4FF871B853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C6-4D16-ACE4-F4FF871B8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669888"/>
        <c:axId val="562672840"/>
      </c:barChart>
      <c:catAx>
        <c:axId val="5626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72840"/>
        <c:crosses val="autoZero"/>
        <c:auto val="1"/>
        <c:lblAlgn val="ctr"/>
        <c:lblOffset val="100"/>
        <c:noMultiLvlLbl val="0"/>
      </c:catAx>
      <c:valAx>
        <c:axId val="56267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6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Subcategory Breakdown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0-48AB-9545-7B4BD46441C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90-48AB-9545-7B4BD46441C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90-48AB-9545-7B4BD4644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033016"/>
        <c:axId val="578030064"/>
      </c:barChart>
      <c:catAx>
        <c:axId val="57803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30064"/>
        <c:crosses val="autoZero"/>
        <c:auto val="1"/>
        <c:lblAlgn val="ctr"/>
        <c:lblOffset val="100"/>
        <c:noMultiLvlLbl val="0"/>
      </c:catAx>
      <c:valAx>
        <c:axId val="5780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3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A-40ED-B215-0A286D40C6B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A-40ED-B215-0A286D40C6B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7A-40ED-B215-0A286D40C6B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7A-40ED-B215-0A286D40C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723792"/>
        <c:axId val="533722808"/>
      </c:lineChart>
      <c:catAx>
        <c:axId val="53372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22808"/>
        <c:crosses val="autoZero"/>
        <c:auto val="1"/>
        <c:lblAlgn val="ctr"/>
        <c:lblOffset val="100"/>
        <c:noMultiLvlLbl val="0"/>
      </c:catAx>
      <c:valAx>
        <c:axId val="53372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72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655320</xdr:colOff>
      <xdr:row>16</xdr:row>
      <xdr:rowOff>163830</xdr:rowOff>
    </xdr:from>
    <xdr:to>
      <xdr:col>12</xdr:col>
      <xdr:colOff>1311910</xdr:colOff>
      <xdr:row>41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1578B-2257-4300-ADD4-602E29667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0</xdr:row>
      <xdr:rowOff>125730</xdr:rowOff>
    </xdr:from>
    <xdr:to>
      <xdr:col>20</xdr:col>
      <xdr:colOff>303530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8127D-0EA0-4FF2-98BB-F7BA96086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0</xdr:row>
      <xdr:rowOff>179070</xdr:rowOff>
    </xdr:from>
    <xdr:to>
      <xdr:col>17</xdr:col>
      <xdr:colOff>85090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D1986-12D7-472A-92EF-E957D55FD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0</xdr:row>
      <xdr:rowOff>80010</xdr:rowOff>
    </xdr:from>
    <xdr:to>
      <xdr:col>14</xdr:col>
      <xdr:colOff>632460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B4CF2F-F236-4790-8617-4FD1C29D8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156210</xdr:rowOff>
    </xdr:from>
    <xdr:to>
      <xdr:col>16</xdr:col>
      <xdr:colOff>146050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72978-7686-480E-8E8E-1C6E5B48E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430.527646875002" createdVersion="7" refreshedVersion="7" minRefreshableVersion="3" recordCount="4114" xr:uid="{3BA313D3-8A18-4633-A444-C8491632776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430.562050694447" createdVersion="7" refreshedVersion="7" minRefreshableVersion="3" recordCount="4114" xr:uid="{DD223F5C-F1A3-4EE3-A84C-E317799055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431.744677430557" createdVersion="7" refreshedVersion="7" minRefreshableVersion="3" recordCount="4114" xr:uid="{6DDB235C-C6D7-4C4C-891E-4743CEEFCB4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x v="0"/>
    <b v="0"/>
    <n v="182"/>
    <b v="1"/>
    <s v="film &amp; video/television"/>
    <n v="137"/>
    <n v="63.92"/>
    <x v="0"/>
    <x v="0"/>
  </r>
  <r>
    <n v="1"/>
    <x v="1"/>
    <s v="A Hannibal TV Show Fan Convention and Art Collective"/>
    <x v="1"/>
    <x v="1"/>
    <x v="0"/>
    <x v="0"/>
    <s v="USD"/>
    <n v="1488464683"/>
    <x v="1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x v="2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x v="3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x v="4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x v="5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x v="6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x v="7"/>
    <b v="0"/>
    <n v="57"/>
    <b v="1"/>
    <s v="film &amp; video/television"/>
    <n v="101"/>
    <n v="159.82"/>
    <x v="0"/>
    <x v="0"/>
  </r>
  <r>
    <n v="8"/>
    <x v="8"/>
    <s v="Help us raise the funds to film our pilot episode!"/>
    <x v="8"/>
    <x v="8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x v="9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x v="10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x v="11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x v="12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x v="13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x v="12"/>
    <x v="14"/>
    <x v="0"/>
    <x v="2"/>
    <s v="AUD"/>
    <n v="1405259940"/>
    <x v="14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x v="15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x v="16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x v="17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x v="18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x v="19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x v="20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x v="21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x v="22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x v="23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x v="19"/>
    <x v="24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x v="25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x v="26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x v="14"/>
    <x v="28"/>
    <x v="0"/>
    <x v="0"/>
    <s v="USD"/>
    <n v="1450307284"/>
    <x v="28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x v="29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x v="30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x v="31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x v="32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x v="33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x v="34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x v="35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x v="12"/>
    <x v="36"/>
    <x v="0"/>
    <x v="0"/>
    <s v="USD"/>
    <n v="1428128525"/>
    <x v="36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x v="38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x v="39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x v="40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x v="41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x v="45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x v="46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x v="4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x v="48"/>
    <b v="0"/>
    <n v="38"/>
    <b v="1"/>
    <s v="film &amp; video/television"/>
    <n v="108"/>
    <n v="56.82"/>
    <x v="0"/>
    <x v="0"/>
  </r>
  <r>
    <n v="49"/>
    <x v="49"/>
    <s v="Driving Jersey is real people telling real stories."/>
    <x v="14"/>
    <x v="48"/>
    <x v="0"/>
    <x v="0"/>
    <s v="USD"/>
    <n v="1445660045"/>
    <x v="49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x v="50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x v="9"/>
    <x v="52"/>
    <x v="0"/>
    <x v="0"/>
    <s v="USD"/>
    <n v="1396648800"/>
    <x v="53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x v="54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x v="56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x v="57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x v="58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x v="60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x v="61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x v="62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x v="6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x v="64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x v="13"/>
    <x v="65"/>
    <x v="0"/>
    <x v="0"/>
    <s v="USD"/>
    <n v="1468873420"/>
    <x v="66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x v="67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x v="68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x v="69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x v="71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x v="72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x v="73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x v="74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x v="75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x v="76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x v="7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x v="78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x v="80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x v="81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x v="82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x v="83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x v="86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x v="87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x v="88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x v="89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x v="2"/>
    <x v="89"/>
    <x v="0"/>
    <x v="0"/>
    <s v="USD"/>
    <n v="1310454499"/>
    <x v="90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x v="92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x v="93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x v="94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x v="95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x v="96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x v="97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x v="98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x v="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x v="100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x v="101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x v="102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x v="103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x v="104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x v="106"/>
    <s v="A Boy. A Girl. A Car. A Serial Killer."/>
    <x v="10"/>
    <x v="102"/>
    <x v="0"/>
    <x v="0"/>
    <s v="USD"/>
    <n v="1333391901"/>
    <x v="106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x v="10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x v="108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x v="109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x v="110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x v="111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x v="112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x v="10"/>
    <x v="108"/>
    <x v="0"/>
    <x v="0"/>
    <s v="USD"/>
    <n v="1312642800"/>
    <x v="113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x v="114"/>
    <b v="0"/>
    <n v="35"/>
    <b v="1"/>
    <s v="film &amp; video/shorts"/>
    <n v="103"/>
    <n v="88.57"/>
    <x v="0"/>
    <x v="1"/>
  </r>
  <r>
    <n v="115"/>
    <x v="115"/>
    <s v="Never judge a book (or a lover) by their cover."/>
    <x v="52"/>
    <x v="110"/>
    <x v="0"/>
    <x v="0"/>
    <s v="USD"/>
    <n v="1328377444"/>
    <x v="115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x v="117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x v="118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x v="119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x v="120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x v="121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x v="122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x v="124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x v="57"/>
    <x v="122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x v="129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x v="130"/>
    <b v="0"/>
    <n v="0"/>
    <b v="0"/>
    <s v="film &amp; video/science fiction"/>
    <n v="0"/>
    <n v="0"/>
    <x v="0"/>
    <x v="2"/>
  </r>
  <r>
    <n v="131"/>
    <x v="131"/>
    <s v="I"/>
    <x v="38"/>
    <x v="117"/>
    <x v="1"/>
    <x v="0"/>
    <s v="USD"/>
    <n v="1467763200"/>
    <x v="13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x v="133"/>
    <b v="0"/>
    <n v="0"/>
    <b v="0"/>
    <s v="film &amp; video/science fiction"/>
    <n v="0"/>
    <n v="0"/>
    <x v="0"/>
    <x v="2"/>
  </r>
  <r>
    <n v="134"/>
    <x v="134"/>
    <s v="steampunk  remake of &quot;a Christmas carol&quot;"/>
    <x v="10"/>
    <x v="117"/>
    <x v="1"/>
    <x v="0"/>
    <s v="USD"/>
    <n v="1441386000"/>
    <x v="134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x v="136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x v="137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x v="140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x v="142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x v="143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x v="39"/>
    <x v="117"/>
    <x v="1"/>
    <x v="1"/>
    <s v="GBP"/>
    <n v="1420741080"/>
    <x v="147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x v="15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x v="152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x v="157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x v="15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x v="159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x v="160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x v="161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x v="162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x v="163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x v="164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x v="73"/>
    <x v="117"/>
    <x v="2"/>
    <x v="1"/>
    <s v="GBP"/>
    <n v="1452613724"/>
    <x v="165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x v="166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x v="167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x v="168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x v="16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x v="170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x v="171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x v="172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x v="173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x v="174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x v="175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x v="176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x v="177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x v="178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x v="28"/>
    <x v="148"/>
    <x v="2"/>
    <x v="0"/>
    <s v="USD"/>
    <n v="1457056555"/>
    <x v="179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x v="180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x v="181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x v="182"/>
    <b v="0"/>
    <n v="0"/>
    <b v="0"/>
    <s v="film &amp; video/drama"/>
    <n v="0"/>
    <n v="0"/>
    <x v="0"/>
    <x v="3"/>
  </r>
  <r>
    <n v="183"/>
    <x v="183"/>
    <s v="Don't kill me until I meet my Dad"/>
    <x v="78"/>
    <x v="151"/>
    <x v="2"/>
    <x v="1"/>
    <s v="GBP"/>
    <n v="1417033610"/>
    <x v="183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x v="184"/>
    <b v="0"/>
    <n v="2"/>
    <b v="0"/>
    <s v="film &amp; video/drama"/>
    <n v="3"/>
    <n v="25.5"/>
    <x v="0"/>
    <x v="3"/>
  </r>
  <r>
    <n v="185"/>
    <x v="185"/>
    <s v="Love has no boundaries!"/>
    <x v="79"/>
    <x v="153"/>
    <x v="2"/>
    <x v="10"/>
    <s v="NOK"/>
    <n v="1471557139"/>
    <x v="185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x v="186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x v="18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x v="188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x v="189"/>
    <b v="0"/>
    <n v="5"/>
    <b v="0"/>
    <s v="film &amp; video/drama"/>
    <n v="0"/>
    <n v="69"/>
    <x v="0"/>
    <x v="3"/>
  </r>
  <r>
    <n v="190"/>
    <x v="190"/>
    <s v="Because hope can be a 4 letter word"/>
    <x v="14"/>
    <x v="155"/>
    <x v="2"/>
    <x v="0"/>
    <s v="USD"/>
    <n v="1466091446"/>
    <x v="190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x v="191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x v="19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x v="193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x v="194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x v="195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x v="196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x v="197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x v="198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x v="199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x v="200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x v="201"/>
    <b v="0"/>
    <n v="7"/>
    <b v="0"/>
    <s v="film &amp; video/drama"/>
    <n v="58"/>
    <n v="54.29"/>
    <x v="0"/>
    <x v="3"/>
  </r>
  <r>
    <n v="202"/>
    <x v="202"/>
    <s v="new web series created by jonney terry"/>
    <x v="12"/>
    <x v="117"/>
    <x v="2"/>
    <x v="0"/>
    <s v="USD"/>
    <n v="1444337940"/>
    <x v="202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x v="203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x v="205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x v="206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x v="207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x v="208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x v="209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x v="210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x v="211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x v="212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x v="213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x v="214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x v="215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x v="216"/>
    <b v="0"/>
    <n v="84"/>
    <b v="0"/>
    <s v="film &amp; video/drama"/>
    <n v="56"/>
    <n v="331.54"/>
    <x v="0"/>
    <x v="3"/>
  </r>
  <r>
    <n v="217"/>
    <x v="217"/>
    <s v="A roadmovie by paw"/>
    <x v="57"/>
    <x v="172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x v="218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x v="219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x v="220"/>
    <b v="0"/>
    <n v="3"/>
    <b v="0"/>
    <s v="film &amp; video/drama"/>
    <n v="1"/>
    <n v="120"/>
    <x v="0"/>
    <x v="3"/>
  </r>
  <r>
    <n v="221"/>
    <x v="221"/>
    <s v="Film about Schizophrenia with Surreal Twists!"/>
    <x v="63"/>
    <x v="117"/>
    <x v="2"/>
    <x v="0"/>
    <s v="USD"/>
    <n v="1427569564"/>
    <x v="221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x v="222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x v="223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x v="224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x v="225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x v="226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x v="227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x v="6"/>
    <x v="117"/>
    <x v="2"/>
    <x v="1"/>
    <s v="GBP"/>
    <n v="1433176105"/>
    <x v="228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x v="229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x v="230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x v="23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x v="232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x v="233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x v="234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x v="235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x v="236"/>
    <b v="0"/>
    <n v="0"/>
    <b v="0"/>
    <s v="film &amp; video/drama"/>
    <n v="0"/>
    <n v="0"/>
    <x v="0"/>
    <x v="3"/>
  </r>
  <r>
    <n v="237"/>
    <x v="237"/>
    <s v="Making The Choice is a christian short film series."/>
    <x v="36"/>
    <x v="155"/>
    <x v="2"/>
    <x v="0"/>
    <s v="USD"/>
    <n v="1457445069"/>
    <x v="237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x v="238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x v="239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x v="6"/>
    <x v="194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x v="102"/>
    <x v="221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x v="36"/>
    <x v="22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x v="2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x v="103"/>
    <x v="235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x v="307"/>
    <s v="Why is grammar important?"/>
    <x v="29"/>
    <x v="244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x v="338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x v="342"/>
    <s v="BREAKING A MONSTER needs your help to play in THEATERS!"/>
    <x v="56"/>
    <x v="279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x v="420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x v="421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x v="422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x v="423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x v="424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x v="425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x v="426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x v="427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x v="14"/>
    <x v="362"/>
    <x v="2"/>
    <x v="0"/>
    <s v="USD"/>
    <n v="1402956000"/>
    <x v="428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x v="429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x v="430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x v="431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x v="432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x v="433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x v="434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x v="435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x v="436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x v="437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x v="43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x v="439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x v="440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x v="441"/>
    <b v="0"/>
    <n v="0"/>
    <b v="0"/>
    <s v="film &amp; video/animation"/>
    <n v="0"/>
    <n v="0"/>
    <x v="0"/>
    <x v="5"/>
  </r>
  <r>
    <n v="442"/>
    <x v="442"/>
    <s v="Doomsday is here"/>
    <x v="73"/>
    <x v="368"/>
    <x v="2"/>
    <x v="0"/>
    <s v="USD"/>
    <n v="1424380783"/>
    <x v="442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x v="443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x v="444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x v="44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x v="446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x v="447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x v="448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x v="449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x v="45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x v="45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x v="452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x v="453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x v="455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x v="457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x v="459"/>
    <b v="0"/>
    <n v="1"/>
    <b v="0"/>
    <s v="film &amp; video/animation"/>
    <n v="0"/>
    <n v="25"/>
    <x v="0"/>
    <x v="5"/>
  </r>
  <r>
    <n v="460"/>
    <x v="460"/>
    <s v="An animated web series about biological evolution gone haywire."/>
    <x v="0"/>
    <x v="379"/>
    <x v="2"/>
    <x v="0"/>
    <s v="USD"/>
    <n v="1401595200"/>
    <x v="460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x v="461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x v="462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x v="46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x v="464"/>
    <b v="0"/>
    <n v="1"/>
    <b v="0"/>
    <s v="film &amp; video/animation"/>
    <n v="0"/>
    <n v="1"/>
    <x v="0"/>
    <x v="5"/>
  </r>
  <r>
    <n v="465"/>
    <x v="465"/>
    <s v="&quot;Amp&quot; is a short film about a robot with needs."/>
    <x v="133"/>
    <x v="381"/>
    <x v="2"/>
    <x v="0"/>
    <s v="USD"/>
    <n v="1403837574"/>
    <x v="465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x v="466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x v="467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x v="468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x v="12"/>
    <x v="117"/>
    <x v="2"/>
    <x v="1"/>
    <s v="GBP"/>
    <n v="1409960724"/>
    <x v="469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x v="470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x v="472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x v="473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x v="474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x v="475"/>
    <b v="0"/>
    <n v="0"/>
    <b v="0"/>
    <s v="film &amp; video/animation"/>
    <n v="0"/>
    <n v="0"/>
    <x v="0"/>
    <x v="5"/>
  </r>
  <r>
    <n v="476"/>
    <x v="476"/>
    <s v="Animated Music Videos that teach kids how to read."/>
    <x v="135"/>
    <x v="387"/>
    <x v="2"/>
    <x v="0"/>
    <s v="USD"/>
    <n v="1401767940"/>
    <x v="476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x v="477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x v="478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x v="479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x v="480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x v="481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x v="482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x v="483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x v="484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x v="485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x v="486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x v="487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x v="488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x v="489"/>
    <b v="0"/>
    <n v="3"/>
    <b v="0"/>
    <s v="film &amp; video/animation"/>
    <n v="0"/>
    <n v="71.67"/>
    <x v="0"/>
    <x v="5"/>
  </r>
  <r>
    <n v="490"/>
    <x v="490"/>
    <s v="Cancelled"/>
    <x v="28"/>
    <x v="117"/>
    <x v="2"/>
    <x v="0"/>
    <s v="USD"/>
    <n v="1345677285"/>
    <x v="490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x v="491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x v="492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x v="493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x v="494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x v="49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x v="496"/>
    <b v="0"/>
    <n v="1"/>
    <b v="0"/>
    <s v="film &amp; video/animation"/>
    <n v="0"/>
    <n v="1"/>
    <x v="0"/>
    <x v="5"/>
  </r>
  <r>
    <n v="497"/>
    <x v="497"/>
    <s v="live-action/animated series pilot."/>
    <x v="140"/>
    <x v="134"/>
    <x v="2"/>
    <x v="0"/>
    <s v="USD"/>
    <n v="1419483600"/>
    <x v="497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x v="498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x v="500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x v="50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x v="502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x v="5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x v="504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x v="505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x v="506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x v="50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x v="509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x v="510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x v="511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x v="512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x v="513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x v="515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x v="10"/>
    <x v="117"/>
    <x v="2"/>
    <x v="1"/>
    <s v="GBP"/>
    <n v="1432752080"/>
    <x v="516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x v="517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x v="518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x v="520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x v="521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x v="522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x v="524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x v="525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x v="526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x v="527"/>
    <b v="0"/>
    <n v="158"/>
    <b v="1"/>
    <s v="theater/plays"/>
    <n v="101"/>
    <n v="63.83"/>
    <x v="1"/>
    <x v="6"/>
  </r>
  <r>
    <n v="528"/>
    <x v="528"/>
    <s v="A Festival Backed Production of a Full-Length Play."/>
    <x v="146"/>
    <x v="414"/>
    <x v="0"/>
    <x v="0"/>
    <s v="USD"/>
    <n v="1434921600"/>
    <x v="528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x v="529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x v="530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x v="531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x v="533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x v="534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x v="53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x v="536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x v="537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x v="538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x v="539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x v="540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x v="541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x v="542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x v="543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x v="544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x v="545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x v="546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x v="547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x v="5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x v="549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x v="550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x v="551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x v="552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x v="553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x v="554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x v="555"/>
    <b v="0"/>
    <n v="0"/>
    <b v="0"/>
    <s v="technology/web"/>
    <n v="0"/>
    <n v="0"/>
    <x v="2"/>
    <x v="7"/>
  </r>
  <r>
    <n v="556"/>
    <x v="556"/>
    <s v="An educational platform for learning Unified English Braille Code"/>
    <x v="6"/>
    <x v="148"/>
    <x v="2"/>
    <x v="0"/>
    <s v="USD"/>
    <n v="1452112717"/>
    <x v="556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x v="557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x v="558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x v="559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x v="560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x v="561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x v="562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x v="563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x v="564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x v="565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x v="566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x v="567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x v="568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x v="569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x v="570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x v="571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x v="572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x v="573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x v="574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x v="575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x v="576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x v="577"/>
    <b v="0"/>
    <n v="1"/>
    <b v="0"/>
    <s v="technology/web"/>
    <n v="0"/>
    <n v="10"/>
    <x v="2"/>
    <x v="7"/>
  </r>
  <r>
    <n v="578"/>
    <x v="578"/>
    <s v="weBuy trade built on technology and Crowd Sourced Power"/>
    <x v="152"/>
    <x v="441"/>
    <x v="2"/>
    <x v="1"/>
    <s v="GBP"/>
    <n v="1441633993"/>
    <x v="578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x v="579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x v="580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x v="581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x v="582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x v="583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x v="584"/>
    <b v="0"/>
    <n v="2"/>
    <b v="0"/>
    <s v="technology/web"/>
    <n v="1"/>
    <n v="5"/>
    <x v="2"/>
    <x v="7"/>
  </r>
  <r>
    <n v="585"/>
    <x v="585"/>
    <s v="SAVE UP TO 40% WHEN YOU SPEND!_x000a__x000a_PRE-ORDER YOUR LINK CARD TODAY"/>
    <x v="7"/>
    <x v="117"/>
    <x v="2"/>
    <x v="1"/>
    <s v="GBP"/>
    <n v="1448928000"/>
    <x v="585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x v="586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x v="587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x v="588"/>
    <b v="0"/>
    <n v="2"/>
    <b v="0"/>
    <s v="technology/web"/>
    <n v="3"/>
    <n v="150.5"/>
    <x v="2"/>
    <x v="7"/>
  </r>
  <r>
    <n v="589"/>
    <x v="589"/>
    <s v="Services closer than you think..."/>
    <x v="51"/>
    <x v="116"/>
    <x v="2"/>
    <x v="0"/>
    <s v="USD"/>
    <n v="1436366699"/>
    <x v="58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x v="590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x v="591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x v="592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x v="593"/>
    <b v="0"/>
    <n v="7"/>
    <b v="0"/>
    <s v="technology/web"/>
    <n v="23"/>
    <n v="16.43"/>
    <x v="2"/>
    <x v="7"/>
  </r>
  <r>
    <n v="594"/>
    <x v="594"/>
    <s v="Creating a fitness site that will change the fitness game forever!"/>
    <x v="31"/>
    <x v="375"/>
    <x v="2"/>
    <x v="0"/>
    <s v="USD"/>
    <n v="1460832206"/>
    <x v="594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x v="595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x v="596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x v="597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x v="598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x v="599"/>
    <b v="0"/>
    <n v="2"/>
    <b v="0"/>
    <s v="technology/web"/>
    <n v="0"/>
    <n v="15.5"/>
    <x v="2"/>
    <x v="7"/>
  </r>
  <r>
    <n v="600"/>
    <x v="600"/>
    <s v="Science Technology Engineering and Math + youth = a brighter tomorrow."/>
    <x v="10"/>
    <x v="173"/>
    <x v="1"/>
    <x v="0"/>
    <s v="USD"/>
    <n v="1431198562"/>
    <x v="600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x v="601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x v="602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x v="60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x v="604"/>
    <b v="0"/>
    <n v="0"/>
    <b v="0"/>
    <s v="technology/web"/>
    <n v="0"/>
    <n v="0"/>
    <x v="2"/>
    <x v="7"/>
  </r>
  <r>
    <n v="605"/>
    <x v="605"/>
    <s v="An iPad support care package for your parents / seniors."/>
    <x v="10"/>
    <x v="449"/>
    <x v="1"/>
    <x v="0"/>
    <s v="USD"/>
    <n v="1440318908"/>
    <x v="605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x v="606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x v="607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x v="608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x v="609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x v="610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x v="611"/>
    <b v="0"/>
    <n v="0"/>
    <b v="0"/>
    <s v="technology/web"/>
    <n v="0"/>
    <n v="0"/>
    <x v="2"/>
    <x v="7"/>
  </r>
  <r>
    <n v="612"/>
    <x v="612"/>
    <s v="A Fast and Reliable new Web platform to stream videos from Internet"/>
    <x v="3"/>
    <x v="117"/>
    <x v="1"/>
    <x v="13"/>
    <s v="EUR"/>
    <n v="1472777146"/>
    <x v="612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x v="613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x v="614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x v="615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x v="616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x v="617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x v="618"/>
    <b v="0"/>
    <n v="0"/>
    <b v="0"/>
    <s v="technology/web"/>
    <n v="0"/>
    <n v="0"/>
    <x v="2"/>
    <x v="7"/>
  </r>
  <r>
    <n v="619"/>
    <x v="619"/>
    <s v="Big Data Sets for researchers interested in improving the quality of life."/>
    <x v="156"/>
    <x v="116"/>
    <x v="1"/>
    <x v="0"/>
    <s v="USD"/>
    <n v="1416933390"/>
    <x v="619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x v="620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x v="621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x v="622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x v="623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x v="624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x v="625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x v="626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x v="627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x v="628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x v="629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x v="630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x v="631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x v="632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x v="633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x v="634"/>
    <b v="0"/>
    <n v="1"/>
    <b v="0"/>
    <s v="technology/web"/>
    <n v="0"/>
    <n v="1"/>
    <x v="2"/>
    <x v="7"/>
  </r>
  <r>
    <n v="635"/>
    <x v="635"/>
    <s v="Network used for building technology development teams."/>
    <x v="31"/>
    <x v="369"/>
    <x v="1"/>
    <x v="0"/>
    <s v="USD"/>
    <n v="1428804762"/>
    <x v="635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x v="636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x v="637"/>
    <b v="0"/>
    <n v="0"/>
    <b v="0"/>
    <s v="technology/web"/>
    <n v="0"/>
    <n v="0"/>
    <x v="2"/>
    <x v="7"/>
  </r>
  <r>
    <n v="638"/>
    <x v="638"/>
    <s v="O0"/>
    <x v="61"/>
    <x v="461"/>
    <x v="1"/>
    <x v="12"/>
    <s v="EUR"/>
    <n v="1490447662"/>
    <x v="638"/>
    <b v="0"/>
    <n v="6"/>
    <b v="0"/>
    <s v="technology/web"/>
    <n v="0"/>
    <n v="3"/>
    <x v="2"/>
    <x v="7"/>
  </r>
  <r>
    <n v="639"/>
    <x v="639"/>
    <s v="Development of a Safe and Educational Social Media site for kids."/>
    <x v="80"/>
    <x v="116"/>
    <x v="1"/>
    <x v="0"/>
    <s v="USD"/>
    <n v="1413208795"/>
    <x v="639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x v="640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x v="641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x v="643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x v="13"/>
    <x v="467"/>
    <x v="0"/>
    <x v="0"/>
    <s v="USD"/>
    <n v="1470962274"/>
    <x v="645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x v="646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x v="647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x v="19"/>
    <x v="470"/>
    <x v="0"/>
    <x v="0"/>
    <s v="USD"/>
    <n v="1413304708"/>
    <x v="64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x v="649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x v="65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x v="652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x v="653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x v="654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x v="655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x v="656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x v="657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x v="658"/>
    <b v="0"/>
    <n v="276"/>
    <b v="1"/>
    <s v="technology/wearables"/>
    <n v="104"/>
    <n v="109.34"/>
    <x v="2"/>
    <x v="8"/>
  </r>
  <r>
    <n v="659"/>
    <x v="659"/>
    <s v="Sync up your lifestyle"/>
    <x v="9"/>
    <x v="481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x v="660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x v="661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x v="662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x v="663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x v="664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x v="666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x v="667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x v="668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x v="669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x v="67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x v="671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x v="672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x v="673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x v="674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x v="676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x v="677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x v="67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x v="680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x v="681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x v="68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x v="683"/>
    <b v="0"/>
    <n v="3"/>
    <b v="0"/>
    <s v="technology/wearables"/>
    <n v="1"/>
    <n v="99.33"/>
    <x v="2"/>
    <x v="8"/>
  </r>
  <r>
    <n v="684"/>
    <x v="684"/>
    <s v="Arcus gives your fingers super powers."/>
    <x v="163"/>
    <x v="502"/>
    <x v="2"/>
    <x v="0"/>
    <s v="USD"/>
    <n v="1406257200"/>
    <x v="684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x v="685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x v="686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x v="688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x v="689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x v="690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x v="691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x v="692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x v="693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x v="694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x v="695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x v="164"/>
    <x v="116"/>
    <x v="2"/>
    <x v="9"/>
    <s v="EUR"/>
    <n v="1406326502"/>
    <x v="696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x v="697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x v="699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x v="700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x v="701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x v="702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x v="703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x v="704"/>
    <b v="0"/>
    <n v="4"/>
    <b v="0"/>
    <s v="technology/wearables"/>
    <n v="1"/>
    <n v="120.25"/>
    <x v="2"/>
    <x v="8"/>
  </r>
  <r>
    <n v="705"/>
    <x v="705"/>
    <s v="The closest thing ever to the Holy Grail of wearables technology"/>
    <x v="57"/>
    <x v="518"/>
    <x v="2"/>
    <x v="9"/>
    <s v="EUR"/>
    <n v="1484999278"/>
    <x v="705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x v="706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x v="70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x v="708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x v="70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x v="710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x v="711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x v="71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x v="713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x v="715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x v="716"/>
    <b v="0"/>
    <n v="16"/>
    <b v="0"/>
    <s v="technology/wearables"/>
    <n v="10"/>
    <n v="44.69"/>
    <x v="2"/>
    <x v="8"/>
  </r>
  <r>
    <n v="717"/>
    <x v="717"/>
    <s v="Cool air flowing under clothing keeps you cool."/>
    <x v="57"/>
    <x v="527"/>
    <x v="2"/>
    <x v="0"/>
    <s v="USD"/>
    <n v="1409949002"/>
    <x v="717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x v="718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x v="721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x v="722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x v="723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x v="724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x v="727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x v="728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x v="729"/>
    <b v="0"/>
    <n v="120"/>
    <b v="1"/>
    <s v="publishing/nonfiction"/>
    <n v="131"/>
    <n v="43.55"/>
    <x v="3"/>
    <x v="9"/>
  </r>
  <r>
    <n v="730"/>
    <x v="730"/>
    <s v="A Massive but Cheerful Online Digital Archive of Surfing"/>
    <x v="22"/>
    <x v="539"/>
    <x v="0"/>
    <x v="0"/>
    <s v="USD"/>
    <n v="1323280391"/>
    <x v="730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x v="731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x v="732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x v="733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x v="734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x v="735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x v="736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x v="73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x v="740"/>
    <b v="0"/>
    <n v="19"/>
    <b v="1"/>
    <s v="publishing/nonfiction"/>
    <n v="107"/>
    <n v="169.58"/>
    <x v="3"/>
    <x v="9"/>
  </r>
  <r>
    <n v="741"/>
    <x v="741"/>
    <s v="A revolutionary digital mapping project of the Vilna Ghetto"/>
    <x v="93"/>
    <x v="550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x v="74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x v="743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x v="744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x v="745"/>
    <b v="0"/>
    <n v="74"/>
    <b v="1"/>
    <s v="publishing/nonfiction"/>
    <n v="179"/>
    <n v="53.73"/>
    <x v="3"/>
    <x v="9"/>
  </r>
  <r>
    <n v="746"/>
    <x v="746"/>
    <s v="This is a book of letters. Letters to our body parts."/>
    <x v="174"/>
    <x v="555"/>
    <x v="0"/>
    <x v="0"/>
    <s v="USD"/>
    <n v="1348372740"/>
    <x v="746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x v="747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x v="748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x v="749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x v="750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x v="751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x v="752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x v="753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x v="754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x v="755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x v="757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x v="75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x v="75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x v="760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x v="761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x v="762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x v="763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x v="764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x v="765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x v="766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x v="767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x v="768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x v="769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x v="770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x v="771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x v="772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x v="773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x v="774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x v="77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x v="776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x v="7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x v="778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x v="779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x v="780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x v="781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x v="78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x v="783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x v="784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x v="78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x v="786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x v="787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x v="7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x v="789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x v="790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x v="791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x v="792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x v="793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x v="794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x v="795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x v="796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x v="797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x v="798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x v="799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x v="800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x v="801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x v="802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x v="803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x v="804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x v="805"/>
    <b v="0"/>
    <n v="54"/>
    <b v="1"/>
    <s v="music/rock"/>
    <n v="105"/>
    <n v="58.33"/>
    <x v="4"/>
    <x v="11"/>
  </r>
  <r>
    <n v="806"/>
    <x v="806"/>
    <s v="Help Golden Animals finish their NEW Album!"/>
    <x v="6"/>
    <x v="603"/>
    <x v="0"/>
    <x v="0"/>
    <s v="USD"/>
    <n v="1315413339"/>
    <x v="806"/>
    <b v="0"/>
    <n v="71"/>
    <b v="1"/>
    <s v="music/rock"/>
    <n v="104"/>
    <n v="117.68"/>
    <x v="4"/>
    <x v="11"/>
  </r>
  <r>
    <n v="807"/>
    <x v="807"/>
    <s v="Join the Sic Vita family and lend a hand as we create a new album!"/>
    <x v="23"/>
    <x v="604"/>
    <x v="0"/>
    <x v="0"/>
    <s v="USD"/>
    <n v="1488333600"/>
    <x v="807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x v="808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x v="809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x v="810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x v="811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x v="81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x v="813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x v="814"/>
    <b v="0"/>
    <n v="28"/>
    <b v="1"/>
    <s v="music/rock"/>
    <n v="127"/>
    <n v="45.46"/>
    <x v="4"/>
    <x v="11"/>
  </r>
  <r>
    <n v="815"/>
    <x v="815"/>
    <s v="Be a part of helping The Early Reset finish their new 7 song EP."/>
    <x v="23"/>
    <x v="611"/>
    <x v="0"/>
    <x v="0"/>
    <s v="USD"/>
    <n v="1414879303"/>
    <x v="815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x v="816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x v="817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x v="818"/>
    <b v="0"/>
    <n v="19"/>
    <b v="1"/>
    <s v="music/rock"/>
    <n v="156"/>
    <n v="28.68"/>
    <x v="4"/>
    <x v="11"/>
  </r>
  <r>
    <n v="819"/>
    <x v="819"/>
    <s v="We are touring the Southeast in support of our new EP"/>
    <x v="44"/>
    <x v="140"/>
    <x v="0"/>
    <x v="0"/>
    <s v="USD"/>
    <n v="1387601040"/>
    <x v="819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x v="820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x v="821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x v="822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x v="823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x v="824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x v="825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x v="826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x v="82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x v="828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x v="829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x v="830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x v="831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x v="832"/>
    <b v="0"/>
    <n v="154"/>
    <b v="1"/>
    <s v="music/rock"/>
    <n v="101"/>
    <n v="97.99"/>
    <x v="4"/>
    <x v="11"/>
  </r>
  <r>
    <n v="833"/>
    <x v="833"/>
    <s v="This is an American rock album."/>
    <x v="12"/>
    <x v="627"/>
    <x v="0"/>
    <x v="0"/>
    <s v="USD"/>
    <n v="1397941475"/>
    <x v="833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x v="834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x v="835"/>
    <b v="0"/>
    <n v="40"/>
    <b v="1"/>
    <s v="music/rock"/>
    <n v="117"/>
    <n v="58.63"/>
    <x v="4"/>
    <x v="11"/>
  </r>
  <r>
    <n v="836"/>
    <x v="836"/>
    <s v="An album you can bring home to mom."/>
    <x v="10"/>
    <x v="630"/>
    <x v="0"/>
    <x v="0"/>
    <s v="USD"/>
    <n v="1381108918"/>
    <x v="836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x v="837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x v="838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x v="839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x v="840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x v="841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x v="842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x v="843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x v="844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x v="845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x v="846"/>
    <b v="0"/>
    <n v="47"/>
    <b v="1"/>
    <s v="music/metal"/>
    <n v="122"/>
    <n v="28.55"/>
    <x v="4"/>
    <x v="12"/>
  </r>
  <r>
    <n v="847"/>
    <x v="847"/>
    <s v="MUSIC WITH MEANING!  MUSIC THAT MATTERS!!!"/>
    <x v="185"/>
    <x v="115"/>
    <x v="0"/>
    <x v="0"/>
    <s v="USD"/>
    <n v="1436555376"/>
    <x v="847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x v="848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x v="849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x v="850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x v="851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x v="852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x v="853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x v="854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x v="855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x v="8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x v="857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x v="85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x v="859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x v="860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x v="861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x v="862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x v="863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x v="864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x v="865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x v="866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x v="867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x v="86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x v="869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x v="870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x v="871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x v="872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x v="873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x v="87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x v="875"/>
    <b v="0"/>
    <n v="0"/>
    <b v="0"/>
    <s v="music/jazz"/>
    <n v="0"/>
    <n v="0"/>
    <x v="4"/>
    <x v="13"/>
  </r>
  <r>
    <n v="876"/>
    <x v="876"/>
    <s v="What was the greatest record shop ever?  DOBELLS!"/>
    <x v="189"/>
    <x v="656"/>
    <x v="2"/>
    <x v="1"/>
    <s v="GBP"/>
    <n v="1359978927"/>
    <x v="876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x v="877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x v="878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x v="879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x v="880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x v="881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x v="882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x v="883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x v="884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x v="885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x v="886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x v="887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x v="888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x v="890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x v="891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x v="892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x v="89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x v="894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x v="895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x v="89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x v="897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x v="898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x v="899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x v="900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x v="901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x v="90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x v="903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x v="904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x v="905"/>
    <b v="0"/>
    <n v="6"/>
    <b v="0"/>
    <s v="music/jazz"/>
    <n v="3"/>
    <n v="32.67"/>
    <x v="4"/>
    <x v="13"/>
  </r>
  <r>
    <n v="906"/>
    <x v="906"/>
    <s v="The DMV's most respected saxophonist pay tribute to Motown."/>
    <x v="36"/>
    <x v="117"/>
    <x v="2"/>
    <x v="0"/>
    <s v="USD"/>
    <n v="1394681590"/>
    <x v="906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x v="907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x v="908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x v="909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x v="910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x v="911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x v="912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x v="913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x v="914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x v="915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x v="916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x v="917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x v="918"/>
    <b v="0"/>
    <n v="10"/>
    <b v="0"/>
    <s v="music/jazz"/>
    <n v="5"/>
    <n v="19.600000000000001"/>
    <x v="4"/>
    <x v="13"/>
  </r>
  <r>
    <n v="919"/>
    <x v="919"/>
    <s v="Cool jazz with a New Orleans flavor."/>
    <x v="22"/>
    <x v="173"/>
    <x v="2"/>
    <x v="0"/>
    <s v="USD"/>
    <n v="1355930645"/>
    <x v="919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x v="920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x v="921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x v="922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x v="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x v="924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x v="925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x v="926"/>
    <b v="0"/>
    <n v="0"/>
    <b v="0"/>
    <s v="music/jazz"/>
    <n v="0"/>
    <n v="0"/>
    <x v="4"/>
    <x v="13"/>
  </r>
  <r>
    <n v="927"/>
    <x v="927"/>
    <s v="Studio CD/DVD Solo project of Pianist &amp; Keyboardist Jetro da Silva"/>
    <x v="22"/>
    <x v="117"/>
    <x v="2"/>
    <x v="0"/>
    <s v="USD"/>
    <n v="1337024695"/>
    <x v="927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x v="928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x v="92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x v="930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x v="931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x v="932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x v="933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x v="93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x v="935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x v="936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x v="93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x v="93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x v="939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x v="940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x v="942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x v="943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x v="944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x v="945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x v="946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x v="947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x v="948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x v="949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x v="950"/>
    <b v="0"/>
    <n v="24"/>
    <b v="0"/>
    <s v="technology/wearables"/>
    <n v="28"/>
    <n v="58.42"/>
    <x v="2"/>
    <x v="8"/>
  </r>
  <r>
    <n v="951"/>
    <x v="951"/>
    <s v="Revolutionizing the way we walk our dogs!"/>
    <x v="63"/>
    <x v="689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x v="197"/>
    <x v="690"/>
    <x v="2"/>
    <x v="0"/>
    <s v="USD"/>
    <n v="1479483812"/>
    <x v="95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x v="953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x v="954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x v="955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x v="956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x v="14"/>
    <x v="694"/>
    <x v="2"/>
    <x v="0"/>
    <s v="USD"/>
    <n v="1479392133"/>
    <x v="957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x v="958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x v="959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x v="960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x v="961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x v="19"/>
    <x v="700"/>
    <x v="2"/>
    <x v="0"/>
    <s v="USD"/>
    <n v="1476717319"/>
    <x v="963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x v="964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x v="965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x v="966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x v="967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x v="968"/>
    <b v="0"/>
    <n v="4"/>
    <b v="0"/>
    <s v="technology/wearables"/>
    <n v="1"/>
    <n v="26.5"/>
    <x v="2"/>
    <x v="8"/>
  </r>
  <r>
    <n v="969"/>
    <x v="969"/>
    <s v="Geek &amp; Chic Smart Jewelry Collection, Wearables Meet Style!"/>
    <x v="11"/>
    <x v="704"/>
    <x v="2"/>
    <x v="14"/>
    <s v="MXN"/>
    <n v="1486624607"/>
    <x v="969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x v="970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x v="971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x v="97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x v="974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x v="97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x v="976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x v="97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x v="978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x v="979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x v="980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x v="981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x v="982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x v="983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x v="984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x v="985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x v="986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x v="987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x v="988"/>
    <b v="0"/>
    <n v="0"/>
    <b v="0"/>
    <s v="technology/wearables"/>
    <n v="0"/>
    <n v="0"/>
    <x v="2"/>
    <x v="8"/>
  </r>
  <r>
    <n v="989"/>
    <x v="989"/>
    <s v="The most useful phone charger you will ever buy"/>
    <x v="3"/>
    <x v="718"/>
    <x v="2"/>
    <x v="0"/>
    <s v="USD"/>
    <n v="1475101495"/>
    <x v="989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x v="990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x v="991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x v="992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x v="993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x v="994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x v="995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x v="996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x v="998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x v="999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x v="100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x v="1001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x v="1003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x v="1004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x v="1005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x v="1006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x v="1007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x v="1008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x v="1009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x v="1010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x v="1011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x v="1013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x v="1014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x v="101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x v="1017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x v="1018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x v="101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x v="1020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x v="102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x v="1022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x v="1023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x v="102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x v="102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x v="1028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x v="13"/>
    <x v="754"/>
    <x v="0"/>
    <x v="0"/>
    <s v="USD"/>
    <n v="1473680149"/>
    <x v="1030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x v="1031"/>
    <b v="0"/>
    <n v="99"/>
    <b v="1"/>
    <s v="music/electronic music"/>
    <n v="107"/>
    <n v="108.48"/>
    <x v="4"/>
    <x v="15"/>
  </r>
  <r>
    <n v="1032"/>
    <x v="1032"/>
    <s v="Ideal for living rooms and open spaces."/>
    <x v="105"/>
    <x v="756"/>
    <x v="0"/>
    <x v="0"/>
    <s v="USD"/>
    <n v="1466697625"/>
    <x v="1032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x v="1033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x v="1035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x v="1036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x v="1037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x v="1038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x v="1039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x v="1040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x v="1041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x v="1042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x v="1043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x v="1044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x v="1045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x v="1046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x v="1047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x v="1048"/>
    <b v="0"/>
    <n v="4"/>
    <b v="0"/>
    <s v="journalism/audio"/>
    <n v="1"/>
    <n v="53"/>
    <x v="5"/>
    <x v="16"/>
  </r>
  <r>
    <n v="1049"/>
    <x v="1049"/>
    <s v="------"/>
    <x v="14"/>
    <x v="117"/>
    <x v="1"/>
    <x v="0"/>
    <s v="USD"/>
    <n v="1455272445"/>
    <x v="1049"/>
    <b v="0"/>
    <n v="0"/>
    <b v="0"/>
    <s v="journalism/audio"/>
    <n v="0"/>
    <n v="0"/>
    <x v="5"/>
    <x v="16"/>
  </r>
  <r>
    <n v="1050"/>
    <x v="1050"/>
    <s v="Secularism is on the rise and I hear you.Talk to me."/>
    <x v="30"/>
    <x v="117"/>
    <x v="1"/>
    <x v="0"/>
    <s v="USD"/>
    <n v="1442257677"/>
    <x v="1050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x v="1051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x v="1052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x v="1053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x v="1054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x v="105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x v="1056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x v="1057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x v="1058"/>
    <b v="0"/>
    <n v="0"/>
    <b v="0"/>
    <s v="journalism/audio"/>
    <n v="0"/>
    <n v="0"/>
    <x v="5"/>
    <x v="16"/>
  </r>
  <r>
    <n v="1059"/>
    <x v="1059"/>
    <s v="Turning myself into a vocal artist."/>
    <x v="184"/>
    <x v="117"/>
    <x v="1"/>
    <x v="0"/>
    <s v="USD"/>
    <n v="1426269456"/>
    <x v="1059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x v="1060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x v="1061"/>
    <b v="0"/>
    <n v="0"/>
    <b v="0"/>
    <s v="journalism/audio"/>
    <n v="0"/>
    <n v="0"/>
    <x v="5"/>
    <x v="16"/>
  </r>
  <r>
    <n v="1062"/>
    <x v="1062"/>
    <s v="SEE US ON PATREON www.badgirlartwork.com"/>
    <x v="212"/>
    <x v="121"/>
    <x v="1"/>
    <x v="0"/>
    <s v="USD"/>
    <n v="1468351341"/>
    <x v="1062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x v="1063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x v="1064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x v="1065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x v="1067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x v="1068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x v="1070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x v="1071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x v="1072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x v="1073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x v="1074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x v="1075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x v="1076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x v="1077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x v="1078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x v="1079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x v="1081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x v="1083"/>
    <b v="0"/>
    <n v="1"/>
    <b v="0"/>
    <s v="games/video games"/>
    <n v="1"/>
    <n v="410"/>
    <x v="6"/>
    <x v="17"/>
  </r>
  <r>
    <n v="1084"/>
    <x v="1084"/>
    <s v="I want to start my own channel for gaming"/>
    <x v="131"/>
    <x v="117"/>
    <x v="2"/>
    <x v="0"/>
    <s v="USD"/>
    <n v="1407534804"/>
    <x v="108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x v="1085"/>
    <b v="0"/>
    <n v="9"/>
    <b v="0"/>
    <s v="games/video games"/>
    <n v="3"/>
    <n v="114"/>
    <x v="6"/>
    <x v="17"/>
  </r>
  <r>
    <n v="1086"/>
    <x v="1086"/>
    <s v="Humanity's future in the Galaxy"/>
    <x v="102"/>
    <x v="493"/>
    <x v="2"/>
    <x v="0"/>
    <s v="USD"/>
    <n v="1408913291"/>
    <x v="1086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x v="1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x v="1088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x v="1089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x v="1090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x v="1091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x v="1092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x v="1093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x v="1094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x v="1095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x v="109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x v="1098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x v="1099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x v="1100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x v="1101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x v="1102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x v="1103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x v="1104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x v="1105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x v="1106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x v="1107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x v="1109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x v="1110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x v="1111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x v="1112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x v="1113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x v="1114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x v="111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x v="1117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x v="1118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x v="1119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x v="112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x v="1121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x v="1122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x v="1123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x v="1124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x v="1125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x v="1126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x v="1127"/>
    <b v="0"/>
    <n v="23"/>
    <b v="0"/>
    <s v="games/mobile games"/>
    <n v="2"/>
    <n v="25.43"/>
    <x v="6"/>
    <x v="18"/>
  </r>
  <r>
    <n v="1128"/>
    <x v="1128"/>
    <s v="#havingfunFTW"/>
    <x v="28"/>
    <x v="116"/>
    <x v="2"/>
    <x v="1"/>
    <s v="GBP"/>
    <n v="1407425717"/>
    <x v="1128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x v="1129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x v="113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x v="1131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x v="1132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x v="1133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x v="1134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x v="1135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x v="1136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x v="1137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x v="1138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x v="1139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x v="1140"/>
    <b v="0"/>
    <n v="0"/>
    <b v="0"/>
    <s v="games/mobile games"/>
    <n v="0"/>
    <n v="0"/>
    <x v="6"/>
    <x v="18"/>
  </r>
  <r>
    <n v="1141"/>
    <x v="1141"/>
    <s v="I think this will be a great game!"/>
    <x v="2"/>
    <x v="117"/>
    <x v="2"/>
    <x v="12"/>
    <s v="EUR"/>
    <n v="1436460450"/>
    <x v="1141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x v="1142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x v="1143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x v="1144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x v="1145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x v="1146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x v="1147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x v="1148"/>
    <b v="0"/>
    <n v="3"/>
    <b v="0"/>
    <s v="food/food trucks"/>
    <n v="0"/>
    <n v="24.33"/>
    <x v="7"/>
    <x v="19"/>
  </r>
  <r>
    <n v="1149"/>
    <x v="1149"/>
    <s v="Bringing culturally diverse Floridian cuisine to the people!"/>
    <x v="63"/>
    <x v="735"/>
    <x v="2"/>
    <x v="0"/>
    <s v="USD"/>
    <n v="1466096566"/>
    <x v="1149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x v="1150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x v="1151"/>
    <b v="0"/>
    <n v="0"/>
    <b v="0"/>
    <s v="food/food trucks"/>
    <n v="0"/>
    <n v="0"/>
    <x v="7"/>
    <x v="19"/>
  </r>
  <r>
    <n v="1152"/>
    <x v="1152"/>
    <s v="Peruvian food truck with an LA twist."/>
    <x v="194"/>
    <x v="608"/>
    <x v="2"/>
    <x v="0"/>
    <s v="USD"/>
    <n v="1431709312"/>
    <x v="115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x v="6"/>
    <x v="155"/>
    <x v="2"/>
    <x v="0"/>
    <s v="USD"/>
    <n v="1434647305"/>
    <x v="1153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x v="1154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x v="1155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x v="1156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x v="1157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x v="115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x v="1159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x v="1160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x v="1161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x v="1162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x v="1163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x v="1164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x v="1165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x v="1166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x v="1167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x v="1168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x v="1169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x v="1170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x v="1171"/>
    <b v="0"/>
    <n v="1"/>
    <b v="0"/>
    <s v="food/food trucks"/>
    <n v="0"/>
    <n v="25"/>
    <x v="7"/>
    <x v="19"/>
  </r>
  <r>
    <n v="1172"/>
    <x v="1172"/>
    <s v="Bringing YOUR favorite dog recipes to the streets."/>
    <x v="7"/>
    <x v="117"/>
    <x v="2"/>
    <x v="0"/>
    <s v="USD"/>
    <n v="1408551752"/>
    <x v="117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x v="1173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x v="1174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x v="1175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x v="1176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x v="1177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x v="1178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x v="1179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x v="1180"/>
    <b v="0"/>
    <n v="85"/>
    <b v="0"/>
    <s v="food/food trucks"/>
    <n v="12"/>
    <n v="69.12"/>
    <x v="7"/>
    <x v="19"/>
  </r>
  <r>
    <n v="1181"/>
    <x v="1181"/>
    <s v="Bringing the best tacos to the streets of Chicago!"/>
    <x v="63"/>
    <x v="460"/>
    <x v="2"/>
    <x v="0"/>
    <s v="USD"/>
    <n v="1425197321"/>
    <x v="118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x v="1182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x v="118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x v="1184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x v="1186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x v="1187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x v="1188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x v="1189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x v="1190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x v="1191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x v="119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x v="1196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x v="1197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x v="1198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x v="1200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x v="1201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x v="1202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x v="1204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x v="227"/>
    <x v="832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x v="1208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x v="1209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x v="22"/>
    <x v="835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x v="121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x v="1213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x v="1214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x v="1215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x v="32"/>
    <x v="840"/>
    <x v="0"/>
    <x v="0"/>
    <s v="USD"/>
    <n v="1443826980"/>
    <x v="1216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x v="1218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x v="1221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x v="23"/>
    <x v="846"/>
    <x v="0"/>
    <x v="5"/>
    <s v="CAD"/>
    <n v="1459483200"/>
    <x v="1222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x v="1224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x v="1225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x v="1226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x v="1227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x v="122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x v="1229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x v="12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x v="1231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x v="1232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x v="1234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x v="1235"/>
    <b v="0"/>
    <n v="6"/>
    <b v="0"/>
    <s v="music/world music"/>
    <n v="3"/>
    <n v="35"/>
    <x v="4"/>
    <x v="21"/>
  </r>
  <r>
    <n v="1236"/>
    <x v="1236"/>
    <s v="Raising money to give the musicians their due."/>
    <x v="30"/>
    <x v="117"/>
    <x v="1"/>
    <x v="0"/>
    <s v="USD"/>
    <n v="1343491200"/>
    <x v="1236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x v="1237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x v="1238"/>
    <b v="0"/>
    <n v="3"/>
    <b v="0"/>
    <s v="music/world music"/>
    <n v="18"/>
    <n v="59.33"/>
    <x v="4"/>
    <x v="21"/>
  </r>
  <r>
    <n v="1239"/>
    <x v="1239"/>
    <s v="Please consider helping us with our new CD and Riverdance Tour"/>
    <x v="30"/>
    <x v="117"/>
    <x v="1"/>
    <x v="0"/>
    <s v="USD"/>
    <n v="1325804767"/>
    <x v="1239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x v="1240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x v="1241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x v="124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x v="1243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x v="1244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x v="1245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x v="1246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x v="1247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x v="1248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x v="1249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x v="1250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x v="1251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x v="1252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x v="1253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x v="1254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x v="1255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x v="1256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x v="1257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x v="1258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x v="1259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x v="126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x v="1261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x v="126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x v="15"/>
    <x v="137"/>
    <x v="0"/>
    <x v="0"/>
    <s v="USD"/>
    <n v="1396054800"/>
    <x v="1263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x v="1264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x v="126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x v="1266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x v="1268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x v="1269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x v="1270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x v="1271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x v="1272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x v="1273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x v="1274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x v="1275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x v="1276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x v="127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x v="1278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x v="1279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x v="1280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x v="1281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x v="1282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x v="1283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x v="1284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x v="1286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x v="1287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x v="1288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x v="1289"/>
    <b v="0"/>
    <n v="52"/>
    <b v="1"/>
    <s v="theater/plays"/>
    <n v="125"/>
    <n v="36.08"/>
    <x v="1"/>
    <x v="6"/>
  </r>
  <r>
    <n v="1290"/>
    <x v="1290"/>
    <s v="Sometimes your Heart has to STOP for your Life to START."/>
    <x v="8"/>
    <x v="900"/>
    <x v="0"/>
    <x v="0"/>
    <s v="USD"/>
    <n v="1429772340"/>
    <x v="1290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x v="12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x v="1292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x v="1293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x v="1294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x v="1295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x v="1296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x v="1297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x v="1298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x v="129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x v="1300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x v="1301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x v="1302"/>
    <b v="0"/>
    <n v="50"/>
    <b v="1"/>
    <s v="theater/plays"/>
    <n v="100"/>
    <n v="50"/>
    <x v="1"/>
    <x v="6"/>
  </r>
  <r>
    <n v="1303"/>
    <x v="1303"/>
    <s v="Groundbreaking queer theatre."/>
    <x v="8"/>
    <x v="912"/>
    <x v="0"/>
    <x v="1"/>
    <s v="GBP"/>
    <n v="1469962800"/>
    <x v="1303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x v="1304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x v="1305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x v="1306"/>
    <b v="0"/>
    <n v="356"/>
    <b v="0"/>
    <s v="technology/wearables"/>
    <n v="65"/>
    <n v="201.6"/>
    <x v="2"/>
    <x v="8"/>
  </r>
  <r>
    <n v="1307"/>
    <x v="1307"/>
    <s v="Get VR to Everyone with Mailable, Ready to Use Viewers"/>
    <x v="63"/>
    <x v="916"/>
    <x v="1"/>
    <x v="0"/>
    <s v="USD"/>
    <n v="1455710679"/>
    <x v="1307"/>
    <b v="0"/>
    <n v="45"/>
    <b v="0"/>
    <s v="technology/wearables"/>
    <n v="12"/>
    <n v="127.93"/>
    <x v="2"/>
    <x v="8"/>
  </r>
  <r>
    <n v="1308"/>
    <x v="1308"/>
    <s v="Boost Band, a wristband that charges any device"/>
    <x v="3"/>
    <x v="917"/>
    <x v="1"/>
    <x v="0"/>
    <s v="USD"/>
    <n v="1475937812"/>
    <x v="1308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x v="1309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x v="1311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x v="131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x v="1313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x v="1314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x v="1316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x v="1317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x v="1318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x v="1319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x v="1320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x v="1321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x v="1322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x v="1323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x v="1324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x v="132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x v="1326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x v="1327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x v="1328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x v="1329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x v="1330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x v="1331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x v="1332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x v="1333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x v="1334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x v="1335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x v="1336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x v="1337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x v="63"/>
    <x v="943"/>
    <x v="1"/>
    <x v="0"/>
    <s v="USD"/>
    <n v="1418056315"/>
    <x v="1339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x v="1340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x v="1341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x v="1342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x v="1344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x v="1345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x v="1346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x v="1347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x v="1348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x v="1349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x v="1350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x v="1351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x v="1352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x v="1353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x v="1354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x v="135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x v="1356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x v="1358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x v="1359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x v="136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x v="1361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x v="1362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x v="1363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x v="1364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x v="1365"/>
    <b v="0"/>
    <n v="92"/>
    <b v="1"/>
    <s v="music/rock"/>
    <n v="100"/>
    <n v="81.739999999999995"/>
    <x v="4"/>
    <x v="11"/>
  </r>
  <r>
    <n v="1366"/>
    <x v="1366"/>
    <s v="A musical memorial for Alexi Petersen."/>
    <x v="51"/>
    <x v="966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x v="1367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x v="1368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x v="1369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x v="137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x v="1371"/>
    <b v="0"/>
    <n v="70"/>
    <b v="1"/>
    <s v="music/rock"/>
    <n v="107"/>
    <n v="107.07"/>
    <x v="4"/>
    <x v="11"/>
  </r>
  <r>
    <n v="1372"/>
    <x v="1372"/>
    <s v="Please help us raise funds to press our new CD!"/>
    <x v="2"/>
    <x v="972"/>
    <x v="0"/>
    <x v="0"/>
    <s v="USD"/>
    <n v="1342115132"/>
    <x v="137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x v="137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x v="1374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x v="1375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x v="137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x v="1377"/>
    <b v="0"/>
    <n v="31"/>
    <b v="1"/>
    <s v="music/rock"/>
    <n v="116"/>
    <n v="48.71"/>
    <x v="4"/>
    <x v="11"/>
  </r>
  <r>
    <n v="1378"/>
    <x v="1378"/>
    <s v="A psychedelic post rock masterpiece!"/>
    <x v="13"/>
    <x v="976"/>
    <x v="0"/>
    <x v="1"/>
    <s v="GBP"/>
    <n v="1470075210"/>
    <x v="1378"/>
    <b v="0"/>
    <n v="133"/>
    <b v="1"/>
    <s v="music/rock"/>
    <n v="203"/>
    <n v="30.58"/>
    <x v="4"/>
    <x v="11"/>
  </r>
  <r>
    <n v="1379"/>
    <x v="1379"/>
    <s v="---------The long-awaited debut full-length from Justin Ruddy--------"/>
    <x v="3"/>
    <x v="977"/>
    <x v="0"/>
    <x v="0"/>
    <s v="USD"/>
    <n v="1433504876"/>
    <x v="1379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x v="1380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x v="1381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x v="1382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x v="1383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x v="1384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x v="1385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x v="1386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x v="1387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x v="1388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x v="1389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x v="1390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x v="1391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x v="1392"/>
    <b v="0"/>
    <n v="104"/>
    <b v="1"/>
    <s v="music/rock"/>
    <n v="114"/>
    <n v="27.32"/>
    <x v="4"/>
    <x v="11"/>
  </r>
  <r>
    <n v="1393"/>
    <x v="1393"/>
    <s v="Rock n' Roll tales of our times"/>
    <x v="3"/>
    <x v="990"/>
    <x v="0"/>
    <x v="0"/>
    <s v="USD"/>
    <n v="1470068523"/>
    <x v="139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x v="1394"/>
    <b v="0"/>
    <n v="17"/>
    <b v="1"/>
    <s v="music/rock"/>
    <n v="122"/>
    <n v="53.88"/>
    <x v="4"/>
    <x v="11"/>
  </r>
  <r>
    <n v="1395"/>
    <x v="1395"/>
    <s v="Help Quiet Oaks record their debut album!!!"/>
    <x v="8"/>
    <x v="992"/>
    <x v="0"/>
    <x v="0"/>
    <s v="USD"/>
    <n v="1484430481"/>
    <x v="1395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x v="1396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x v="1397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x v="1398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x v="1399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x v="1400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x v="1401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x v="1402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x v="1403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x v="1404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x v="31"/>
    <x v="522"/>
    <x v="2"/>
    <x v="0"/>
    <s v="USD"/>
    <n v="1417195201"/>
    <x v="1405"/>
    <b v="1"/>
    <n v="17"/>
    <b v="0"/>
    <s v="publishing/translations"/>
    <n v="0"/>
    <n v="6.18"/>
    <x v="3"/>
    <x v="22"/>
  </r>
  <r>
    <n v="1406"/>
    <x v="1406"/>
    <s v="The White coat and the battle dress uniform"/>
    <x v="14"/>
    <x v="493"/>
    <x v="2"/>
    <x v="13"/>
    <s v="EUR"/>
    <n v="1449914400"/>
    <x v="1406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x v="1407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x v="1408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x v="1409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x v="141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x v="1411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x v="1412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x v="1413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x v="1414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x v="1415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x v="1416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x v="1417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x v="1418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x v="1419"/>
    <b v="0"/>
    <n v="10"/>
    <b v="0"/>
    <s v="publishing/translations"/>
    <n v="7"/>
    <n v="44.5"/>
    <x v="3"/>
    <x v="22"/>
  </r>
  <r>
    <n v="1420"/>
    <x v="1420"/>
    <s v="Help me butcher Shakespeare in a satirical fashion."/>
    <x v="252"/>
    <x v="158"/>
    <x v="2"/>
    <x v="0"/>
    <s v="USD"/>
    <n v="1467129686"/>
    <x v="1420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x v="1421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x v="1422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x v="1423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x v="1424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x v="1425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x v="1426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x v="1427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x v="1428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x v="1429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x v="1431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x v="1432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x v="1433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x v="1434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x v="1435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x v="1436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x v="1437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x v="1438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x v="1439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x v="1440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x v="1441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x v="1442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x v="1443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x v="1444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x v="144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x v="1446"/>
    <b v="0"/>
    <n v="0"/>
    <b v="0"/>
    <s v="publishing/translations"/>
    <n v="0"/>
    <n v="0"/>
    <x v="3"/>
    <x v="22"/>
  </r>
  <r>
    <n v="1447"/>
    <x v="1447"/>
    <s v="I'm creating a dictionary of multiple Indian languages."/>
    <x v="69"/>
    <x v="735"/>
    <x v="2"/>
    <x v="0"/>
    <s v="USD"/>
    <n v="1467999134"/>
    <x v="1447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x v="144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x v="1449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x v="1450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x v="1451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x v="1452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x v="1453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x v="1454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x v="1455"/>
    <b v="0"/>
    <n v="7"/>
    <b v="0"/>
    <s v="publishing/translations"/>
    <n v="11"/>
    <n v="225"/>
    <x v="3"/>
    <x v="22"/>
  </r>
  <r>
    <n v="1456"/>
    <x v="1456"/>
    <s v="English Version of my auto-published novel"/>
    <x v="10"/>
    <x v="1011"/>
    <x v="1"/>
    <x v="13"/>
    <s v="EUR"/>
    <n v="1483459365"/>
    <x v="1456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x v="12"/>
    <x v="117"/>
    <x v="1"/>
    <x v="0"/>
    <s v="USD"/>
    <n v="1447281044"/>
    <x v="1457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x v="1458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x v="1459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x v="1460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x v="1464"/>
    <s v="The Best Science Media on the Web"/>
    <x v="10"/>
    <x v="1014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x v="1473"/>
    <s v="Public Radio Project"/>
    <x v="15"/>
    <x v="1023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x v="1481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x v="1482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x v="1483"/>
    <b v="0"/>
    <n v="2"/>
    <b v="0"/>
    <s v="publishing/fiction"/>
    <n v="1"/>
    <n v="25"/>
    <x v="3"/>
    <x v="10"/>
  </r>
  <r>
    <n v="1484"/>
    <x v="1484"/>
    <s v="The mussings of an old wizard"/>
    <x v="13"/>
    <x v="117"/>
    <x v="2"/>
    <x v="0"/>
    <s v="USD"/>
    <n v="1342882260"/>
    <x v="1484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x v="1485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x v="1486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x v="1487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x v="1488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x v="1489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x v="1490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x v="1491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x v="1492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x v="1493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x v="1495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x v="1496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x v="1497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x v="149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x v="1499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x v="1500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x v="1501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x v="1502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x v="1503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x v="150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x v="1506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x v="1508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x v="1510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x v="1511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x v="1512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x v="1513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x v="1517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x v="1519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x v="1523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x v="1525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x v="1526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x v="1527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x v="1528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x v="1530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x v="1531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x v="1532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x v="1533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x v="1534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x v="1535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x v="1536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x v="153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x v="1540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x v="1541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x v="1542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x v="1543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x v="154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x v="1545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x v="1546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x v="1547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x v="1548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x v="154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x v="1550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x v="1551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x v="1552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x v="1553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x v="1554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x v="1555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x v="1556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x v="1557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x v="1558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x v="155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x v="1560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x v="1561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x v="1562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x v="1563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x v="1564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x v="1565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x v="1566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x v="1567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x v="1568"/>
    <b v="0"/>
    <n v="22"/>
    <b v="0"/>
    <s v="publishing/art books"/>
    <n v="14"/>
    <n v="155"/>
    <x v="3"/>
    <x v="25"/>
  </r>
  <r>
    <n v="1569"/>
    <x v="1569"/>
    <s v="to be removed"/>
    <x v="11"/>
    <x v="117"/>
    <x v="1"/>
    <x v="0"/>
    <s v="USD"/>
    <n v="1369498714"/>
    <x v="1569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x v="1570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x v="1571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x v="1572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x v="1573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x v="1574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x v="1576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x v="1577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x v="1578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x v="1579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x v="1580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x v="1581"/>
    <b v="0"/>
    <n v="1"/>
    <b v="0"/>
    <s v="photography/places"/>
    <n v="1"/>
    <n v="5"/>
    <x v="8"/>
    <x v="26"/>
  </r>
  <r>
    <n v="1582"/>
    <x v="1582"/>
    <s v="I create canvas prints of images from in and around New Orleans"/>
    <x v="28"/>
    <x v="1085"/>
    <x v="2"/>
    <x v="0"/>
    <s v="USD"/>
    <n v="1445894400"/>
    <x v="1582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x v="1583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x v="1584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x v="15"/>
    <x v="117"/>
    <x v="2"/>
    <x v="0"/>
    <s v="USD"/>
    <n v="1428197422"/>
    <x v="1586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x v="1587"/>
    <b v="0"/>
    <n v="1"/>
    <b v="0"/>
    <s v="photography/places"/>
    <n v="0"/>
    <n v="1"/>
    <x v="8"/>
    <x v="26"/>
  </r>
  <r>
    <n v="1588"/>
    <x v="1588"/>
    <s v="Southeast Texas as seen through the lens of a cell phone camera"/>
    <x v="274"/>
    <x v="117"/>
    <x v="2"/>
    <x v="0"/>
    <s v="USD"/>
    <n v="1422735120"/>
    <x v="1588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x v="1589"/>
    <b v="0"/>
    <n v="0"/>
    <b v="0"/>
    <s v="photography/places"/>
    <n v="0"/>
    <n v="0"/>
    <x v="8"/>
    <x v="26"/>
  </r>
  <r>
    <n v="1590"/>
    <x v="1590"/>
    <s v="Discover Italy through photography."/>
    <x v="127"/>
    <x v="806"/>
    <x v="2"/>
    <x v="13"/>
    <s v="EUR"/>
    <n v="1443040464"/>
    <x v="1590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x v="159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x v="1592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x v="1593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x v="1594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x v="1595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x v="1596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x v="15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x v="159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x v="1599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x v="1600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x v="1601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x v="1602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x v="1603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x v="1604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x v="1605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x v="1606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x v="1608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x v="16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x v="1610"/>
    <b v="0"/>
    <n v="112"/>
    <b v="1"/>
    <s v="music/rock"/>
    <n v="272"/>
    <n v="48.54"/>
    <x v="4"/>
    <x v="11"/>
  </r>
  <r>
    <n v="1611"/>
    <x v="1611"/>
    <s v="Skelton-Luns CD/7&quot; No Big Deal."/>
    <x v="134"/>
    <x v="1099"/>
    <x v="0"/>
    <x v="0"/>
    <s v="USD"/>
    <n v="1370390432"/>
    <x v="1611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x v="1612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x v="1613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x v="1614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x v="1615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x v="1616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x v="1617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x v="1618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x v="1619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x v="162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x v="1621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x v="1622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x v="1623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x v="1624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x v="1625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x v="1626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x v="1627"/>
    <b v="0"/>
    <n v="38"/>
    <b v="1"/>
    <s v="music/rock"/>
    <n v="117"/>
    <n v="61.58"/>
    <x v="4"/>
    <x v="11"/>
  </r>
  <r>
    <n v="1628"/>
    <x v="1628"/>
    <s v="Original Jewish rock music on human relationships and identity"/>
    <x v="23"/>
    <x v="1112"/>
    <x v="0"/>
    <x v="0"/>
    <s v="USD"/>
    <n v="1403026882"/>
    <x v="1628"/>
    <b v="0"/>
    <n v="88"/>
    <b v="1"/>
    <s v="music/rock"/>
    <n v="101"/>
    <n v="45.88"/>
    <x v="4"/>
    <x v="11"/>
  </r>
  <r>
    <n v="1629"/>
    <x v="1629"/>
    <s v="Help Off The Turnpike release new music, and set fire to everything!"/>
    <x v="12"/>
    <x v="1113"/>
    <x v="0"/>
    <x v="0"/>
    <s v="USD"/>
    <n v="1392929333"/>
    <x v="1629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x v="1630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x v="163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x v="1632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x v="1633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x v="1634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x v="1635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x v="1636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x v="1637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x v="163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x v="1639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x v="1640"/>
    <b v="0"/>
    <n v="17"/>
    <b v="1"/>
    <s v="music/rock"/>
    <n v="170"/>
    <n v="39.97"/>
    <x v="4"/>
    <x v="11"/>
  </r>
  <r>
    <n v="1641"/>
    <x v="1641"/>
    <s v="Music Video For Upbeat and Inspiring Song - Run For Your Life"/>
    <x v="30"/>
    <x v="535"/>
    <x v="0"/>
    <x v="0"/>
    <s v="USD"/>
    <n v="1418998744"/>
    <x v="1641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x v="1642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x v="1643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x v="1644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x v="1645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x v="1646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x v="164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x v="1648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x v="1649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x v="1650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x v="1651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x v="1652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x v="1653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x v="1654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x v="1655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x v="1656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x v="1657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x v="1658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x v="1659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x v="166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x v="1662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x v="1663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x v="1664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x v="1665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x v="1666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x v="1667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x v="1668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x v="1669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x v="1670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x v="1671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x v="1672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x v="1673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x v="1674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x v="1675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x v="1676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x v="1677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x v="1678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x v="1679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x v="1680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x v="1681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x v="1682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x v="1683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x v="1684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x v="1685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x v="1686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x v="1687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x v="1688"/>
    <b v="0"/>
    <n v="7"/>
    <b v="0"/>
    <s v="music/faith"/>
    <n v="44"/>
    <n v="253.14"/>
    <x v="4"/>
    <x v="28"/>
  </r>
  <r>
    <n v="1689"/>
    <x v="1689"/>
    <s v="Praising the Living God in the second half of life."/>
    <x v="262"/>
    <x v="1162"/>
    <x v="3"/>
    <x v="0"/>
    <s v="USD"/>
    <n v="1489700230"/>
    <x v="1689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x v="1690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x v="1691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x v="1692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x v="1693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x v="169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x v="1695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x v="1696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x v="1697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x v="1698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x v="1699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x v="170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x v="1701"/>
    <b v="0"/>
    <n v="2"/>
    <b v="0"/>
    <s v="music/faith"/>
    <n v="0"/>
    <n v="5"/>
    <x v="4"/>
    <x v="28"/>
  </r>
  <r>
    <n v="1702"/>
    <x v="1702"/>
    <s v="I can do all things through christ jesus"/>
    <x v="281"/>
    <x v="116"/>
    <x v="2"/>
    <x v="0"/>
    <s v="USD"/>
    <n v="1427745150"/>
    <x v="1702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x v="1703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x v="1704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x v="1705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x v="1706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x v="1707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x v="1708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x v="1709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x v="1710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x v="1711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x v="1712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x v="1713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x v="1714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x v="171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x v="1716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x v="1717"/>
    <b v="0"/>
    <n v="41"/>
    <b v="0"/>
    <s v="music/faith"/>
    <n v="43"/>
    <n v="34.020000000000003"/>
    <x v="4"/>
    <x v="28"/>
  </r>
  <r>
    <n v="1718"/>
    <x v="1718"/>
    <s v="A melody for the galaxy."/>
    <x v="19"/>
    <x v="735"/>
    <x v="2"/>
    <x v="0"/>
    <s v="USD"/>
    <n v="1463201940"/>
    <x v="1718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x v="1719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x v="1720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x v="1721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x v="1722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x v="1723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x v="1724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x v="1725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x v="1726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x v="172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x v="1728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x v="1729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x v="1730"/>
    <b v="0"/>
    <n v="0"/>
    <b v="0"/>
    <s v="music/faith"/>
    <n v="0"/>
    <n v="0"/>
    <x v="4"/>
    <x v="28"/>
  </r>
  <r>
    <n v="1731"/>
    <x v="1731"/>
    <s v="We are a Christin Worship band looking to midwest tour. God Bless!"/>
    <x v="28"/>
    <x v="117"/>
    <x v="2"/>
    <x v="0"/>
    <s v="USD"/>
    <n v="1434034800"/>
    <x v="1731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x v="1732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x v="1733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x v="1734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x v="173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x v="1736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x v="1737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x v="1738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x v="1739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x v="1740"/>
    <b v="0"/>
    <n v="0"/>
    <b v="0"/>
    <s v="music/faith"/>
    <n v="0"/>
    <n v="0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x v="174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x v="1742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x v="1743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x v="1744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x v="1747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x v="1751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x v="175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x v="1753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x v="1754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x v="1755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x v="1756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x v="1757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x v="1758"/>
    <b v="0"/>
    <n v="27"/>
    <b v="1"/>
    <s v="photography/photobooks"/>
    <n v="115"/>
    <n v="42.48"/>
    <x v="8"/>
    <x v="20"/>
  </r>
  <r>
    <n v="1759"/>
    <x v="1759"/>
    <s v="Death Valley will be the first photo book of Andi State"/>
    <x v="10"/>
    <x v="1194"/>
    <x v="0"/>
    <x v="0"/>
    <s v="USD"/>
    <n v="1427309629"/>
    <x v="175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x v="1761"/>
    <b v="0"/>
    <n v="3"/>
    <b v="1"/>
    <s v="photography/photobooks"/>
    <n v="155"/>
    <n v="51.67"/>
    <x v="8"/>
    <x v="20"/>
  </r>
  <r>
    <n v="1762"/>
    <x v="1762"/>
    <s v="Project rewards $25 gets you 190+ digital images"/>
    <x v="213"/>
    <x v="1197"/>
    <x v="0"/>
    <x v="0"/>
    <s v="USD"/>
    <n v="1457739245"/>
    <x v="1762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x v="1764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x v="1765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x v="1766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x v="1767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x v="1768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x v="176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x v="1770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x v="1772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x v="1773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x v="1774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x v="1775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x v="1776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x v="1778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x v="1779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x v="178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x v="1781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x v="1782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x v="1783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x v="1784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x v="178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x v="1786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x v="178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x v="1788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x v="1789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x v="1790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x v="1791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x v="1793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x v="1794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x v="1795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x v="179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x v="1797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x v="1798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x v="1799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x v="180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x v="1801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x v="1802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x v="1803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x v="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x v="1805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x v="1806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x v="10"/>
    <x v="503"/>
    <x v="2"/>
    <x v="0"/>
    <s v="USD"/>
    <n v="1411868313"/>
    <x v="1807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x v="1808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x v="180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x v="1810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x v="1811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x v="1812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x v="1813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x v="1814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x v="1815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x v="1816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x v="181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x v="1818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x v="1819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x v="182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x v="1821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x v="182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x v="1823"/>
    <b v="0"/>
    <n v="33"/>
    <b v="1"/>
    <s v="music/rock"/>
    <n v="116"/>
    <n v="24.58"/>
    <x v="4"/>
    <x v="11"/>
  </r>
  <r>
    <n v="1824"/>
    <x v="1824"/>
    <s v="cd fund raiser"/>
    <x v="9"/>
    <x v="1243"/>
    <x v="0"/>
    <x v="0"/>
    <s v="USD"/>
    <n v="1389146880"/>
    <x v="1824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x v="1825"/>
    <b v="0"/>
    <n v="50"/>
    <b v="1"/>
    <s v="music/rock"/>
    <n v="105"/>
    <n v="42.02"/>
    <x v="4"/>
    <x v="11"/>
  </r>
  <r>
    <n v="1826"/>
    <x v="1826"/>
    <s v="Hear your favorite Bear Ghost in eargasmic quality!"/>
    <x v="13"/>
    <x v="895"/>
    <x v="0"/>
    <x v="0"/>
    <s v="USD"/>
    <n v="1392675017"/>
    <x v="1826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x v="1827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x v="1828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x v="1829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x v="1830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x v="1831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x v="1832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x v="1833"/>
    <b v="0"/>
    <n v="25"/>
    <b v="1"/>
    <s v="music/rock"/>
    <n v="263"/>
    <n v="42"/>
    <x v="4"/>
    <x v="11"/>
  </r>
  <r>
    <n v="1834"/>
    <x v="1834"/>
    <s v="Help us fund our first tour and promote our new EP!"/>
    <x v="3"/>
    <x v="1250"/>
    <x v="0"/>
    <x v="0"/>
    <s v="USD"/>
    <n v="1422140895"/>
    <x v="1834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x v="1835"/>
    <b v="0"/>
    <n v="11"/>
    <b v="1"/>
    <s v="music/rock"/>
    <n v="104"/>
    <n v="47.27"/>
    <x v="4"/>
    <x v="11"/>
  </r>
  <r>
    <n v="1836"/>
    <x v="1836"/>
    <s v="Help fund our 2013 Sound &amp; Lighting Touring rig!"/>
    <x v="10"/>
    <x v="1251"/>
    <x v="0"/>
    <x v="0"/>
    <s v="USD"/>
    <n v="1361129129"/>
    <x v="1836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x v="1837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x v="1838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x v="1839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x v="184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x v="1841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x v="1842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x v="1843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x v="184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x v="1845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x v="1846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x v="1847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x v="184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x v="184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x v="185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x v="1851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x v="18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x v="1853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x v="1854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x v="1855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x v="1856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x v="1857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x v="1859"/>
    <s v="Queen Kwong is going ON TOUR to London and Paris!"/>
    <x v="9"/>
    <x v="1270"/>
    <x v="0"/>
    <x v="0"/>
    <s v="USD"/>
    <n v="1316716129"/>
    <x v="185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x v="1860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x v="186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x v="1862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x v="1863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x v="1864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x v="1865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x v="1866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x v="1867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x v="1868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x v="186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x v="1870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x v="187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x v="1873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x v="1874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x v="1875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x v="1876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x v="1877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x v="1878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x v="187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x v="18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x v="1881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x v="188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x v="1883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x v="1884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x v="1885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x v="1886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x v="1887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x v="1888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x v="1889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x v="1890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x v="1891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x v="1892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x v="1893"/>
    <b v="0"/>
    <n v="45"/>
    <b v="1"/>
    <s v="music/indie rock"/>
    <n v="104"/>
    <n v="57.78"/>
    <x v="4"/>
    <x v="14"/>
  </r>
  <r>
    <n v="1894"/>
    <x v="1894"/>
    <s v="Im trying to raise $1000 for a 3 song EP in a studio!"/>
    <x v="28"/>
    <x v="1288"/>
    <x v="0"/>
    <x v="0"/>
    <s v="USD"/>
    <n v="1329082983"/>
    <x v="1894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x v="1895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x v="1896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x v="1898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x v="1899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x v="1900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x v="1901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x v="1902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x v="1903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x v="1904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x v="1905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x v="1906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x v="1907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x v="1908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x v="190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x v="1910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x v="1911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x v="1913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x v="1914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x v="1915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x v="1916"/>
    <b v="0"/>
    <n v="6"/>
    <b v="0"/>
    <s v="technology/gadgets"/>
    <n v="1"/>
    <n v="17"/>
    <x v="2"/>
    <x v="29"/>
  </r>
  <r>
    <n v="1917"/>
    <x v="1917"/>
    <s v="Let's build a legendary brand altogether"/>
    <x v="303"/>
    <x v="1302"/>
    <x v="2"/>
    <x v="7"/>
    <s v="HKD"/>
    <n v="1486708133"/>
    <x v="1917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x v="1918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x v="191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x v="1920"/>
    <b v="0"/>
    <n v="105"/>
    <b v="0"/>
    <s v="technology/gadgets"/>
    <n v="43"/>
    <n v="40.98"/>
    <x v="2"/>
    <x v="29"/>
  </r>
  <r>
    <n v="1921"/>
    <x v="1921"/>
    <s v="The Fine Spirits are making an album, but we need your help!"/>
    <x v="15"/>
    <x v="1305"/>
    <x v="0"/>
    <x v="0"/>
    <s v="USD"/>
    <n v="1342243143"/>
    <x v="1921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x v="1922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x v="1923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x v="1924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x v="1925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x v="1926"/>
    <b v="0"/>
    <n v="107"/>
    <b v="1"/>
    <s v="music/indie rock"/>
    <n v="195"/>
    <n v="27.39"/>
    <x v="4"/>
    <x v="14"/>
  </r>
  <r>
    <n v="1927"/>
    <x v="1927"/>
    <s v="Hampshire is headed to GBS Detroit."/>
    <x v="20"/>
    <x v="972"/>
    <x v="0"/>
    <x v="0"/>
    <s v="USD"/>
    <n v="1331182740"/>
    <x v="1927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x v="1929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x v="1930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x v="1931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x v="1933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x v="1934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x v="1935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x v="1936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x v="1937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x v="1938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x v="1939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x v="1942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x v="1944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x v="1945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x v="1946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x v="1947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x v="57"/>
    <x v="1330"/>
    <x v="0"/>
    <x v="0"/>
    <s v="USD"/>
    <n v="1465232520"/>
    <x v="1948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x v="1949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x v="1950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x v="1951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x v="1952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x v="1953"/>
    <b v="1"/>
    <n v="147"/>
    <b v="1"/>
    <s v="technology/hardware"/>
    <n v="226"/>
    <n v="230.56"/>
    <x v="2"/>
    <x v="30"/>
  </r>
  <r>
    <n v="1954"/>
    <x v="1954"/>
    <s v="The First Home Battery System You Simply Plug in to Install"/>
    <x v="63"/>
    <x v="1336"/>
    <x v="0"/>
    <x v="0"/>
    <s v="USD"/>
    <n v="1457758800"/>
    <x v="1954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x v="1955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x v="1956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x v="11"/>
    <x v="1339"/>
    <x v="0"/>
    <x v="0"/>
    <s v="USD"/>
    <n v="1351304513"/>
    <x v="1957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x v="1958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x v="1959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x v="1961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x v="1962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x v="1963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x v="1964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x v="1965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x v="1967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x v="1968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x v="1969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x v="1970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x v="197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x v="1973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x v="1974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x v="1975"/>
    <b v="1"/>
    <n v="253"/>
    <b v="1"/>
    <s v="technology/hardware"/>
    <n v="209"/>
    <n v="131.99"/>
    <x v="2"/>
    <x v="30"/>
  </r>
  <r>
    <n v="1976"/>
    <x v="1976"/>
    <s v="Can you help us make an ultra bright white one a reality?"/>
    <x v="23"/>
    <x v="1358"/>
    <x v="0"/>
    <x v="1"/>
    <s v="GBP"/>
    <n v="1373751325"/>
    <x v="1976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x v="1977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x v="1978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x v="63"/>
    <x v="1362"/>
    <x v="0"/>
    <x v="12"/>
    <s v="EUR"/>
    <n v="1459684862"/>
    <x v="1980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x v="1981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x v="1982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x v="1983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x v="1984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x v="1985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x v="1986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x v="1987"/>
    <b v="0"/>
    <n v="28"/>
    <b v="0"/>
    <s v="photography/people"/>
    <n v="42"/>
    <n v="83.43"/>
    <x v="8"/>
    <x v="31"/>
  </r>
  <r>
    <n v="1988"/>
    <x v="1988"/>
    <s v="Expressing art in an image!"/>
    <x v="12"/>
    <x v="379"/>
    <x v="2"/>
    <x v="0"/>
    <s v="USD"/>
    <n v="1440094742"/>
    <x v="1988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x v="1989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x v="1990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x v="1991"/>
    <b v="0"/>
    <n v="3"/>
    <b v="0"/>
    <s v="photography/people"/>
    <n v="7"/>
    <n v="46.67"/>
    <x v="8"/>
    <x v="31"/>
  </r>
  <r>
    <n v="1992"/>
    <x v="1992"/>
    <s v="A complete revamp of all the Disney Princes &amp; Princesses!"/>
    <x v="15"/>
    <x v="369"/>
    <x v="2"/>
    <x v="0"/>
    <s v="USD"/>
    <n v="1424229991"/>
    <x v="1992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x v="1993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x v="1994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x v="1995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x v="1996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x v="1997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x v="199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x v="1999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x v="2000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x v="2002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x v="2003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x v="2004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x v="2005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x v="2006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x v="2007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x v="2008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x v="2010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x v="2011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x v="2013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x v="2014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x v="2015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x v="3"/>
    <x v="1386"/>
    <x v="0"/>
    <x v="0"/>
    <s v="USD"/>
    <n v="1362863299"/>
    <x v="2016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x v="2017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x v="2018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x v="2019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x v="2020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x v="202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x v="202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x v="202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x v="2025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x v="31"/>
    <x v="1396"/>
    <x v="0"/>
    <x v="0"/>
    <s v="USD"/>
    <n v="1398052740"/>
    <x v="2026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x v="2027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x v="9"/>
    <x v="1398"/>
    <x v="0"/>
    <x v="0"/>
    <s v="USD"/>
    <n v="1268690100"/>
    <x v="2028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x v="2029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x v="2030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x v="2031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x v="2032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x v="2036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x v="2038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x v="2039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x v="9"/>
    <x v="1410"/>
    <x v="0"/>
    <x v="0"/>
    <s v="USD"/>
    <n v="1384557303"/>
    <x v="2040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x v="2042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x v="2043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x v="204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x v="2045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x v="2046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x v="2047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x v="2048"/>
    <b v="0"/>
    <n v="1373"/>
    <b v="1"/>
    <s v="technology/hardware"/>
    <n v="148"/>
    <n v="91.83"/>
    <x v="2"/>
    <x v="30"/>
  </r>
  <r>
    <n v="2049"/>
    <x v="2049"/>
    <s v="Keyless. Alarm secured. GPS tracking."/>
    <x v="63"/>
    <x v="1419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x v="2050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x v="2051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x v="2053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x v="2054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x v="2055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x v="2056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x v="2057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x v="317"/>
    <x v="1427"/>
    <x v="0"/>
    <x v="1"/>
    <s v="GBP"/>
    <n v="1425326400"/>
    <x v="2058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x v="2059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x v="206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x v="2062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x v="2063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x v="2064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x v="2065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x v="2067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x v="2068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x v="2069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x v="2071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x v="207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x v="2073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x v="2074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x v="2075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x v="2076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x v="2077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x v="2079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x v="208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x v="2081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x v="2082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x v="2083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x v="2085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x v="2086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x v="2087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x v="2088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x v="2089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x v="2090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x v="2091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x v="209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x v="2093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x v="2094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x v="2095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x v="2096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x v="2097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x v="2098"/>
    <b v="0"/>
    <n v="32"/>
    <b v="1"/>
    <s v="music/indie rock"/>
    <n v="100"/>
    <n v="188.13"/>
    <x v="4"/>
    <x v="14"/>
  </r>
  <r>
    <n v="2099"/>
    <x v="2099"/>
    <s v="Our tour van died, we need help!"/>
    <x v="9"/>
    <x v="1464"/>
    <x v="0"/>
    <x v="0"/>
    <s v="USD"/>
    <n v="1435808400"/>
    <x v="2099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x v="2100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x v="2101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x v="2102"/>
    <b v="0"/>
    <n v="38"/>
    <b v="1"/>
    <s v="music/indie rock"/>
    <n v="136"/>
    <n v="35.79"/>
    <x v="4"/>
    <x v="14"/>
  </r>
  <r>
    <n v="2103"/>
    <x v="2103"/>
    <s v="Indie rocker, Matthew Moon, has something to share with you..."/>
    <x v="198"/>
    <x v="1468"/>
    <x v="0"/>
    <x v="0"/>
    <s v="USD"/>
    <n v="1352488027"/>
    <x v="2103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x v="210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x v="2105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x v="2106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x v="2107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x v="2108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x v="2109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x v="2110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x v="2111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x v="2112"/>
    <b v="0"/>
    <n v="11"/>
    <b v="1"/>
    <s v="music/indie rock"/>
    <n v="100"/>
    <n v="27.27"/>
    <x v="4"/>
    <x v="14"/>
  </r>
  <r>
    <n v="2113"/>
    <x v="2113"/>
    <s v="Help us fund our second full-length album Honeycomb!"/>
    <x v="39"/>
    <x v="1475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x v="2114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x v="2115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x v="2116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x v="2117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x v="2119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x v="2120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x v="2121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x v="2122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x v="2123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x v="2124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x v="2125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x v="2126"/>
    <b v="0"/>
    <n v="2"/>
    <b v="0"/>
    <s v="games/video games"/>
    <n v="0"/>
    <n v="5"/>
    <x v="6"/>
    <x v="17"/>
  </r>
  <r>
    <n v="2127"/>
    <x v="2127"/>
    <s v="Three Monkeys is an audio adventure game for PC."/>
    <x v="89"/>
    <x v="1484"/>
    <x v="2"/>
    <x v="1"/>
    <s v="GBP"/>
    <n v="1426158463"/>
    <x v="2127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x v="2128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x v="247"/>
    <x v="1079"/>
    <x v="2"/>
    <x v="0"/>
    <s v="USD"/>
    <n v="1408154663"/>
    <x v="2130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x v="213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x v="213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x v="2133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x v="2134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x v="2135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x v="213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x v="2137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x v="2138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x v="2139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x v="2140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x v="2141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x v="2142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x v="2143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x v="2144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x v="2145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x v="2146"/>
    <b v="0"/>
    <n v="1"/>
    <b v="0"/>
    <s v="games/video games"/>
    <n v="0"/>
    <n v="1"/>
    <x v="6"/>
    <x v="17"/>
  </r>
  <r>
    <n v="2147"/>
    <x v="2147"/>
    <s v="A Point and Click Adventure on Steroids."/>
    <x v="303"/>
    <x v="1495"/>
    <x v="2"/>
    <x v="0"/>
    <s v="USD"/>
    <n v="1416125148"/>
    <x v="2147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x v="2148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x v="2149"/>
    <b v="0"/>
    <n v="0"/>
    <b v="0"/>
    <s v="games/video games"/>
    <n v="0"/>
    <n v="0"/>
    <x v="6"/>
    <x v="17"/>
  </r>
  <r>
    <n v="2150"/>
    <x v="2150"/>
    <s v="A pixel styled open world detective game."/>
    <x v="63"/>
    <x v="1496"/>
    <x v="2"/>
    <x v="10"/>
    <s v="NOK"/>
    <n v="1468392599"/>
    <x v="2150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x v="2152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x v="2153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x v="49"/>
    <x v="369"/>
    <x v="2"/>
    <x v="0"/>
    <s v="USD"/>
    <n v="1390921827"/>
    <x v="2154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x v="215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x v="96"/>
    <x v="1499"/>
    <x v="2"/>
    <x v="0"/>
    <s v="USD"/>
    <n v="1482479940"/>
    <x v="2157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x v="2158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x v="2159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x v="2160"/>
    <b v="0"/>
    <n v="16"/>
    <b v="0"/>
    <s v="games/video games"/>
    <n v="1"/>
    <n v="5.31"/>
    <x v="6"/>
    <x v="17"/>
  </r>
  <r>
    <n v="2161"/>
    <x v="2161"/>
    <s v="We're trying to fund hard copies of our debut album!"/>
    <x v="44"/>
    <x v="1501"/>
    <x v="0"/>
    <x v="0"/>
    <s v="USD"/>
    <n v="1443040059"/>
    <x v="2161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x v="2162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x v="2163"/>
    <b v="0"/>
    <n v="44"/>
    <b v="1"/>
    <s v="music/rock"/>
    <n v="132"/>
    <n v="75.11"/>
    <x v="4"/>
    <x v="11"/>
  </r>
  <r>
    <n v="2164"/>
    <x v="2164"/>
    <s v="South Florida roots country/rock outfit's long awaited debut record"/>
    <x v="62"/>
    <x v="1504"/>
    <x v="0"/>
    <x v="0"/>
    <s v="USD"/>
    <n v="1466827140"/>
    <x v="216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x v="216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x v="2166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x v="216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x v="2168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x v="2169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x v="2170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x v="2171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x v="2172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x v="217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x v="2174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x v="2175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x v="2176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x v="217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x v="2178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x v="2179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x v="2180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x v="2181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x v="2182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x v="2183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x v="2184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x v="2185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x v="2186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x v="2187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x v="2188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x v="2189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x v="2191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x v="2192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x v="2194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x v="2195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x v="32"/>
    <x v="1532"/>
    <x v="0"/>
    <x v="0"/>
    <s v="USD"/>
    <n v="1480662000"/>
    <x v="2196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x v="7"/>
    <x v="1535"/>
    <x v="0"/>
    <x v="17"/>
    <s v="EUR"/>
    <n v="1444903198"/>
    <x v="2199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x v="2200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x v="2201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x v="2202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x v="2203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x v="2204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x v="2205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x v="2206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x v="2208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x v="2209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x v="22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x v="2211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x v="2212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x v="2213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x v="2214"/>
    <b v="0"/>
    <n v="24"/>
    <b v="1"/>
    <s v="music/electronic music"/>
    <n v="293"/>
    <n v="73.13"/>
    <x v="4"/>
    <x v="15"/>
  </r>
  <r>
    <n v="2215"/>
    <x v="2215"/>
    <s v="Ambient Electro Grind-fest!"/>
    <x v="131"/>
    <x v="1548"/>
    <x v="0"/>
    <x v="0"/>
    <s v="USD"/>
    <n v="1331621940"/>
    <x v="2215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x v="2216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x v="2217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x v="2218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x v="2219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x v="2220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x v="2222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x v="2223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x v="2224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x v="222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x v="2226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x v="2227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x v="2229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x v="2230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x v="223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x v="2232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x v="2233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x v="2234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x v="2235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x v="2236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x v="2237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x v="2239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x v="2241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x v="2242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x v="2244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x v="2245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x v="2246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x v="2247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x v="224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x v="2249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x v="2250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x v="2251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x v="2252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x v="2253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x v="2254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x v="2255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x v="225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x v="2257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x v="2258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x v="2259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x v="226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x v="2262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x v="226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x v="226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x v="2266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x v="226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x v="2269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x v="2270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x v="2271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x v="2272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x v="2274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x v="2276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x v="2277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x v="2278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x v="227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x v="2280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x v="2281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x v="2282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x v="2283"/>
    <b v="0"/>
    <n v="48"/>
    <b v="1"/>
    <s v="music/rock"/>
    <n v="101"/>
    <n v="63.03"/>
    <x v="4"/>
    <x v="11"/>
  </r>
  <r>
    <n v="2284"/>
    <x v="2284"/>
    <s v="The Vinyl Skyway reunite to make a third album. "/>
    <x v="12"/>
    <x v="1614"/>
    <x v="0"/>
    <x v="0"/>
    <s v="USD"/>
    <n v="1299902400"/>
    <x v="2284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x v="2285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x v="2286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x v="2287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x v="2288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x v="2289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x v="229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x v="2291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x v="2292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x v="16"/>
    <x v="1622"/>
    <x v="0"/>
    <x v="0"/>
    <s v="USD"/>
    <n v="1348545540"/>
    <x v="2293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x v="2295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x v="229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x v="2297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x v="2298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x v="229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x v="2300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x v="2301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x v="2302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x v="2303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x v="2304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x v="2305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x v="2306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x v="2307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x v="2308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x v="2309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x v="2311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x v="2312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x v="10"/>
    <x v="1642"/>
    <x v="0"/>
    <x v="0"/>
    <s v="USD"/>
    <n v="1336086026"/>
    <x v="2313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x v="2314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x v="2315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x v="2316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x v="2317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x v="2319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x v="232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x v="232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x v="2322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x v="2323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x v="2324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x v="2325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x v="2326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x v="2327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x v="2328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x v="2329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x v="2330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x v="2332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x v="2333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x v="2334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x v="2335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x v="2336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x v="2338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x v="233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x v="2340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x v="2341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x v="2342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x v="2343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x v="2344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x v="2345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x v="2346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x v="2347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x v="234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x v="2349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x v="2350"/>
    <b v="0"/>
    <n v="0"/>
    <b v="0"/>
    <s v="technology/web"/>
    <n v="0"/>
    <n v="0"/>
    <x v="2"/>
    <x v="7"/>
  </r>
  <r>
    <n v="2351"/>
    <x v="2351"/>
    <s v="Donate $30 or more and receive a free selfie stick."/>
    <x v="341"/>
    <x v="1651"/>
    <x v="1"/>
    <x v="4"/>
    <s v="NZD"/>
    <n v="1430360739"/>
    <x v="2351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x v="23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x v="2353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x v="2354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x v="2355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x v="2356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x v="2357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x v="2358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x v="2359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x v="236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x v="2361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x v="2362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x v="2363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x v="2364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x v="236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x v="2366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x v="2367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x v="2368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x v="2369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x v="2370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x v="2371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x v="2372"/>
    <b v="0"/>
    <n v="6"/>
    <b v="0"/>
    <s v="technology/web"/>
    <n v="3"/>
    <n v="30"/>
    <x v="2"/>
    <x v="7"/>
  </r>
  <r>
    <n v="2373"/>
    <x v="2373"/>
    <s v="We want to create a safe marketplace for buying and selling bicycles."/>
    <x v="343"/>
    <x v="155"/>
    <x v="1"/>
    <x v="11"/>
    <s v="SEK"/>
    <n v="1440863624"/>
    <x v="2373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x v="2374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x v="2375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x v="237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x v="2377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x v="2378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x v="2379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x v="2380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x v="2381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x v="2382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x v="2383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x v="2384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x v="2385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x v="2386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x v="2387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x v="2388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x v="2389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x v="2390"/>
    <b v="0"/>
    <n v="0"/>
    <b v="0"/>
    <s v="technology/web"/>
    <n v="0"/>
    <n v="0"/>
    <x v="2"/>
    <x v="7"/>
  </r>
  <r>
    <n v="2391"/>
    <x v="2391"/>
    <s v="Using the power of internet to help people save hundreds in car repair."/>
    <x v="22"/>
    <x v="379"/>
    <x v="1"/>
    <x v="0"/>
    <s v="USD"/>
    <n v="1427825044"/>
    <x v="2391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x v="2392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x v="2393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x v="2394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x v="2395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x v="2396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x v="2397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x v="2398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x v="2399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x v="2400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x v="2401"/>
    <b v="0"/>
    <n v="9"/>
    <b v="0"/>
    <s v="food/food trucks"/>
    <n v="1"/>
    <n v="22.33"/>
    <x v="7"/>
    <x v="19"/>
  </r>
  <r>
    <n v="2402"/>
    <x v="2402"/>
    <s v="Small town, delicious treats, and a mobile truck"/>
    <x v="14"/>
    <x v="401"/>
    <x v="2"/>
    <x v="0"/>
    <s v="USD"/>
    <n v="1431533931"/>
    <x v="2402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x v="2404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x v="240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x v="2406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x v="2407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x v="2408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x v="2409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x v="2410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x v="2411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x v="2412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x v="2413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x v="2415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x v="2416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x v="2417"/>
    <b v="0"/>
    <n v="0"/>
    <b v="0"/>
    <s v="food/food trucks"/>
    <n v="0"/>
    <n v="0"/>
    <x v="7"/>
    <x v="19"/>
  </r>
  <r>
    <n v="2418"/>
    <x v="2418"/>
    <s v="I want to start my food truck business."/>
    <x v="31"/>
    <x v="139"/>
    <x v="2"/>
    <x v="0"/>
    <s v="USD"/>
    <n v="1427225644"/>
    <x v="2418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x v="241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x v="2420"/>
    <b v="0"/>
    <n v="36"/>
    <b v="0"/>
    <s v="food/food trucks"/>
    <n v="15"/>
    <n v="69.47"/>
    <x v="7"/>
    <x v="19"/>
  </r>
  <r>
    <n v="2421"/>
    <x v="2421"/>
    <s v="help me start Merrill's first hot dog cart in this empty lot"/>
    <x v="12"/>
    <x v="116"/>
    <x v="2"/>
    <x v="0"/>
    <s v="USD"/>
    <n v="1424536196"/>
    <x v="2421"/>
    <b v="0"/>
    <n v="1"/>
    <b v="0"/>
    <s v="food/food trucks"/>
    <n v="0"/>
    <n v="1"/>
    <x v="7"/>
    <x v="19"/>
  </r>
  <r>
    <n v="2422"/>
    <x v="2422"/>
    <s v="Family owned business serving BBQ and seafood to the public"/>
    <x v="2"/>
    <x v="116"/>
    <x v="2"/>
    <x v="0"/>
    <s v="USD"/>
    <n v="1426091036"/>
    <x v="2422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x v="2423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x v="2424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x v="2425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x v="2426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x v="2427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x v="2428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x v="2429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x v="2430"/>
    <b v="0"/>
    <n v="2"/>
    <b v="0"/>
    <s v="food/food trucks"/>
    <n v="1"/>
    <n v="10.5"/>
    <x v="7"/>
    <x v="19"/>
  </r>
  <r>
    <n v="2431"/>
    <x v="2431"/>
    <s v="Go to Colorado and run a food truck with homemade food of all kinds."/>
    <x v="57"/>
    <x v="369"/>
    <x v="2"/>
    <x v="0"/>
    <s v="USD"/>
    <n v="1467080613"/>
    <x v="2431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x v="2432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x v="243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x v="243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x v="2435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x v="2436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x v="2437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x v="2438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x v="243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x v="2440"/>
    <b v="0"/>
    <n v="2"/>
    <b v="0"/>
    <s v="food/food trucks"/>
    <n v="0"/>
    <n v="5"/>
    <x v="7"/>
    <x v="19"/>
  </r>
  <r>
    <n v="2441"/>
    <x v="2441"/>
    <s v="YOU can help Alchemy Pops POP up on a street near you!"/>
    <x v="51"/>
    <x v="1678"/>
    <x v="0"/>
    <x v="0"/>
    <s v="USD"/>
    <n v="1437627540"/>
    <x v="2441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x v="2442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x v="2444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x v="2445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x v="2446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x v="2447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x v="2448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x v="2449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x v="2450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x v="2451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x v="2452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x v="2453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x v="2454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x v="2456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x v="2457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x v="245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x v="2459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x v="2460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x v="2461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x v="2462"/>
    <b v="0"/>
    <n v="115"/>
    <b v="1"/>
    <s v="music/indie rock"/>
    <n v="111"/>
    <n v="28.88"/>
    <x v="4"/>
    <x v="14"/>
  </r>
  <r>
    <n v="2463"/>
    <x v="2463"/>
    <s v="Emma Ate The Lion's debut full length album"/>
    <x v="13"/>
    <x v="66"/>
    <x v="0"/>
    <x v="0"/>
    <s v="USD"/>
    <n v="1366138800"/>
    <x v="2463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x v="2464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x v="2465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x v="2466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x v="2467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x v="2468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x v="246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x v="2470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x v="2471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x v="2472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x v="2473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x v="247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x v="2476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x v="2477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x v="2479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x v="2480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x v="2481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x v="2482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x v="248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x v="2484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x v="2485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x v="248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x v="248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x v="248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x v="248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x v="2490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x v="2491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x v="2492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x v="2493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x v="249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x v="249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x v="2496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x v="2497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x v="2498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x v="2499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x v="2500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x v="2501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x v="2502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x v="2503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x v="250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x v="2505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x v="2506"/>
    <b v="0"/>
    <n v="2"/>
    <b v="0"/>
    <s v="food/restaurants"/>
    <n v="1"/>
    <n v="15"/>
    <x v="7"/>
    <x v="34"/>
  </r>
  <r>
    <n v="2507"/>
    <x v="2506"/>
    <s v="Unique dishes for a unique city!."/>
    <x v="350"/>
    <x v="117"/>
    <x v="2"/>
    <x v="0"/>
    <s v="USD"/>
    <n v="1431308704"/>
    <x v="2507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x v="2508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x v="250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x v="2510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x v="2511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x v="2512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x v="2513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x v="2514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x v="2515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x v="2516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x v="2517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x v="251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x v="2519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x v="2520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x v="2522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x v="2523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x v="2524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x v="2525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x v="2526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x v="2527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x v="2528"/>
    <b v="0"/>
    <n v="81"/>
    <b v="1"/>
    <s v="music/classical music"/>
    <n v="107"/>
    <n v="52.96"/>
    <x v="4"/>
    <x v="35"/>
  </r>
  <r>
    <n v="2529"/>
    <x v="2528"/>
    <s v="Opera. Short. New."/>
    <x v="12"/>
    <x v="1736"/>
    <x v="0"/>
    <x v="0"/>
    <s v="USD"/>
    <n v="1332636975"/>
    <x v="2529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x v="2532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x v="2533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x v="2534"/>
    <b v="0"/>
    <n v="14"/>
    <b v="1"/>
    <s v="music/classical music"/>
    <n v="105"/>
    <n v="150"/>
    <x v="4"/>
    <x v="35"/>
  </r>
  <r>
    <n v="2535"/>
    <x v="2534"/>
    <s v="Mark Hayes: Requiem Recording"/>
    <x v="22"/>
    <x v="1741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x v="253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x v="2537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x v="2538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x v="2539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x v="2540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x v="2542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x v="2543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x v="2544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x v="2545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x v="2546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x v="2547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x v="2548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x v="2549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x v="2550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x v="2551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x v="2552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x v="2554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x v="2555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x v="2556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x v="2557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x v="2558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x v="2559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x v="2560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x v="2561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x v="2562"/>
    <b v="0"/>
    <n v="3"/>
    <b v="0"/>
    <s v="food/food trucks"/>
    <n v="1"/>
    <n v="25"/>
    <x v="7"/>
    <x v="19"/>
  </r>
  <r>
    <n v="2563"/>
    <x v="2562"/>
    <s v="Michigan based bubble tea and specialty ice cream food truck"/>
    <x v="22"/>
    <x v="117"/>
    <x v="1"/>
    <x v="0"/>
    <s v="USD"/>
    <n v="1438226451"/>
    <x v="2563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x v="2564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x v="2565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x v="2566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x v="2567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x v="2568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x v="2569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x v="2570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x v="257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x v="2572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x v="2573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x v="2574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x v="2575"/>
    <b v="0"/>
    <n v="0"/>
    <b v="0"/>
    <s v="food/food trucks"/>
    <n v="0"/>
    <n v="0"/>
    <x v="7"/>
    <x v="19"/>
  </r>
  <r>
    <n v="2576"/>
    <x v="2575"/>
    <s v="A New Twist with an American and Philippine fast food Mobile Trailer."/>
    <x v="3"/>
    <x v="117"/>
    <x v="1"/>
    <x v="0"/>
    <s v="USD"/>
    <n v="1428707647"/>
    <x v="2576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x v="257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x v="2578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x v="2579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x v="2580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x v="2581"/>
    <b v="0"/>
    <n v="11"/>
    <b v="0"/>
    <s v="food/food trucks"/>
    <n v="11"/>
    <n v="48.18"/>
    <x v="7"/>
    <x v="19"/>
  </r>
  <r>
    <n v="2582"/>
    <x v="2581"/>
    <s v="The place where chicken meets liquor for the first time!"/>
    <x v="161"/>
    <x v="116"/>
    <x v="2"/>
    <x v="0"/>
    <s v="USD"/>
    <n v="1477784634"/>
    <x v="2582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x v="2583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x v="2584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x v="2585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x v="258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x v="2587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x v="2588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x v="2589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x v="2590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x v="2591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x v="2592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x v="2593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x v="2594"/>
    <b v="0"/>
    <n v="1"/>
    <b v="0"/>
    <s v="food/food trucks"/>
    <n v="0"/>
    <n v="1"/>
    <x v="7"/>
    <x v="19"/>
  </r>
  <r>
    <n v="2595"/>
    <x v="2594"/>
    <s v="Looking to put the best baked goods in Bowling Green on wheels"/>
    <x v="36"/>
    <x v="1767"/>
    <x v="2"/>
    <x v="0"/>
    <s v="USD"/>
    <n v="1487915500"/>
    <x v="2595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x v="259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x v="2598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x v="2599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x v="26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x v="2617"/>
    <s v="LTD ED COLLECTIBLE SPACE ART FEAT. ASTRONAUTS"/>
    <x v="36"/>
    <x v="1786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x v="2641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x v="2642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x v="2647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x v="2648"/>
    <s v="They have launched a Kickstarter."/>
    <x v="152"/>
    <x v="1811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x v="2654"/>
    <b v="0"/>
    <n v="6"/>
    <b v="0"/>
    <s v="technology/space exploration"/>
    <n v="0"/>
    <n v="8.5"/>
    <x v="2"/>
    <x v="36"/>
  </r>
  <r>
    <n v="2655"/>
    <x v="2654"/>
    <s v="Thank you for your support!"/>
    <x v="36"/>
    <x v="181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x v="60"/>
    <x v="1816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x v="2658"/>
    <s v="test"/>
    <x v="197"/>
    <x v="1819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x v="2660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x v="2661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x v="2662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x v="2663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x v="2665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x v="2666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x v="2667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x v="28"/>
    <x v="1240"/>
    <x v="0"/>
    <x v="5"/>
    <s v="CAD"/>
    <n v="1447079520"/>
    <x v="2668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x v="2669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x v="267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x v="2671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x v="2672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x v="2673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x v="2674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x v="2675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x v="2676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x v="2677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x v="2678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x v="2679"/>
    <b v="0"/>
    <n v="3"/>
    <b v="0"/>
    <s v="technology/makerspaces"/>
    <n v="0"/>
    <n v="44"/>
    <x v="2"/>
    <x v="37"/>
  </r>
  <r>
    <n v="2680"/>
    <x v="2679"/>
    <s v="iHeartPillow, Connecting loved ones"/>
    <x v="261"/>
    <x v="1836"/>
    <x v="2"/>
    <x v="3"/>
    <s v="EUR"/>
    <n v="1459915491"/>
    <x v="2680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x v="2681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x v="2682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x v="2683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x v="2684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x v="2685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x v="2686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x v="2687"/>
    <b v="0"/>
    <n v="0"/>
    <b v="0"/>
    <s v="food/food trucks"/>
    <n v="0"/>
    <n v="0"/>
    <x v="7"/>
    <x v="19"/>
  </r>
  <r>
    <n v="2688"/>
    <x v="2687"/>
    <s v="The amazing gourmet Mac N Cheez Food Truck Campaigne!"/>
    <x v="63"/>
    <x v="1838"/>
    <x v="2"/>
    <x v="0"/>
    <s v="USD"/>
    <n v="1424746800"/>
    <x v="2688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x v="2689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x v="2691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x v="2692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x v="2693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x v="2694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x v="2695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x v="2696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x v="2697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x v="269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x v="2699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x v="2700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x v="2702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x v="2703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x v="270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x v="281"/>
    <x v="1846"/>
    <x v="3"/>
    <x v="0"/>
    <s v="USD"/>
    <n v="1490389158"/>
    <x v="2705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x v="2706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x v="2708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x v="2709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x v="2710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x v="2711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x v="2712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x v="2713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x v="2714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x v="2715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x v="2716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x v="2717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x v="2718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x v="2719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x v="2720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x v="2721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x v="2722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x v="2723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x v="2724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x v="2725"/>
    <b v="0"/>
    <n v="113"/>
    <b v="1"/>
    <s v="technology/hardware"/>
    <n v="145"/>
    <n v="511.65"/>
    <x v="2"/>
    <x v="30"/>
  </r>
  <r>
    <n v="2726"/>
    <x v="2725"/>
    <s v="Krimston TWO: iPhone Dual SIM Case"/>
    <x v="57"/>
    <x v="1867"/>
    <x v="0"/>
    <x v="0"/>
    <s v="USD"/>
    <n v="1461333311"/>
    <x v="2726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x v="36"/>
    <x v="1869"/>
    <x v="0"/>
    <x v="0"/>
    <s v="USD"/>
    <n v="1451485434"/>
    <x v="2728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x v="51"/>
    <x v="1870"/>
    <x v="0"/>
    <x v="0"/>
    <s v="USD"/>
    <n v="1430459197"/>
    <x v="2729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x v="2730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x v="2731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x v="2732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x v="2733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x v="2735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x v="2736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x v="273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x v="2738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x v="2739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x v="6"/>
    <x v="428"/>
    <x v="2"/>
    <x v="0"/>
    <s v="USD"/>
    <n v="1413770820"/>
    <x v="2741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x v="2743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x v="274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x v="2748"/>
    <s v="Self-publishing my children's book."/>
    <x v="3"/>
    <x v="178"/>
    <x v="2"/>
    <x v="0"/>
    <s v="USD"/>
    <n v="1428171037"/>
    <x v="2749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x v="2750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x v="2751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x v="2754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x v="2756"/>
    <s v="A children's letter book that Lampoons Hillary Clinton"/>
    <x v="15"/>
    <x v="115"/>
    <x v="2"/>
    <x v="0"/>
    <s v="USD"/>
    <n v="1470498332"/>
    <x v="2757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x v="2758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x v="2760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x v="2761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x v="2762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x v="2763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x v="2765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x v="2766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x v="2769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x v="2771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x v="2772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x v="2773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x v="2775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x v="2777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x v="2779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x v="2780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x v="2781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x v="2782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x v="2783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x v="2784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x v="2785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x v="2786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x v="2787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x v="2788"/>
    <b v="0"/>
    <n v="20"/>
    <b v="1"/>
    <s v="theater/plays"/>
    <n v="103"/>
    <n v="102.5"/>
    <x v="1"/>
    <x v="6"/>
  </r>
  <r>
    <n v="2789"/>
    <x v="2788"/>
    <s v="BNT's Biggest Adventure So Far: Our 2015 full length production!"/>
    <x v="9"/>
    <x v="1891"/>
    <x v="0"/>
    <x v="0"/>
    <s v="USD"/>
    <n v="1426132800"/>
    <x v="2789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x v="2790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x v="2792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x v="2793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x v="2794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x v="2795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x v="2796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x v="2797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x v="2798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x v="2799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x v="2800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x v="2801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x v="2802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x v="2803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x v="2804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x v="2805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x v="2806"/>
    <b v="0"/>
    <n v="76"/>
    <b v="1"/>
    <s v="theater/plays"/>
    <n v="112"/>
    <n v="44.25"/>
    <x v="1"/>
    <x v="6"/>
  </r>
  <r>
    <n v="2807"/>
    <x v="2806"/>
    <s v="Bringing Shakespeare back to the Playwrights"/>
    <x v="10"/>
    <x v="54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x v="2808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x v="2809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x v="2810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x v="2811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x v="2812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x v="2813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x v="2814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x v="2815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x v="2816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x v="2817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x v="2818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x v="281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x v="2820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x v="2821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x v="282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x v="2823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x v="2824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x v="2825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x v="2826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x v="2827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x v="2828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x v="2829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x v="2830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x v="2831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x v="2832"/>
    <b v="0"/>
    <n v="95"/>
    <b v="1"/>
    <s v="theater/plays"/>
    <n v="115"/>
    <n v="30.19"/>
    <x v="1"/>
    <x v="6"/>
  </r>
  <r>
    <n v="2833"/>
    <x v="2832"/>
    <s v="A new play about exploring outer space"/>
    <x v="200"/>
    <x v="1920"/>
    <x v="0"/>
    <x v="0"/>
    <s v="USD"/>
    <n v="1444528800"/>
    <x v="28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x v="2835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x v="2836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x v="2838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x v="2839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x v="2840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x v="2841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x v="2842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x v="2843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x v="2844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x v="2845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x v="2846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x v="2847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x v="2848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x v="2849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x v="2850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x v="2851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x v="2852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x v="2853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x v="2854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x v="2855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x v="2856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x v="2857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x v="2858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x v="2859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x v="2860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x v="2861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x v="2862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x v="2863"/>
    <b v="0"/>
    <n v="1"/>
    <b v="0"/>
    <s v="theater/plays"/>
    <n v="0"/>
    <n v="20"/>
    <x v="1"/>
    <x v="6"/>
  </r>
  <r>
    <n v="2864"/>
    <x v="2863"/>
    <s v="Accessible, original theatre for all!"/>
    <x v="30"/>
    <x v="130"/>
    <x v="2"/>
    <x v="1"/>
    <s v="GBP"/>
    <n v="1437139080"/>
    <x v="2864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x v="2865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x v="2866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x v="2867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x v="2868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x v="2869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x v="2870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x v="2871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x v="2872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x v="2873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x v="2874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x v="2875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x v="2876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x v="2877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x v="2878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x v="2879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x v="2880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x v="2881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x v="2882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x v="2883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x v="2884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x v="2885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x v="2886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x v="2887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x v="2888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x v="2890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x v="2891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x v="2892"/>
    <b v="0"/>
    <n v="17"/>
    <b v="0"/>
    <s v="theater/plays"/>
    <n v="9"/>
    <n v="29.41"/>
    <x v="1"/>
    <x v="6"/>
  </r>
  <r>
    <n v="2893"/>
    <x v="2892"/>
    <s v="Fundraising for REDISCOVERING KIA THE PLAY"/>
    <x v="10"/>
    <x v="379"/>
    <x v="2"/>
    <x v="0"/>
    <s v="USD"/>
    <n v="1420768800"/>
    <x v="2893"/>
    <b v="0"/>
    <n v="2"/>
    <b v="0"/>
    <s v="theater/plays"/>
    <n v="1"/>
    <n v="12.5"/>
    <x v="1"/>
    <x v="6"/>
  </r>
  <r>
    <n v="2894"/>
    <x v="2893"/>
    <s v="This Is A Story About A Woman A Man And A Woman"/>
    <x v="63"/>
    <x v="117"/>
    <x v="2"/>
    <x v="0"/>
    <s v="USD"/>
    <n v="1428100815"/>
    <x v="2894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x v="2895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x v="2896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x v="2897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x v="2898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x v="2899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x v="2900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x v="2901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x v="2902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x v="2903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x v="2904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x v="290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x v="290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x v="2908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x v="2909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x v="2910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x v="2911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x v="2912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x v="2913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x v="291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x v="2915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x v="2916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x v="291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x v="291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x v="292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x v="2921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x v="2922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x v="2923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x v="2924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x v="2925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x v="2926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x v="2927"/>
    <b v="0"/>
    <n v="21"/>
    <b v="1"/>
    <s v="theater/musical"/>
    <n v="131"/>
    <n v="112.14"/>
    <x v="1"/>
    <x v="40"/>
  </r>
  <r>
    <n v="2928"/>
    <x v="2927"/>
    <s v="This is a touring production for schools in the Treasure Valley!"/>
    <x v="28"/>
    <x v="325"/>
    <x v="0"/>
    <x v="0"/>
    <s v="USD"/>
    <n v="1457135846"/>
    <x v="2928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x v="2929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x v="2931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x v="2932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x v="293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x v="293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x v="2935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x v="2936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x v="2937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x v="2938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x v="2939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x v="2941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x v="2942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x v="2943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x v="2944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x v="2945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x v="2946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x v="294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x v="2948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x v="2949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x v="2950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x v="2952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x v="2953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x v="2954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x v="2955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x v="2957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x v="2958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x v="2959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x v="2960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x v="2961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x v="2962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x v="2963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x v="2964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x v="2965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x v="2966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x v="2967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x v="2968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x v="2969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x v="2970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x v="2971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x v="2972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x v="2974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x v="2975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x v="2976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x v="2977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x v="2978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x v="2979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x v="298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x v="2981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x v="2982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x v="2983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x v="2984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x v="2985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x v="298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x v="2987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x v="2988"/>
    <b v="0"/>
    <n v="28"/>
    <b v="1"/>
    <s v="theater/spaces"/>
    <n v="100"/>
    <n v="35.71"/>
    <x v="1"/>
    <x v="38"/>
  </r>
  <r>
    <n v="2989"/>
    <x v="2988"/>
    <s v="Bring the movies back to Bethel, Maine."/>
    <x v="22"/>
    <x v="1987"/>
    <x v="0"/>
    <x v="0"/>
    <s v="USD"/>
    <n v="1450673940"/>
    <x v="2989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x v="299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x v="2991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x v="2992"/>
    <b v="0"/>
    <n v="64"/>
    <b v="1"/>
    <s v="theater/spaces"/>
    <n v="105"/>
    <n v="48.98"/>
    <x v="1"/>
    <x v="38"/>
  </r>
  <r>
    <n v="2993"/>
    <x v="2992"/>
    <s v="Help us build the Kitchen from Hell!"/>
    <x v="28"/>
    <x v="1141"/>
    <x v="0"/>
    <x v="0"/>
    <s v="USD"/>
    <n v="1455998867"/>
    <x v="2993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x v="2994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x v="2995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x v="2997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x v="2998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x v="2999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x v="300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x v="3001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x v="300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x v="3003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x v="300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x v="30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x v="3006"/>
    <b v="0"/>
    <n v="97"/>
    <b v="1"/>
    <s v="theater/spaces"/>
    <n v="108"/>
    <n v="88.87"/>
    <x v="1"/>
    <x v="38"/>
  </r>
  <r>
    <n v="3007"/>
    <x v="3006"/>
    <s v="Consuite for 2015 CoreCon.  An adventure into insanity."/>
    <x v="20"/>
    <x v="1144"/>
    <x v="0"/>
    <x v="0"/>
    <s v="USD"/>
    <n v="1429938683"/>
    <x v="3007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x v="3008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x v="3009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x v="3010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x v="3011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x v="3012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x v="3013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x v="3014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x v="3015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x v="3016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x v="3018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x v="3020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x v="3021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x v="3022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x v="3023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x v="3024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x v="3025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x v="3026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x v="3027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x v="3028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x v="3029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x v="3030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x v="3031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x v="3032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x v="3033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x v="3034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x v="3035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x v="3036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x v="3037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x v="3038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x v="3039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x v="3041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x v="3042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x v="3043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x v="3044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x v="304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x v="304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x v="3047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x v="3048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x v="20"/>
    <x v="69"/>
    <x v="0"/>
    <x v="0"/>
    <s v="USD"/>
    <n v="1462420960"/>
    <x v="305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x v="3051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x v="3052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x v="305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x v="30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x v="3055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x v="3056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x v="3057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x v="3058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x v="3059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x v="3060"/>
    <b v="0"/>
    <n v="6"/>
    <b v="0"/>
    <s v="theater/spaces"/>
    <n v="0"/>
    <n v="55.83"/>
    <x v="1"/>
    <x v="38"/>
  </r>
  <r>
    <n v="3061"/>
    <x v="3060"/>
    <s v="Save a historic Local theater."/>
    <x v="80"/>
    <x v="117"/>
    <x v="2"/>
    <x v="0"/>
    <s v="USD"/>
    <n v="1407955748"/>
    <x v="3061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x v="306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x v="3063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x v="96"/>
    <x v="2039"/>
    <x v="2"/>
    <x v="0"/>
    <s v="USD"/>
    <n v="1448175540"/>
    <x v="3064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x v="3065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x v="3066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x v="3067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x v="3068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x v="3069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x v="3070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x v="307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x v="307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x v="3073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x v="3074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x v="3075"/>
    <b v="0"/>
    <n v="20"/>
    <b v="0"/>
    <s v="theater/spaces"/>
    <n v="9"/>
    <n v="64.8"/>
    <x v="1"/>
    <x v="38"/>
  </r>
  <r>
    <n v="3076"/>
    <x v="3075"/>
    <s v="Helping female comedians get in their 10,000 Hours of practice!"/>
    <x v="3"/>
    <x v="84"/>
    <x v="2"/>
    <x v="0"/>
    <s v="USD"/>
    <n v="1444405123"/>
    <x v="3076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x v="3077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x v="3078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x v="3079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x v="3080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x v="308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x v="3082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x v="3084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x v="3085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x v="3087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x v="3088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x v="3089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x v="3090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x v="3091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x v="309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x v="3093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x v="3094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x v="3095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x v="309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x v="3097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x v="3098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x v="3099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x v="3100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x v="3101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x v="3102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x v="3103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x v="3104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x v="3105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x v="310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x v="3107"/>
    <s v="We need a permanent home for the theater!"/>
    <x v="63"/>
    <x v="375"/>
    <x v="2"/>
    <x v="0"/>
    <s v="USD"/>
    <n v="1430234394"/>
    <x v="3108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x v="3109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x v="3110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x v="3111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x v="3112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x v="3113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x v="3114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x v="3115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x v="3116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x v="3117"/>
    <b v="0"/>
    <n v="1"/>
    <b v="0"/>
    <s v="theater/spaces"/>
    <n v="0"/>
    <n v="1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x v="3118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x v="3119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x v="3120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x v="3121"/>
    <b v="0"/>
    <n v="1"/>
    <b v="0"/>
    <s v="theater/spaces"/>
    <n v="1"/>
    <n v="10"/>
    <x v="1"/>
    <x v="38"/>
  </r>
  <r>
    <n v="3122"/>
    <x v="3121"/>
    <s v="cancelled until further notice"/>
    <x v="212"/>
    <x v="851"/>
    <x v="1"/>
    <x v="0"/>
    <s v="USD"/>
    <n v="1478733732"/>
    <x v="312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x v="3123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x v="3124"/>
    <b v="0"/>
    <n v="4"/>
    <b v="0"/>
    <s v="theater/spaces"/>
    <n v="0"/>
    <n v="6.5"/>
    <x v="1"/>
    <x v="38"/>
  </r>
  <r>
    <n v="3125"/>
    <x v="3124"/>
    <s v="N/A"/>
    <x v="86"/>
    <x v="117"/>
    <x v="1"/>
    <x v="0"/>
    <s v="USD"/>
    <n v="1452142672"/>
    <x v="3125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x v="3126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x v="3127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x v="3128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x v="312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x v="3130"/>
    <b v="0"/>
    <n v="4"/>
    <b v="0"/>
    <s v="theater/plays"/>
    <n v="4"/>
    <n v="93.75"/>
    <x v="1"/>
    <x v="6"/>
  </r>
  <r>
    <n v="3131"/>
    <x v="3130"/>
    <s v="A Staged Reading of &quot;Snake Eyes,&quot; a new play by Alex Rafala"/>
    <x v="393"/>
    <x v="2043"/>
    <x v="3"/>
    <x v="0"/>
    <s v="USD"/>
    <n v="1491656045"/>
    <x v="3131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x v="11"/>
    <x v="115"/>
    <x v="3"/>
    <x v="0"/>
    <s v="USD"/>
    <n v="1492759460"/>
    <x v="3132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x v="3133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x v="3134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x v="3135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x v="3136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x v="3137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x v="3138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x v="3139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x v="3140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x v="3141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x v="3142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x v="3143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x v="3144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x v="3145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x v="314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x v="3147"/>
    <b v="1"/>
    <n v="213"/>
    <b v="1"/>
    <s v="theater/plays"/>
    <n v="118"/>
    <n v="110.35"/>
    <x v="1"/>
    <x v="6"/>
  </r>
  <r>
    <n v="3148"/>
    <x v="3147"/>
    <s v="Help fund The Aurora Project, an immersive science fiction epic."/>
    <x v="40"/>
    <x v="2073"/>
    <x v="0"/>
    <x v="0"/>
    <s v="USD"/>
    <n v="1412136000"/>
    <x v="3148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x v="3149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x v="3150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x v="3151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x v="3152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x v="3153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x v="3154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x v="315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x v="3156"/>
    <b v="1"/>
    <n v="89"/>
    <b v="1"/>
    <s v="theater/plays"/>
    <n v="102"/>
    <n v="62.92"/>
    <x v="1"/>
    <x v="6"/>
  </r>
  <r>
    <n v="3157"/>
    <x v="3156"/>
    <s v="Four Directors.  Four One Acts.  Four Genres.  For You."/>
    <x v="23"/>
    <x v="74"/>
    <x v="0"/>
    <x v="0"/>
    <s v="USD"/>
    <n v="1405746000"/>
    <x v="3157"/>
    <b v="1"/>
    <n v="41"/>
    <b v="1"/>
    <s v="theater/plays"/>
    <n v="101"/>
    <n v="98.54"/>
    <x v="1"/>
    <x v="6"/>
  </r>
  <r>
    <n v="3158"/>
    <x v="3157"/>
    <s v="A 40s crime-noir play using nursery rhyme characters."/>
    <x v="10"/>
    <x v="2080"/>
    <x v="0"/>
    <x v="0"/>
    <s v="USD"/>
    <n v="1374523752"/>
    <x v="3158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x v="3159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x v="3160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x v="3161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x v="31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x v="3163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x v="3165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x v="3166"/>
    <b v="1"/>
    <n v="930"/>
    <b v="1"/>
    <s v="theater/plays"/>
    <n v="160"/>
    <n v="60.3"/>
    <x v="1"/>
    <x v="6"/>
  </r>
  <r>
    <n v="3167"/>
    <x v="3166"/>
    <s v="What is destiny? Explore it with us this August at FringeNYC."/>
    <x v="9"/>
    <x v="2089"/>
    <x v="0"/>
    <x v="0"/>
    <s v="USD"/>
    <n v="1406952781"/>
    <x v="3167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x v="3168"/>
    <b v="1"/>
    <n v="61"/>
    <b v="1"/>
    <s v="theater/plays"/>
    <n v="124"/>
    <n v="50.9"/>
    <x v="1"/>
    <x v="6"/>
  </r>
  <r>
    <n v="3169"/>
    <x v="3168"/>
    <s v="We're bringing The Window to the Cherry Lane Theater in January 2014."/>
    <x v="6"/>
    <x v="2091"/>
    <x v="0"/>
    <x v="0"/>
    <s v="USD"/>
    <n v="1386910740"/>
    <x v="3169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x v="3170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x v="3172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x v="3173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x v="3174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x v="3175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x v="3176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x v="3177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x v="3178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x v="3179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x v="3180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x v="3181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x v="3182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x v="3183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x v="3184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x v="3185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x v="3186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x v="3188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x v="3189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x v="3190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x v="3191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x v="3192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x v="3193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x v="3194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x v="3195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x v="3196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x v="3197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x v="3198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x v="3199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x v="3200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x v="3201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x v="3202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x v="3203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x v="3204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x v="3205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x v="3206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x v="3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x v="3208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x v="3209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x v="3210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x v="3211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x v="3212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x v="3213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x v="3214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x v="3215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x v="3216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x v="3217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x v="3218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x v="3219"/>
    <b v="1"/>
    <n v="119"/>
    <b v="1"/>
    <s v="theater/plays"/>
    <n v="100"/>
    <n v="168.25"/>
    <x v="1"/>
    <x v="6"/>
  </r>
  <r>
    <n v="3220"/>
    <x v="3219"/>
    <s v="A sci-fi thriller for the stage opening March 10 in Los Angeles."/>
    <x v="36"/>
    <x v="2117"/>
    <x v="0"/>
    <x v="0"/>
    <s v="USD"/>
    <n v="1489352400"/>
    <x v="3220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x v="3221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x v="3222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x v="3223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x v="3224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x v="3225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x v="3226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x v="3227"/>
    <b v="0"/>
    <n v="30"/>
    <b v="1"/>
    <s v="theater/plays"/>
    <n v="125"/>
    <n v="50"/>
    <x v="1"/>
    <x v="6"/>
  </r>
  <r>
    <n v="3228"/>
    <x v="3227"/>
    <s v="A Season of Powerful Women. A Season of Defiance."/>
    <x v="39"/>
    <x v="2123"/>
    <x v="0"/>
    <x v="0"/>
    <s v="USD"/>
    <n v="1450328340"/>
    <x v="3228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x v="3229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x v="3230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x v="3231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x v="3232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x v="3233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x v="3234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x v="3235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x v="3236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x v="19"/>
    <x v="2132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x v="323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x v="3239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x v="3240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x v="3241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x v="3243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x v="3244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x v="3245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x v="3246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x v="3247"/>
    <b v="1"/>
    <n v="57"/>
    <b v="1"/>
    <s v="theater/plays"/>
    <n v="106"/>
    <n v="46.43"/>
    <x v="1"/>
    <x v="6"/>
  </r>
  <r>
    <n v="3248"/>
    <x v="3247"/>
    <s v="Honest Accomplice Theatre produces theatre for social change."/>
    <x v="14"/>
    <x v="2142"/>
    <x v="0"/>
    <x v="0"/>
    <s v="USD"/>
    <n v="1428178757"/>
    <x v="3248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x v="3249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x v="3250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x v="3251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x v="3252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x v="3253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x v="3254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x v="325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x v="3257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x v="3258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x v="3259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x v="3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x v="3263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x v="3264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x v="3266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x v="3267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x v="326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x v="3269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x v="3270"/>
    <b v="1"/>
    <n v="30"/>
    <b v="1"/>
    <s v="theater/plays"/>
    <n v="102"/>
    <n v="61"/>
    <x v="1"/>
    <x v="6"/>
  </r>
  <r>
    <n v="3271"/>
    <x v="3270"/>
    <s v="A razor sharp satire to darken your Christmas."/>
    <x v="15"/>
    <x v="2161"/>
    <x v="0"/>
    <x v="1"/>
    <s v="GBP"/>
    <n v="1414927775"/>
    <x v="3271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x v="3272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x v="3273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x v="3274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x v="3276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x v="3277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x v="3278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x v="327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x v="3280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x v="3282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x v="3284"/>
    <b v="0"/>
    <n v="15"/>
    <b v="1"/>
    <s v="theater/plays"/>
    <n v="102"/>
    <n v="203.2"/>
    <x v="1"/>
    <x v="6"/>
  </r>
  <r>
    <n v="3285"/>
    <x v="3284"/>
    <s v="A new play by Matthew Gasda"/>
    <x v="402"/>
    <x v="2173"/>
    <x v="0"/>
    <x v="0"/>
    <s v="USD"/>
    <n v="1488258000"/>
    <x v="3285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x v="3286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x v="3287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x v="3288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x v="3289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x v="3290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x v="3291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x v="3292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x v="3293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x v="329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x v="3295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x v="3296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x v="3297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x v="329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x v="3299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x v="3300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x v="3301"/>
    <b v="0"/>
    <n v="70"/>
    <b v="1"/>
    <s v="theater/plays"/>
    <n v="133"/>
    <n v="57.2"/>
    <x v="1"/>
    <x v="6"/>
  </r>
  <r>
    <n v="3302"/>
    <x v="3301"/>
    <s v="FilosofÃ­a de los anÃ³nimos"/>
    <x v="33"/>
    <x v="2186"/>
    <x v="0"/>
    <x v="3"/>
    <s v="EUR"/>
    <n v="1481099176"/>
    <x v="3302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x v="3303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x v="3304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x v="3305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x v="3306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x v="3307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x v="3308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x v="3309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x v="3310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x v="3311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x v="3312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x v="3313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x v="3314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x v="3315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x v="3316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x v="3317"/>
    <b v="0"/>
    <n v="18"/>
    <b v="1"/>
    <s v="theater/plays"/>
    <n v="106"/>
    <n v="61.94"/>
    <x v="1"/>
    <x v="6"/>
  </r>
  <r>
    <n v="3318"/>
    <x v="3317"/>
    <s v="Help us strengthen and inspire disability arts in Atlantic Canada"/>
    <x v="13"/>
    <x v="2197"/>
    <x v="0"/>
    <x v="5"/>
    <s v="CAD"/>
    <n v="1460341800"/>
    <x v="3318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x v="3319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x v="3320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x v="3322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x v="3323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x v="3324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x v="3325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x v="3326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x v="3327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x v="3329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x v="3330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x v="3333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x v="3334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x v="3335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x v="333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x v="333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x v="3338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x v="3339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x v="3340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x v="334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x v="3343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x v="3344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x v="3345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x v="3346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x v="3347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x v="3349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x v="3350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x v="3351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x v="3352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x v="3354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x v="3356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x v="3357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x v="3358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x v="3359"/>
    <b v="0"/>
    <n v="23"/>
    <b v="1"/>
    <s v="theater/plays"/>
    <n v="106"/>
    <n v="184.78"/>
    <x v="1"/>
    <x v="6"/>
  </r>
  <r>
    <n v="3360"/>
    <x v="3358"/>
    <s v="World Premiere, an M1 Singapore Fringe Festival 2017 commission."/>
    <x v="7"/>
    <x v="2225"/>
    <x v="0"/>
    <x v="20"/>
    <s v="SGD"/>
    <n v="1481731140"/>
    <x v="3360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x v="3361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x v="3362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x v="3363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x v="3364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x v="3365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x v="3366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x v="3367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x v="3368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x v="3369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x v="15"/>
    <x v="2233"/>
    <x v="0"/>
    <x v="0"/>
    <s v="USD"/>
    <n v="1481961600"/>
    <x v="3370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x v="3371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x v="3372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x v="3373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x v="3374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x v="3375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x v="3376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x v="3377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x v="3378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x v="3379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x v="3380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x v="3381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x v="3383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x v="3384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x v="338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x v="3387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x v="3388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x v="3389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x v="3391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x v="3392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x v="3393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x v="3394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x v="3395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x v="3396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x v="3397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x v="3399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x v="3400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x v="3401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x v="3402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x v="3403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x v="3404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x v="3405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x v="340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x v="3407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x v="3408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x v="3409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x v="341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x v="3411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x v="341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x v="3413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x v="3415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x v="3416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x v="3417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x v="3418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x v="3419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x v="3420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x v="3421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x v="3423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x v="342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x v="3426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x v="3427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x v="3428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x v="3429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x v="3430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x v="3431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x v="3432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x v="3433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x v="3434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x v="3435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x v="3437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x v="3438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x v="3439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x v="3440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x v="344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x v="344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x v="3443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x v="3444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x v="3445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x v="3446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x v="3447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x v="3448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x v="3449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x v="3451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x v="3452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x v="3453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x v="3454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x v="3455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x v="3456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x v="13"/>
    <x v="2289"/>
    <x v="0"/>
    <x v="0"/>
    <s v="USD"/>
    <n v="1423720740"/>
    <x v="34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x v="3458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x v="3459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x v="3460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x v="3461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x v="3462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x v="3463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x v="3464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x v="3465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x v="3466"/>
    <b v="0"/>
    <n v="61"/>
    <b v="1"/>
    <s v="theater/plays"/>
    <n v="127"/>
    <n v="72.95"/>
    <x v="1"/>
    <x v="6"/>
  </r>
  <r>
    <n v="3467"/>
    <x v="3465"/>
    <s v="Venus in Fur, By David Ives."/>
    <x v="9"/>
    <x v="168"/>
    <x v="0"/>
    <x v="0"/>
    <s v="USD"/>
    <n v="1426864032"/>
    <x v="3467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x v="3468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x v="3469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x v="3470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x v="3472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x v="3474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x v="3475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x v="3476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x v="3477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x v="3478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x v="3479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x v="3480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x v="3481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x v="3482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x v="3483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x v="3484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x v="3485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x v="3486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x v="3487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x v="3488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x v="3490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x v="3492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x v="3493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x v="3494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x v="349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x v="3498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x v="3499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x v="3500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x v="3502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x v="3504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x v="3506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x v="350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x v="3508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x v="3509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x v="3510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x v="3511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x v="351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x v="3513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x v="3514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x v="3516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x v="3517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x v="3518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x v="3519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x v="3520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x v="3521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x v="3522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x v="3523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x v="3524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x v="3526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x v="352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x v="3529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x v="3530"/>
    <b v="0"/>
    <n v="22"/>
    <b v="1"/>
    <s v="theater/plays"/>
    <n v="100"/>
    <n v="125"/>
    <x v="1"/>
    <x v="6"/>
  </r>
  <r>
    <n v="3531"/>
    <x v="3529"/>
    <s v="A political comedy for a crazy election year"/>
    <x v="28"/>
    <x v="1958"/>
    <x v="0"/>
    <x v="0"/>
    <s v="USD"/>
    <n v="1467301334"/>
    <x v="3531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x v="3532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x v="3533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x v="3534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x v="3535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x v="3536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x v="3537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x v="3538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x v="3539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x v="3540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x v="3543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x v="3544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x v="3545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x v="3546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x v="3547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x v="3548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x v="3549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x v="3550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x v="3551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x v="3552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x v="3553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x v="3554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x v="3555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x v="3556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x v="3557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x v="3558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x v="3559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x v="3560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x v="3561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x v="3562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x v="3563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x v="3564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x v="3565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x v="3566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x v="3567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x v="3568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x v="3569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x v="3570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x v="357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x v="3573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x v="3574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x v="3575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x v="3576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x v="3577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x v="3579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x v="3580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x v="3581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x v="35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x v="3583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x v="358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x v="3585"/>
    <b v="0"/>
    <n v="23"/>
    <b v="1"/>
    <s v="theater/plays"/>
    <n v="119"/>
    <n v="176.09"/>
    <x v="1"/>
    <x v="6"/>
  </r>
  <r>
    <n v="3586"/>
    <x v="3584"/>
    <s v="See Theatre In A New Light"/>
    <x v="51"/>
    <x v="2369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x v="3587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x v="3588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x v="3589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x v="3590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x v="3591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x v="3593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x v="3594"/>
    <b v="0"/>
    <n v="36"/>
    <b v="1"/>
    <s v="theater/plays"/>
    <n v="126"/>
    <n v="55.97"/>
    <x v="1"/>
    <x v="6"/>
  </r>
  <r>
    <n v="3595"/>
    <x v="3593"/>
    <s v="A new theatre company staging Will Eno's The Flu Season in Seattle"/>
    <x v="27"/>
    <x v="2372"/>
    <x v="0"/>
    <x v="0"/>
    <s v="USD"/>
    <n v="1426229940"/>
    <x v="3595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x v="3596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x v="3597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x v="3598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x v="3599"/>
    <b v="0"/>
    <n v="17"/>
    <b v="1"/>
    <s v="theater/plays"/>
    <n v="202"/>
    <n v="59.41"/>
    <x v="1"/>
    <x v="6"/>
  </r>
  <r>
    <n v="3600"/>
    <x v="3598"/>
    <s v="The First Play From The Man Who Brought You The Black James Bond!"/>
    <x v="185"/>
    <x v="31"/>
    <x v="0"/>
    <x v="0"/>
    <s v="USD"/>
    <n v="1476390164"/>
    <x v="3600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x v="3602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x v="3603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x v="3604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x v="3605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x v="3606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x v="3607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x v="3608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x v="3609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x v="3610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x v="361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x v="3612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x v="3613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x v="3614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x v="3615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x v="3616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x v="3617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x v="3618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x v="3619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x v="3620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x v="3621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x v="3622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x v="3623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x v="3624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x v="3625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x v="3626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x v="362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x v="3628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x v="3629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x v="363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x v="3631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x v="3632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x v="3633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x v="363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x v="3635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x v="3636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x v="3637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x v="3638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x v="3639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x v="3641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x v="3642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x v="3643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x v="3644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x v="3645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x v="3646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x v="364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x v="3648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x v="3649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x v="3650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x v="3651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x v="365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x v="3653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x v="3654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x v="3655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x v="365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x v="3657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x v="15"/>
    <x v="17"/>
    <x v="0"/>
    <x v="0"/>
    <s v="USD"/>
    <n v="1404273540"/>
    <x v="3658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x v="3659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x v="3660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x v="3661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x v="3662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x v="3663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x v="3664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x v="3665"/>
    <b v="0"/>
    <n v="14"/>
    <b v="1"/>
    <s v="theater/plays"/>
    <n v="115"/>
    <n v="51"/>
    <x v="1"/>
    <x v="6"/>
  </r>
  <r>
    <n v="3666"/>
    <x v="3662"/>
    <s v="Artistic Internship @ Ojai Playwrights Conference"/>
    <x v="38"/>
    <x v="647"/>
    <x v="0"/>
    <x v="0"/>
    <s v="USD"/>
    <n v="1406185200"/>
    <x v="3666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x v="3667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x v="3668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x v="3671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x v="3672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x v="3674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x v="3675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x v="3676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x v="3677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x v="367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x v="3680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x v="3681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x v="3682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x v="3683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x v="3684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x v="3685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x v="3686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x v="3687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x v="3688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x v="368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x v="3690"/>
    <b v="0"/>
    <n v="31"/>
    <b v="1"/>
    <s v="theater/plays"/>
    <n v="120"/>
    <n v="58.06"/>
    <x v="1"/>
    <x v="6"/>
  </r>
  <r>
    <n v="3691"/>
    <x v="3687"/>
    <s v="World Premiere of last play written by Amiri Baraka"/>
    <x v="79"/>
    <x v="2417"/>
    <x v="0"/>
    <x v="0"/>
    <s v="USD"/>
    <n v="1425272340"/>
    <x v="3691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x v="28"/>
    <x v="2343"/>
    <x v="0"/>
    <x v="0"/>
    <s v="USD"/>
    <n v="1411084800"/>
    <x v="3692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x v="3693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x v="3694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x v="3695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x v="369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x v="3697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x v="3699"/>
    <b v="0"/>
    <n v="40"/>
    <b v="1"/>
    <s v="theater/plays"/>
    <n v="101"/>
    <n v="63"/>
    <x v="1"/>
    <x v="6"/>
  </r>
  <r>
    <n v="3700"/>
    <x v="3696"/>
    <s v="Help me produce the play I have written for my senior project!"/>
    <x v="2"/>
    <x v="2422"/>
    <x v="0"/>
    <x v="0"/>
    <s v="USD"/>
    <n v="1412092800"/>
    <x v="37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x v="3703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x v="370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x v="3705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x v="3706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x v="3707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x v="3708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x v="3709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x v="46"/>
    <x v="2428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x v="2"/>
    <x v="365"/>
    <x v="0"/>
    <x v="0"/>
    <s v="USD"/>
    <n v="1402848000"/>
    <x v="3711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x v="3712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x v="3713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x v="3714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x v="3715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x v="3716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x v="3717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x v="3718"/>
    <b v="0"/>
    <n v="46"/>
    <b v="1"/>
    <s v="theater/plays"/>
    <n v="239"/>
    <n v="26.02"/>
    <x v="1"/>
    <x v="6"/>
  </r>
  <r>
    <n v="3719"/>
    <x v="3715"/>
    <s v="A new piece of physical theatre about love, regret and longing."/>
    <x v="48"/>
    <x v="2433"/>
    <x v="0"/>
    <x v="1"/>
    <s v="GBP"/>
    <n v="1434994266"/>
    <x v="3719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x v="2434"/>
    <x v="0"/>
    <x v="0"/>
    <s v="USD"/>
    <n v="1435881006"/>
    <x v="3720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x v="3721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x v="3722"/>
    <b v="0"/>
    <n v="35"/>
    <b v="1"/>
    <s v="theater/plays"/>
    <n v="111"/>
    <n v="47.66"/>
    <x v="1"/>
    <x v="6"/>
  </r>
  <r>
    <n v="3723"/>
    <x v="3719"/>
    <s v="Saltmine Theatre Company present Beauty and the Beast:"/>
    <x v="37"/>
    <x v="2437"/>
    <x v="0"/>
    <x v="1"/>
    <s v="GBP"/>
    <n v="1417374262"/>
    <x v="3723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x v="3724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x v="3725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x v="3726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x v="3727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x v="3728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x v="3729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x v="3730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x v="3731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x v="3732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x v="3733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x v="3734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x v="3735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x v="3736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x v="3737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x v="3738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x v="3739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x v="3740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x v="3741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x v="3742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x v="3743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x v="3744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x v="3745"/>
    <b v="0"/>
    <n v="1"/>
    <b v="0"/>
    <s v="theater/plays"/>
    <n v="10"/>
    <n v="10"/>
    <x v="1"/>
    <x v="6"/>
  </r>
  <r>
    <n v="3746"/>
    <x v="3741"/>
    <s v="Generational curses CAN be broken...right?"/>
    <x v="0"/>
    <x v="1672"/>
    <x v="2"/>
    <x v="0"/>
    <s v="USD"/>
    <n v="1475918439"/>
    <x v="3746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x v="3747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x v="3748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x v="3749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x v="3750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x v="3751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x v="3752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x v="3753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x v="3754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x v="3755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x v="3753"/>
    <s v="LUIGI'S LADIES: an original one-woman musical comedy"/>
    <x v="15"/>
    <x v="317"/>
    <x v="0"/>
    <x v="0"/>
    <s v="USD"/>
    <n v="1400475600"/>
    <x v="3758"/>
    <b v="0"/>
    <n v="26"/>
    <b v="1"/>
    <s v="theater/musical"/>
    <n v="102"/>
    <n v="59.04"/>
    <x v="1"/>
    <x v="40"/>
  </r>
  <r>
    <n v="3759"/>
    <x v="3754"/>
    <s v="A production company specializing in small-scale musicals"/>
    <x v="23"/>
    <x v="2450"/>
    <x v="0"/>
    <x v="0"/>
    <s v="USD"/>
    <n v="1440556553"/>
    <x v="3759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x v="3760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x v="3761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x v="3762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x v="3763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x v="3764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x v="3765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x v="3766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x v="376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x v="376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x v="377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x v="3771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x v="3772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x v="3773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x v="3774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x v="3775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x v="3776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x v="3777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x v="262"/>
    <x v="570"/>
    <x v="0"/>
    <x v="0"/>
    <s v="USD"/>
    <n v="1423942780"/>
    <x v="3778"/>
    <b v="0"/>
    <n v="36"/>
    <b v="1"/>
    <s v="theater/musical"/>
    <n v="105"/>
    <n v="70.03"/>
    <x v="1"/>
    <x v="40"/>
  </r>
  <r>
    <n v="3779"/>
    <x v="3774"/>
    <s v="A fresh, re-telling of the Jesus story for a new generation."/>
    <x v="36"/>
    <x v="2460"/>
    <x v="0"/>
    <x v="0"/>
    <s v="USD"/>
    <n v="1459010340"/>
    <x v="3779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x v="3780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x v="3781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x v="3782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x v="3784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x v="3785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x v="3786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x v="3787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x v="3788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x v="3789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x v="3790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x v="3791"/>
    <b v="0"/>
    <n v="0"/>
    <b v="0"/>
    <s v="theater/musical"/>
    <n v="0"/>
    <n v="0"/>
    <x v="1"/>
    <x v="40"/>
  </r>
  <r>
    <n v="3792"/>
    <x v="3787"/>
    <s v="A cultural and historic journey through Puerto Rico's music and dance!"/>
    <x v="78"/>
    <x v="428"/>
    <x v="2"/>
    <x v="0"/>
    <s v="USD"/>
    <n v="1436957022"/>
    <x v="379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x v="3793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x v="379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x v="3795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x v="379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x v="3797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x v="379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x v="3799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x v="3800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x v="3801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x v="3802"/>
    <b v="0"/>
    <n v="0"/>
    <b v="0"/>
    <s v="theater/musical"/>
    <n v="0"/>
    <n v="0"/>
    <x v="1"/>
    <x v="40"/>
  </r>
  <r>
    <n v="3803"/>
    <x v="3798"/>
    <s v="A fully orchestrated concept album of Benjamin Button the Musical!"/>
    <x v="14"/>
    <x v="2466"/>
    <x v="2"/>
    <x v="0"/>
    <s v="USD"/>
    <n v="1457133568"/>
    <x v="3803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x v="380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x v="3805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x v="3806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x v="3807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x v="3808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x v="3809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x v="3810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x v="3811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x v="3812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x v="3813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x v="3814"/>
    <b v="0"/>
    <n v="34"/>
    <b v="1"/>
    <s v="theater/plays"/>
    <n v="140"/>
    <n v="61.82"/>
    <x v="1"/>
    <x v="6"/>
  </r>
  <r>
    <n v="3815"/>
    <x v="3810"/>
    <s v="Come and help us make the Canterbury Shakespeare Festival a reality"/>
    <x v="28"/>
    <x v="2471"/>
    <x v="0"/>
    <x v="1"/>
    <s v="GBP"/>
    <n v="1440111600"/>
    <x v="3815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x v="3816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x v="3817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x v="3818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x v="3819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x v="3820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x v="3822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x v="3823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x v="3824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x v="3825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x v="3826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x v="3828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x v="3829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x v="3830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x v="3831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x v="3832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x v="3833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x v="3834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x v="3835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x v="13"/>
    <x v="2485"/>
    <x v="0"/>
    <x v="1"/>
    <s v="GBP"/>
    <n v="1435947758"/>
    <x v="3837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x v="3838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x v="3839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x v="3840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x v="3841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x v="384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x v="3843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x v="3845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x v="3846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x v="3847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x v="3848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x v="3850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x v="3851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x v="3852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x v="3853"/>
    <b v="0"/>
    <n v="2"/>
    <b v="0"/>
    <s v="theater/plays"/>
    <n v="0"/>
    <n v="13"/>
    <x v="1"/>
    <x v="6"/>
  </r>
  <r>
    <n v="3854"/>
    <x v="3849"/>
    <s v="A play dedicated to the 100th anniversary of the Armenian Genocide."/>
    <x v="34"/>
    <x v="2496"/>
    <x v="2"/>
    <x v="0"/>
    <s v="USD"/>
    <n v="1431206058"/>
    <x v="3854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x v="3855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x v="3856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x v="3857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x v="3858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x v="3859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x v="3856"/>
    <s v="THE COMING OF THE LORD!"/>
    <x v="13"/>
    <x v="173"/>
    <x v="2"/>
    <x v="0"/>
    <s v="USD"/>
    <n v="1415828820"/>
    <x v="3861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x v="116"/>
    <x v="2"/>
    <x v="0"/>
    <s v="USD"/>
    <n v="1473699540"/>
    <x v="3862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x v="3863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x v="386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x v="3865"/>
    <b v="0"/>
    <n v="14"/>
    <b v="0"/>
    <s v="theater/plays"/>
    <n v="27"/>
    <n v="46.43"/>
    <x v="1"/>
    <x v="6"/>
  </r>
  <r>
    <n v="3866"/>
    <x v="3861"/>
    <s v="A funny, moving, witty piece about a girl, her oboe, and her dreams."/>
    <x v="13"/>
    <x v="143"/>
    <x v="2"/>
    <x v="0"/>
    <s v="USD"/>
    <n v="1458703740"/>
    <x v="3866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x v="3867"/>
    <b v="0"/>
    <n v="5"/>
    <b v="0"/>
    <s v="theater/plays"/>
    <n v="13"/>
    <n v="50.2"/>
    <x v="1"/>
    <x v="6"/>
  </r>
  <r>
    <n v="3868"/>
    <x v="3863"/>
    <s v="New collection of music by Scott Evan Davis!"/>
    <x v="10"/>
    <x v="115"/>
    <x v="1"/>
    <x v="1"/>
    <s v="GBP"/>
    <n v="1410191405"/>
    <x v="3868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x v="3869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x v="3870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x v="3871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x v="3872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x v="3873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x v="3874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x v="387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x v="3876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x v="3877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x v="3878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x v="3879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x v="388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x v="3881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x v="3882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x v="3883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x v="3884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x v="3885"/>
    <b v="0"/>
    <n v="0"/>
    <b v="0"/>
    <s v="theater/musical"/>
    <n v="0"/>
    <n v="0"/>
    <x v="1"/>
    <x v="40"/>
  </r>
  <r>
    <n v="3886"/>
    <x v="3881"/>
    <n v="1"/>
    <x v="3"/>
    <x v="117"/>
    <x v="1"/>
    <x v="2"/>
    <s v="AUD"/>
    <n v="1418275702"/>
    <x v="3886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x v="3887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x v="388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x v="3889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x v="3890"/>
    <b v="0"/>
    <n v="8"/>
    <b v="0"/>
    <s v="theater/plays"/>
    <n v="17"/>
    <n v="315.5"/>
    <x v="1"/>
    <x v="6"/>
  </r>
  <r>
    <n v="3891"/>
    <x v="3886"/>
    <s v="A comedy about a mime who dreams of becoming a stand up comedian."/>
    <x v="134"/>
    <x v="92"/>
    <x v="2"/>
    <x v="0"/>
    <s v="USD"/>
    <n v="1427086740"/>
    <x v="3891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x v="3892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x v="3894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x v="3895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x v="3896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x v="3897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x v="3898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x v="3899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x v="3900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x v="3901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x v="390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x v="3903"/>
    <b v="0"/>
    <n v="0"/>
    <b v="0"/>
    <s v="theater/plays"/>
    <n v="0"/>
    <n v="0"/>
    <x v="1"/>
    <x v="6"/>
  </r>
  <r>
    <n v="3904"/>
    <x v="3899"/>
    <s v="A play that will cover 4000 years of black history."/>
    <x v="3"/>
    <x v="158"/>
    <x v="2"/>
    <x v="0"/>
    <s v="USD"/>
    <n v="1429074240"/>
    <x v="3904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x v="3905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x v="3906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x v="3907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x v="3908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x v="3909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x v="3910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x v="3911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x v="3912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x v="3913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x v="3914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x v="3915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x v="3916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x v="3917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x v="3918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x v="3919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x v="392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x v="3921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x v="3922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x v="3923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x v="3924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x v="3925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x v="3926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x v="3927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x v="3928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x v="3929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x v="3930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x v="3931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x v="3932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x v="3933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x v="3934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x v="3935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x v="3936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x v="3937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x v="3938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x v="393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x v="3940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x v="3941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x v="3942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x v="3944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x v="3945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x v="3946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x v="3947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x v="3948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x v="3949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x v="395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x v="3951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x v="3952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x v="3953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x v="395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x v="3955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x v="3956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x v="3957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x v="3958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x v="3959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x v="3960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x v="3961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x v="3962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x v="3963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x v="3964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x v="3965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x v="3966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x v="396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x v="3968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x v="3969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x v="3970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x v="3971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x v="3972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x v="3973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x v="3974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x v="3975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x v="3976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x v="3977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x v="3978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x v="3979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x v="3980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x v="3981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x v="3982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x v="3983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x v="398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x v="3985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x v="3986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x v="3987"/>
    <b v="0"/>
    <n v="13"/>
    <b v="0"/>
    <s v="theater/plays"/>
    <n v="38"/>
    <n v="11.62"/>
    <x v="1"/>
    <x v="6"/>
  </r>
  <r>
    <n v="3988"/>
    <x v="3982"/>
    <s v="An evening of of stories based both in myth and truth."/>
    <x v="15"/>
    <x v="573"/>
    <x v="2"/>
    <x v="0"/>
    <s v="USD"/>
    <n v="1440813413"/>
    <x v="3988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x v="3989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x v="3990"/>
    <b v="0"/>
    <n v="3"/>
    <b v="0"/>
    <s v="theater/plays"/>
    <n v="4"/>
    <n v="23"/>
    <x v="1"/>
    <x v="6"/>
  </r>
  <r>
    <n v="3991"/>
    <x v="3985"/>
    <s v="North Texas first actor-driven theatre company needs your help"/>
    <x v="2"/>
    <x v="173"/>
    <x v="2"/>
    <x v="0"/>
    <s v="USD"/>
    <n v="1433086082"/>
    <x v="3991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x v="3992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x v="3993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x v="3994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x v="3995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x v="3996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x v="3997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x v="3998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x v="3999"/>
    <b v="0"/>
    <n v="14"/>
    <b v="0"/>
    <s v="theater/plays"/>
    <n v="17"/>
    <n v="82.57"/>
    <x v="1"/>
    <x v="6"/>
  </r>
  <r>
    <n v="4000"/>
    <x v="3994"/>
    <s v="An Enticing Trip into the World of Assisted Dying"/>
    <x v="6"/>
    <x v="115"/>
    <x v="2"/>
    <x v="0"/>
    <s v="USD"/>
    <n v="1462631358"/>
    <x v="4000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x v="4001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x v="4002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x v="4003"/>
    <b v="0"/>
    <n v="2"/>
    <b v="0"/>
    <s v="theater/plays"/>
    <n v="10"/>
    <n v="100.5"/>
    <x v="1"/>
    <x v="6"/>
  </r>
  <r>
    <n v="4004"/>
    <x v="3998"/>
    <s v="Help Launch The Queen Into South Florida!"/>
    <x v="2"/>
    <x v="116"/>
    <x v="2"/>
    <x v="0"/>
    <s v="USD"/>
    <n v="1412740457"/>
    <x v="4004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x v="400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x v="4006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x v="4007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x v="4008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x v="4009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x v="4010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x v="4011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x v="4012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x v="401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x v="4014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x v="4015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x v="4016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x v="4017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x v="401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x v="4019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x v="4020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x v="4021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x v="4022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x v="402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x v="4024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x v="4025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x v="4026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x v="4027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x v="4028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x v="4029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x v="4030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x v="4031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x v="4032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x v="4033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x v="4034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x v="4035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x v="4036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x v="4037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x v="4038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x v="4039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x v="4040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x v="4041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x v="4042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x v="4043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x v="4044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x v="4045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x v="4046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x v="4047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x v="4049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x v="4050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x v="4051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x v="4052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x v="4053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x v="4054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x v="4055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x v="4056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x v="4057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x v="4058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x v="4059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x v="4060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x v="4061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x v="4062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x v="4063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x v="4064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x v="4065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x v="4066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x v="4067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x v="4068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x v="4069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x v="407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x v="407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x v="4072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x v="4073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x v="4074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x v="4075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x v="4076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x v="4077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x v="4078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x v="4079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x v="4080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x v="4081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x v="4082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x v="4083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x v="4084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x v="408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x v="4086"/>
    <b v="0"/>
    <n v="5"/>
    <b v="0"/>
    <s v="theater/plays"/>
    <n v="5"/>
    <n v="9.4"/>
    <x v="1"/>
    <x v="6"/>
  </r>
  <r>
    <n v="4087"/>
    <x v="4080"/>
    <s v="Comedy Stage Play"/>
    <x v="376"/>
    <x v="117"/>
    <x v="2"/>
    <x v="0"/>
    <s v="USD"/>
    <n v="1468777786"/>
    <x v="4087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x v="4088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x v="4089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x v="4090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x v="409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x v="4092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x v="4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x v="4094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x v="4095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x v="4096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x v="409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x v="4098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x v="4099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x v="410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x v="4101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x v="4102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x v="4103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x v="410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x v="4105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x v="410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x v="4107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x v="4108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x v="4109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x v="4110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x v="4111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x v="4112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3B215-A9EF-4D70-81ED-01E818529BA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86671-C995-44B7-B475-4F72EC29E52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7B435-6F53-4F6F-B41C-C429FBCFE6A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31628-8EA4-4F6A-9276-E55B2E0BEA4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FF0000"/>
      </a:accent2>
      <a:accent3>
        <a:srgbClr val="FFFF00"/>
      </a:accent3>
      <a:accent4>
        <a:srgbClr val="FFC000"/>
      </a:accent4>
      <a:accent5>
        <a:srgbClr val="7030A0"/>
      </a:accent5>
      <a:accent6>
        <a:srgbClr val="92D050"/>
      </a:accent6>
      <a:hlink>
        <a:srgbClr val="00B0F0"/>
      </a:hlink>
      <a:folHlink>
        <a:srgbClr val="FF000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8" zoomScaleNormal="88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S3" sqref="S3"/>
    </sheetView>
  </sheetViews>
  <sheetFormatPr defaultColWidth="8.77734375" defaultRowHeight="14.4" x14ac:dyDescent="0.3"/>
  <cols>
    <col min="1" max="1" width="5" bestFit="1" customWidth="1"/>
    <col min="2" max="2" width="38.44140625" style="8" customWidth="1"/>
    <col min="3" max="3" width="41.6640625" style="2" bestFit="1" customWidth="1"/>
    <col min="4" max="4" width="15.88671875" style="3" bestFit="1" customWidth="1"/>
    <col min="5" max="5" width="12.44140625" style="4" bestFit="1" customWidth="1"/>
    <col min="6" max="6" width="9.44140625" bestFit="1" customWidth="1"/>
    <col min="7" max="7" width="7.6640625" bestFit="1" customWidth="1"/>
    <col min="8" max="8" width="8.44140625" bestFit="1" customWidth="1"/>
    <col min="9" max="9" width="11" bestFit="1" customWidth="1"/>
    <col min="10" max="10" width="11.5546875" bestFit="1" customWidth="1"/>
    <col min="11" max="11" width="9.21875" bestFit="1" customWidth="1"/>
    <col min="12" max="12" width="13.6640625" bestFit="1" customWidth="1"/>
    <col min="13" max="13" width="8.5546875" bestFit="1" customWidth="1"/>
    <col min="14" max="14" width="25.6640625" bestFit="1" customWidth="1"/>
    <col min="15" max="15" width="10.5546875" style="2" bestFit="1" customWidth="1"/>
    <col min="16" max="16" width="10.21875" style="3" bestFit="1" customWidth="1"/>
    <col min="17" max="17" width="15" bestFit="1" customWidth="1"/>
    <col min="18" max="18" width="15.5546875" bestFit="1" customWidth="1"/>
    <col min="19" max="19" width="12.109375" style="16" bestFit="1" customWidth="1"/>
    <col min="20" max="20" width="10.88671875" style="16" bestFit="1" customWidth="1"/>
  </cols>
  <sheetData>
    <row r="1" spans="1:21" s="12" customFormat="1" ht="28.8" x14ac:dyDescent="0.3">
      <c r="A1" s="1" t="s">
        <v>0</v>
      </c>
      <c r="B1" s="7" t="s">
        <v>1</v>
      </c>
      <c r="C1" s="1" t="s">
        <v>4110</v>
      </c>
      <c r="D1" s="6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0" t="s">
        <v>8358</v>
      </c>
      <c r="R1" s="12" t="s">
        <v>8359</v>
      </c>
      <c r="S1" s="15" t="s">
        <v>8365</v>
      </c>
      <c r="T1" s="15" t="s">
        <v>8366</v>
      </c>
      <c r="U1" s="12" t="s">
        <v>8379</v>
      </c>
    </row>
    <row r="2" spans="1:21" ht="43.2" x14ac:dyDescent="0.3">
      <c r="A2">
        <v>0</v>
      </c>
      <c r="B2" s="8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">
        <f t="shared" ref="O2:O65" si="0">IFERROR(ROUND(E2/D2*100, 0),0)</f>
        <v>137</v>
      </c>
      <c r="P2">
        <f t="shared" ref="P2:P65" si="1">IFERROR(ROUND(E2/L2, 2), 0)</f>
        <v>63.92</v>
      </c>
      <c r="Q2" s="11" t="s">
        <v>8308</v>
      </c>
      <c r="R2" t="s">
        <v>8309</v>
      </c>
      <c r="S2" s="16">
        <f t="shared" ref="S2:S65" si="2">(((J2/60)/60)/24)+DATE(1970, 1, 1)</f>
        <v>42177.007071759261</v>
      </c>
      <c r="T2" s="16">
        <f t="shared" ref="T2:T65" si="3">(((I2/60)/60)/24)+DATE(1970, 1, 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8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2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8" t="s">
        <v>4</v>
      </c>
      <c r="C4" s="2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2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8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2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8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2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8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2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8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2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8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2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8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2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8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2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8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8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2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8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2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8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2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8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2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8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2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8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2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8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2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8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2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8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2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8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8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2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8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2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8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2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8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2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8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2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8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2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8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2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8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2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8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2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8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8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2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8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2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8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2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8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2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8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2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8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2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8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2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8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2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8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2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8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8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2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8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2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8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2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8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2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8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2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8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2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8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2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8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2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8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2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8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8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2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8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2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8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2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8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2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8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2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8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2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8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2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8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2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8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2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8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8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2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8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2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8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2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8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2">
        <f t="shared" ref="O66:O129" si="5">IFERROR(ROUND(E66/D66*100, 0),0)</f>
        <v>173</v>
      </c>
      <c r="P66">
        <f t="shared" ref="P66:P129" si="6">IFERROR(ROUND(E66/L66, 2), 0)</f>
        <v>86.67</v>
      </c>
      <c r="Q66" s="11" t="s">
        <v>8308</v>
      </c>
      <c r="R66" t="s">
        <v>8310</v>
      </c>
      <c r="S66" s="16">
        <f t="shared" ref="S66:S129" si="7">(((J66/60)/60)/24)+DATE(1970, 1, 1)</f>
        <v>41433.01829861111</v>
      </c>
      <c r="T66" s="16">
        <f t="shared" ref="T66:T129" si="8">(((I66/60)/60)/24)+DATE(1970, 1, 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8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2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8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2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8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2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8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2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8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2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8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8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2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8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2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8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2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8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2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8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2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8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2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8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2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8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2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8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2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8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8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2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8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2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8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2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8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2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8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2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8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2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8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2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8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2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8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2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8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8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2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8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2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8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2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8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2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8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2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8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2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8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2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8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2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8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2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8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8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2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8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2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8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2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8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2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8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2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8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2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8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2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8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2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8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2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8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8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2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8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2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8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2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8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2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8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2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8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2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8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2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8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2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8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2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8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8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2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8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2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8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2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8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2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8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2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8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2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8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2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8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2">
        <f t="shared" ref="O130:O193" si="10">IFERROR(ROUND(E130/D130*100, 0),0)</f>
        <v>2</v>
      </c>
      <c r="P130">
        <f t="shared" ref="P130:P193" si="11">IFERROR(ROUND(E130/L130, 2), 0)</f>
        <v>311.17</v>
      </c>
      <c r="Q130" s="11" t="s">
        <v>8308</v>
      </c>
      <c r="R130" t="s">
        <v>8311</v>
      </c>
      <c r="S130" s="16">
        <f t="shared" ref="S130:S193" si="12">(((J130/60)/60)/24)+DATE(1970, 1, 1)</f>
        <v>42628.22792824074</v>
      </c>
      <c r="T130" s="16">
        <f t="shared" ref="T130:T193" si="13">(((I130/60)/60)/24)+DATE(1970, 1, 1)</f>
        <v>42663.22792824074</v>
      </c>
      <c r="U130">
        <f t="shared" ref="U130:U193" si="14">YEAR(S130)</f>
        <v>2016</v>
      </c>
    </row>
    <row r="131" spans="1:21" ht="43.2" x14ac:dyDescent="0.3">
      <c r="A131">
        <v>129</v>
      </c>
      <c r="B131" s="8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2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8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8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2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8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2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8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2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8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2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8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2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8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2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8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2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8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2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8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2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8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8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2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8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2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8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2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8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2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8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2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8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2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8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2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8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2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8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2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8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8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2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8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2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8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2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8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2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8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2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8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2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8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2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8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2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8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2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8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8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2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8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2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8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2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8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2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8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2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8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2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8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2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8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2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8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2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8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8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2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8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2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8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2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8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2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8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2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8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2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8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2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8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2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8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2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8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8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2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8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2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8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2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8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2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8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2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8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2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8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2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8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2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8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2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8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8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2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8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2">
        <f t="shared" ref="O194:O257" si="15">IFERROR(ROUND(E194/D194*100, 0),0)</f>
        <v>0</v>
      </c>
      <c r="P194">
        <f t="shared" ref="P194:P257" si="16">IFERROR(ROUND(E194/L194, 2), 0)</f>
        <v>5.67</v>
      </c>
      <c r="Q194" s="11" t="s">
        <v>8308</v>
      </c>
      <c r="R194" t="s">
        <v>8312</v>
      </c>
      <c r="S194" s="16">
        <f t="shared" ref="S194:S257" si="17">(((J194/60)/60)/24)+DATE(1970, 1, 1)</f>
        <v>41899.792037037041</v>
      </c>
      <c r="T194" s="16">
        <f t="shared" ref="T194:T257" si="18">(((I194/60)/60)/24)+DATE(1970, 1, 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8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2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8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2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8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2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8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2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8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2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8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2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8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2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8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8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2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8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2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8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2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8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2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8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2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8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2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8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2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8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2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8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2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8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8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2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8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2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8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2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8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2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8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2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8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2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8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2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8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2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8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2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8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8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2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8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2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8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2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8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2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8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2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8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2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8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2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8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2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8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2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8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8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2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8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2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8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2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8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2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8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2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8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2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8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2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8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2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8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2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8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8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2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8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2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8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2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8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2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8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2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8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2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8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2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8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2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8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2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8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8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2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8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2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8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2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8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2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8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2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8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2">
        <f t="shared" ref="O258:O321" si="20">IFERROR(ROUND(E258/D258*100, 0),0)</f>
        <v>139</v>
      </c>
      <c r="P258">
        <f t="shared" ref="P258:P321" si="21">IFERROR(ROUND(E258/L258, 2), 0)</f>
        <v>65.760000000000005</v>
      </c>
      <c r="Q258" s="11" t="s">
        <v>8308</v>
      </c>
      <c r="R258" t="s">
        <v>8313</v>
      </c>
      <c r="S258" s="16">
        <f t="shared" ref="S258:S321" si="22">(((J258/60)/60)/24)+DATE(1970, 1, 1)</f>
        <v>41319.769293981481</v>
      </c>
      <c r="T258" s="16">
        <f t="shared" ref="T258:T321" si="23">(((I258/60)/60)/24)+DATE(1970, 1, 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8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2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8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2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8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2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8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8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2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8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2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8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2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8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2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8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2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8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2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8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2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8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2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8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2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8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8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2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8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2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8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2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8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2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8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2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8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2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8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2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8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2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8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2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8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8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2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8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2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8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2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8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2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8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2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8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2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8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2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8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2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8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2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8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8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2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8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2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8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2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.6" x14ac:dyDescent="0.3">
      <c r="A296">
        <v>294</v>
      </c>
      <c r="B296" s="8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2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8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2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8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2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8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2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8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2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8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2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8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8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2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8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2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8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2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8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2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8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2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8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2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8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2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8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2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8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2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8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8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2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8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2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8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2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8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2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8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2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8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2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8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2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8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2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8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2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8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2">
        <f t="shared" ref="O322:O385" si="25">IFERROR(ROUND(E322/D322*100, 0),0)</f>
        <v>107</v>
      </c>
      <c r="P322">
        <f t="shared" ref="P322:P385" si="26">IFERROR(ROUND(E322/L322, 2), 0)</f>
        <v>134.91</v>
      </c>
      <c r="Q322" s="11" t="s">
        <v>8308</v>
      </c>
      <c r="R322" t="s">
        <v>8313</v>
      </c>
      <c r="S322" s="16">
        <f t="shared" ref="S322:S385" si="27">(((J322/60)/60)/24)+DATE(1970, 1, 1)</f>
        <v>42331.551307870366</v>
      </c>
      <c r="T322" s="16">
        <f t="shared" ref="T322:T385" si="28">(((I322/60)/60)/24)+DATE(1970, 1, 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8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2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8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2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8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2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8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2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8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2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8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2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8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2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8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2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8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2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8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8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2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8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2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8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2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8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2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8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2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8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2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8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2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8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2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8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2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8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8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2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8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2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8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2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8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2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8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2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8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2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8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2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8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2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8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2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8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8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2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8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2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8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2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8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2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8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2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8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2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8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2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8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2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8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2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8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8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2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8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2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8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2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8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2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8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2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8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2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8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2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8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2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8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2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8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8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2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8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2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8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2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8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2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8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2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8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2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8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2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8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2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8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2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8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8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2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8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2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8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2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8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2">
        <f t="shared" ref="O386:O449" si="30">IFERROR(ROUND(E386/D386*100, 0),0)</f>
        <v>112</v>
      </c>
      <c r="P386">
        <f t="shared" ref="P386:P449" si="31">IFERROR(ROUND(E386/L386, 2), 0)</f>
        <v>58.54</v>
      </c>
      <c r="Q386" s="11" t="s">
        <v>8308</v>
      </c>
      <c r="R386" t="s">
        <v>8313</v>
      </c>
      <c r="S386" s="16">
        <f t="shared" ref="S386:S449" si="32">(((J386/60)/60)/24)+DATE(1970, 1, 1)</f>
        <v>41980.781793981485</v>
      </c>
      <c r="T386" s="16">
        <f t="shared" ref="T386:T449" si="33">(((I386/60)/60)/24)+DATE(1970, 1, 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8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2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8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2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8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2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8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2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8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2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8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8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2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8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2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8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2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8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2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8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2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8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2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8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2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8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2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8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2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8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8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2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8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2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8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2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8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2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8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2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8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2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8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2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8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2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8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2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8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8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2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8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2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8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2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8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2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8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2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8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2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8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2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8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2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8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2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8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8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2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8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2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8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2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8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2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8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2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8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2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8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2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8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2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8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2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8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8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2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8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2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8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2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8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2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8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2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8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2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8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2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8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2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8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2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8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8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2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8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2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8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2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8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2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8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2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8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2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8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2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8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2">
        <f t="shared" ref="O450:O513" si="35">IFERROR(ROUND(E450/D450*100, 0),0)</f>
        <v>3</v>
      </c>
      <c r="P450">
        <f t="shared" ref="P450:P513" si="36">IFERROR(ROUND(E450/L450, 2), 0)</f>
        <v>20.5</v>
      </c>
      <c r="Q450" s="11" t="s">
        <v>8308</v>
      </c>
      <c r="R450" t="s">
        <v>8314</v>
      </c>
      <c r="S450" s="16">
        <f t="shared" ref="S450:S513" si="37">(((J450/60)/60)/24)+DATE(1970, 1, 1)</f>
        <v>41753.758043981477</v>
      </c>
      <c r="T450" s="16">
        <f t="shared" ref="T450:T513" si="38">(((I450/60)/60)/24)+DATE(1970, 1, 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8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2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8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8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2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8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2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8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2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8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2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8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2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8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2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8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2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8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2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8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2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8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8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2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8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2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8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2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8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2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8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2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8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2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8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2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8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2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8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2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8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8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2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8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2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8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2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8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2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8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2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8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2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8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2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8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2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8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2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8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8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2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8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2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8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2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8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2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8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2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8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2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8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2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8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2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8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2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8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8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2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8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2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8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2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8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2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8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2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8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2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8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2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8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2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8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2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8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8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2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8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2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8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2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8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2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8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2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8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2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8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2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8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2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8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2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8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8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2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8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2">
        <f t="shared" ref="O514:O577" si="40">IFERROR(ROUND(E514/D514*100, 0),0)</f>
        <v>0</v>
      </c>
      <c r="P514">
        <f t="shared" ref="P514:P577" si="41">IFERROR(ROUND(E514/L514, 2), 0)</f>
        <v>5.5</v>
      </c>
      <c r="Q514" s="11" t="s">
        <v>8308</v>
      </c>
      <c r="R514" t="s">
        <v>8314</v>
      </c>
      <c r="S514" s="16">
        <f t="shared" ref="S514:S577" si="42">(((J514/60)/60)/24)+DATE(1970, 1, 1)</f>
        <v>42649.742210648154</v>
      </c>
      <c r="T514" s="16">
        <f t="shared" ref="T514:T577" si="43">(((I514/60)/60)/24)+DATE(1970, 1, 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8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2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8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2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8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2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8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2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8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2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8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2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8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2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8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">
        <f t="shared" si="40"/>
        <v>102</v>
      </c>
      <c r="P522" s="3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8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">
        <f t="shared" si="40"/>
        <v>105</v>
      </c>
      <c r="P523" s="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8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">
        <f t="shared" si="40"/>
        <v>115</v>
      </c>
      <c r="P524" s="3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8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">
        <f t="shared" si="40"/>
        <v>121</v>
      </c>
      <c r="P525" s="3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8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">
        <f t="shared" si="40"/>
        <v>109</v>
      </c>
      <c r="P526" s="3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8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">
        <f t="shared" si="40"/>
        <v>100</v>
      </c>
      <c r="P527" s="3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8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">
        <f t="shared" si="40"/>
        <v>114</v>
      </c>
      <c r="P528" s="3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8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">
        <f t="shared" si="40"/>
        <v>101</v>
      </c>
      <c r="P529" s="3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8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">
        <f t="shared" si="40"/>
        <v>116</v>
      </c>
      <c r="P530" s="3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8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">
        <f t="shared" si="40"/>
        <v>130</v>
      </c>
      <c r="P531" s="3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8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">
        <f t="shared" si="40"/>
        <v>108</v>
      </c>
      <c r="P532" s="3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8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">
        <f t="shared" si="40"/>
        <v>100</v>
      </c>
      <c r="P533" s="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8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">
        <f t="shared" si="40"/>
        <v>123</v>
      </c>
      <c r="P534" s="3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8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">
        <f t="shared" si="40"/>
        <v>100</v>
      </c>
      <c r="P535" s="3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8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">
        <f t="shared" si="40"/>
        <v>105</v>
      </c>
      <c r="P536" s="3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8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">
        <f t="shared" si="40"/>
        <v>103</v>
      </c>
      <c r="P537" s="3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8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">
        <f t="shared" si="40"/>
        <v>118</v>
      </c>
      <c r="P538" s="3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8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">
        <f t="shared" si="40"/>
        <v>121</v>
      </c>
      <c r="P539" s="3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8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">
        <f t="shared" si="40"/>
        <v>302</v>
      </c>
      <c r="P540" s="3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8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">
        <f t="shared" si="40"/>
        <v>101</v>
      </c>
      <c r="P541" s="3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8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8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2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8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2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8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2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8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2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8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2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8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2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8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2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8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2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8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2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8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8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2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8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2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8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2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8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2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8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2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8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2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8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2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8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2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8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2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8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8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2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8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2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8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2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8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2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8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2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8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2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8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2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8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2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8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2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8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8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2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8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2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8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2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8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2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8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2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8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2">
        <f t="shared" ref="O578:O641" si="45">IFERROR(ROUND(E578/D578*100, 0),0)</f>
        <v>0</v>
      </c>
      <c r="P578">
        <f t="shared" ref="P578:P641" si="46">IFERROR(ROUND(E578/L578, 2), 0)</f>
        <v>1</v>
      </c>
      <c r="Q578" s="11" t="s">
        <v>8317</v>
      </c>
      <c r="R578" t="s">
        <v>8318</v>
      </c>
      <c r="S578" s="16">
        <f t="shared" ref="S578:S641" si="47">(((J578/60)/60)/24)+DATE(1970, 1, 1)</f>
        <v>42031.471666666665</v>
      </c>
      <c r="T578" s="16">
        <f t="shared" ref="T578:T641" si="48">(((I578/60)/60)/24)+DATE(1970, 1, 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8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2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8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2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8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2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8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8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2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8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2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8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2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8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2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8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2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8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2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8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2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8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2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8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2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8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8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2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8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2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8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2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8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2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8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2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8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2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8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2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8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2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8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2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8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8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2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8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2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8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2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8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2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8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2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8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2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8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2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8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2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8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2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8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8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2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8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2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8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2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8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2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8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2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8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2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8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2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8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2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8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2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8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8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2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8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2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8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2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8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2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8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2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8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2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8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2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8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2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8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2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8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8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2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8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2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8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2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8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2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8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2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8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2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8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2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8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2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8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2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8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2">
        <f t="shared" ref="O642:O705" si="50">IFERROR(ROUND(E642/D642*100, 0),0)</f>
        <v>144</v>
      </c>
      <c r="P642">
        <f t="shared" ref="P642:P705" si="51">IFERROR(ROUND(E642/L642, 2), 0)</f>
        <v>50.5</v>
      </c>
      <c r="Q642" s="11" t="s">
        <v>8317</v>
      </c>
      <c r="R642" t="s">
        <v>8319</v>
      </c>
      <c r="S642" s="16">
        <f t="shared" ref="S642:S705" si="52">(((J642/60)/60)/24)+DATE(1970, 1, 1)</f>
        <v>42683.420312500006</v>
      </c>
      <c r="T642" s="16">
        <f t="shared" ref="T642:T705" si="53">(((I642/60)/60)/24)+DATE(1970, 1, 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8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2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8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2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8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2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8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2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8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2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8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2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8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2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8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2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8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2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8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8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2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8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2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8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2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8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2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8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2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8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2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8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2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8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2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8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2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8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8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2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8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2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8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2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8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2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8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2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8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2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8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2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8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2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8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2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8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8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2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8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2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8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2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8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2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8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2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8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2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8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2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8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2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8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2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8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8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2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8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2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8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2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8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2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8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2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8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2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8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2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8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2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8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2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8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8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2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8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2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8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2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8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2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8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2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8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2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8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2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8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2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8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2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8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8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2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8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2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8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2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8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2">
        <f t="shared" ref="O706:O769" si="55">IFERROR(ROUND(E706/D706*100, 0),0)</f>
        <v>1</v>
      </c>
      <c r="P706">
        <f t="shared" ref="P706:P769" si="56">IFERROR(ROUND(E706/L706, 2), 0)</f>
        <v>120.25</v>
      </c>
      <c r="Q706" s="11" t="s">
        <v>8317</v>
      </c>
      <c r="R706" t="s">
        <v>8319</v>
      </c>
      <c r="S706" s="16">
        <f t="shared" ref="S706:S769" si="57">(((J706/60)/60)/24)+DATE(1970, 1, 1)</f>
        <v>42726.192916666667</v>
      </c>
      <c r="T706" s="16">
        <f t="shared" ref="T706:T769" si="58">(((I706/60)/60)/24)+DATE(1970, 1, 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8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2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8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2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8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2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8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2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8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2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8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8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2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8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2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8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2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8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2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8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2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8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2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8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2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8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2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8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2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8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8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2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8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2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8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2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8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2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8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2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8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2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8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2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8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2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8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2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8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8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2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8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2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8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2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8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2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8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2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8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2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8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2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8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2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8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2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8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8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2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8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2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8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2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8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2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8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2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8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2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8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2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8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2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8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2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8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8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2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8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2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8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2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8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2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8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2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8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2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8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2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8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2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8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2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8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8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2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8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2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8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2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8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2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8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2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8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2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8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2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8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2">
        <f t="shared" ref="O770:O833" si="60">IFERROR(ROUND(E770/D770*100, 0),0)</f>
        <v>0</v>
      </c>
      <c r="P770">
        <f t="shared" ref="P770:P833" si="61">IFERROR(ROUND(E770/L770, 2), 0)</f>
        <v>0</v>
      </c>
      <c r="Q770" s="11" t="s">
        <v>8320</v>
      </c>
      <c r="R770" t="s">
        <v>8322</v>
      </c>
      <c r="S770" s="16">
        <f t="shared" ref="S770:S833" si="62">(((J770/60)/60)/24)+DATE(1970, 1, 1)</f>
        <v>41594.207060185188</v>
      </c>
      <c r="T770" s="16">
        <f t="shared" ref="T770:T833" si="63">(((I770/60)/60)/24)+DATE(1970, 1, 1)</f>
        <v>41624.207060185188</v>
      </c>
      <c r="U770">
        <f t="shared" ref="U770:U833" si="64">YEAR(S770)</f>
        <v>2013</v>
      </c>
    </row>
    <row r="771" spans="1:21" ht="43.2" x14ac:dyDescent="0.3">
      <c r="A771">
        <v>769</v>
      </c>
      <c r="B771" s="8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2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8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8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2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8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2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8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2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8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2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8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2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8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2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8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2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8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2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8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2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8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8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2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8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2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8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2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8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2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8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2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8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2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8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2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8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2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8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2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8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8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2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8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2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8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2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8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2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8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2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8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2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8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2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8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2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8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2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8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8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2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8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2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8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2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8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2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8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2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8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2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8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2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8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2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8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2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8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8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2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8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2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8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2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8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2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8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2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8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2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8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2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8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2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8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2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8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8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2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8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2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8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2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8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2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8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2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8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2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8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2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8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2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8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2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8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8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2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8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2">
        <f t="shared" ref="O834:O897" si="65">IFERROR(ROUND(E834/D834*100, 0),0)</f>
        <v>101</v>
      </c>
      <c r="P834">
        <f t="shared" ref="P834:P897" si="66">IFERROR(ROUND(E834/L834, 2), 0)</f>
        <v>97.99</v>
      </c>
      <c r="Q834" s="11" t="s">
        <v>8323</v>
      </c>
      <c r="R834" t="s">
        <v>8324</v>
      </c>
      <c r="S834" s="16">
        <f t="shared" ref="S834:S897" si="67">(((J834/60)/60)/24)+DATE(1970, 1, 1)</f>
        <v>40869.675173611111</v>
      </c>
      <c r="T834" s="16">
        <f t="shared" ref="T834:T897" si="68">(((I834/60)/60)/24)+DATE(1970, 1, 1)</f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8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2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43.2" x14ac:dyDescent="0.3">
      <c r="A836">
        <v>834</v>
      </c>
      <c r="B836" s="8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2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8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2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8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2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8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2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8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2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8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2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8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8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2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8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2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8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2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8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2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8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2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8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2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8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2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8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2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8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2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8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8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2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8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2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8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2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8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2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8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2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8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2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8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2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8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2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8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2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8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8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2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8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2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8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2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8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2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8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2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8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2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8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2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8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2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8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2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8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8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2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8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2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8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2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8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2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8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2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8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2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8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2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8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2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8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2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8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8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2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8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2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8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2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8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2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8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2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8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2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8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2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8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2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8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2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8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8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2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8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2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8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2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8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2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8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2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8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2">
        <f t="shared" ref="O898:O961" si="70">IFERROR(ROUND(E898/D898*100, 0),0)</f>
        <v>40</v>
      </c>
      <c r="P898">
        <f t="shared" ref="P898:P961" si="71">IFERROR(ROUND(E898/L898, 2), 0)</f>
        <v>44.44</v>
      </c>
      <c r="Q898" s="11" t="s">
        <v>8323</v>
      </c>
      <c r="R898" t="s">
        <v>8327</v>
      </c>
      <c r="S898" s="16">
        <f t="shared" ref="S898:S961" si="72">(((J898/60)/60)/24)+DATE(1970, 1, 1)</f>
        <v>42218.872986111113</v>
      </c>
      <c r="T898" s="16">
        <f t="shared" ref="T898:T961" si="73">(((I898/60)/60)/24)+DATE(1970, 1, 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8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2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8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2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8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2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8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8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2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8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2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8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2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8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2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8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2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8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2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8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2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8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2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8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2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8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8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2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8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2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8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2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8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2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8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2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8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2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8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2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8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2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8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2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8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8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2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8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2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8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2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8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2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8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2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8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2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8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2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8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2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8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2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8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8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2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8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2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8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2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8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2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8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2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8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2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8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2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8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2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8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2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8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8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2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8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2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8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2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8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2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8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2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8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2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8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2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8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2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8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2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8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8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2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8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2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8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2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8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2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8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2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8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2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8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2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8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2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8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2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8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2">
        <f t="shared" ref="O962:O1025" si="75">IFERROR(ROUND(E962/D962*100, 0),0)</f>
        <v>46</v>
      </c>
      <c r="P962">
        <f t="shared" ref="P962:P1025" si="76">IFERROR(ROUND(E962/L962, 2), 0)</f>
        <v>136.46</v>
      </c>
      <c r="Q962" s="11" t="s">
        <v>8317</v>
      </c>
      <c r="R962" t="s">
        <v>8319</v>
      </c>
      <c r="S962" s="16">
        <f t="shared" ref="S962:S1025" si="77">(((J962/60)/60)/24)+DATE(1970, 1, 1)</f>
        <v>42766.626793981486</v>
      </c>
      <c r="T962" s="16">
        <f t="shared" ref="T962:T1025" si="78">(((I962/60)/60)/24)+DATE(1970, 1, 1)</f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8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2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8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2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8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2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8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2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8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2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8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2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8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2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8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2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8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2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8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8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2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8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2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8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2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8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2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8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2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8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2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8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2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8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2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8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2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8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8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2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8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2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8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2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8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2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8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2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8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2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8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2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8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2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8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2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8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8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2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8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2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8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2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8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2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8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2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8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2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8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2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8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2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8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2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8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8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2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8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2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8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2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8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2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8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2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8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2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8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2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8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2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8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2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8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8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2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8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2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8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2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8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2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8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2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8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2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8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2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8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2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8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2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8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8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2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8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2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8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2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8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2">
        <f t="shared" ref="O1026:O1089" si="80">IFERROR(ROUND(E1026/D1026*100, 0),0)</f>
        <v>119</v>
      </c>
      <c r="P1026">
        <f t="shared" ref="P1026:P1089" si="81">IFERROR(ROUND(E1026/L1026, 2), 0)</f>
        <v>388.98</v>
      </c>
      <c r="Q1026" s="11" t="s">
        <v>8323</v>
      </c>
      <c r="R1026" t="s">
        <v>8328</v>
      </c>
      <c r="S1026" s="16">
        <f t="shared" ref="S1026:S1089" si="82">(((J1026/60)/60)/24)+DATE(1970, 1, 1)</f>
        <v>42370.580590277779</v>
      </c>
      <c r="T1026" s="16">
        <f t="shared" ref="T1026:T1089" si="83">(((I1026/60)/60)/24)+DATE(1970, 1, 1)</f>
        <v>42400.580590277779</v>
      </c>
      <c r="U1026">
        <f t="shared" ref="U1026:U1089" si="84">YEAR(S1026)</f>
        <v>2016</v>
      </c>
    </row>
    <row r="1027" spans="1:21" ht="28.8" x14ac:dyDescent="0.3">
      <c r="A1027">
        <v>1025</v>
      </c>
      <c r="B1027" s="8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2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43.2" x14ac:dyDescent="0.3">
      <c r="A1028">
        <v>1026</v>
      </c>
      <c r="B1028" s="8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2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8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2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8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2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8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2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8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8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2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8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2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8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2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8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2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8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2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8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2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8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2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8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2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8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2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8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8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2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8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2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8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2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8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2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8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2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8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2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8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2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8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2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8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2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8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8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2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8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2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8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2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8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2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8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2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8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2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8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2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8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2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8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2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8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8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2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8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2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8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2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8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2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8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2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8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2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8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2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8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2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8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2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8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8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2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8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2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8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2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8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2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8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2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8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2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8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2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8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2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8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2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8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8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2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8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2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8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2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8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2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8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2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8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2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8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2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8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2">
        <f t="shared" ref="O1090:O1153" si="85">IFERROR(ROUND(E1090/D1090*100, 0),0)</f>
        <v>14</v>
      </c>
      <c r="P1090">
        <f t="shared" ref="P1090:P1153" si="86">IFERROR(ROUND(E1090/L1090, 2), 0)</f>
        <v>43.42</v>
      </c>
      <c r="Q1090" s="11" t="s">
        <v>8331</v>
      </c>
      <c r="R1090" t="s">
        <v>8332</v>
      </c>
      <c r="S1090" s="16">
        <f t="shared" ref="S1090:S1153" si="87">(((J1090/60)/60)/24)+DATE(1970, 1, 1)</f>
        <v>41723.799386574072</v>
      </c>
      <c r="T1090" s="16">
        <f t="shared" ref="T1090:T1153" si="88">(((I1090/60)/60)/24)+DATE(1970, 1, 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8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2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8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8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2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8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2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8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2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8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2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8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2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8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2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8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2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8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2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8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2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8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8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2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8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2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8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2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8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2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8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2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8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2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8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2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8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2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8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2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8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8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2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8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2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8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2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8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2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8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2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8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2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8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2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8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2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8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2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8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8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2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8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2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8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2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8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2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8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2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8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2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8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2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8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2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8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2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8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8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2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8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2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8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2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8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2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8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2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8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2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8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2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8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2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8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2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8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8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2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8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2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8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2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8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2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8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2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8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2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8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2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8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2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8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2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8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8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2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8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2">
        <f t="shared" ref="O1154:O1217" si="90">IFERROR(ROUND(E1154/D1154*100, 0),0)</f>
        <v>6</v>
      </c>
      <c r="P1154">
        <f t="shared" ref="P1154:P1217" si="91">IFERROR(ROUND(E1154/L1154, 2), 0)</f>
        <v>60.73</v>
      </c>
      <c r="Q1154" s="11" t="s">
        <v>8334</v>
      </c>
      <c r="R1154" t="s">
        <v>8335</v>
      </c>
      <c r="S1154" s="16">
        <f t="shared" ref="S1154:S1217" si="92">(((J1154/60)/60)/24)+DATE(1970, 1, 1)</f>
        <v>42109.709629629629</v>
      </c>
      <c r="T1154" s="16">
        <f t="shared" ref="T1154:T1217" si="93">(((I1154/60)/60)/24)+DATE(1970, 1, 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8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2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8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2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8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2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8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2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8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2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8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2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8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2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8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8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2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8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2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8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2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8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2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8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2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8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2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8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2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8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2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8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2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8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8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2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8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2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8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2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8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2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8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2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8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2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8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2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8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2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8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2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8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8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2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8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2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8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2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8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2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8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2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8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2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8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2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8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2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8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2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8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8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2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8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2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8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2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8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2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8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2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8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2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8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2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8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2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8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2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8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8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2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8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2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8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2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8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2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8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2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8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2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8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2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8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2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8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2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8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8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2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8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2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8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2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8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2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8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2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8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2">
        <f t="shared" ref="O1218:O1281" si="95">IFERROR(ROUND(E1218/D1218*100, 0),0)</f>
        <v>146</v>
      </c>
      <c r="P1218">
        <f t="shared" ref="P1218:P1281" si="96">IFERROR(ROUND(E1218/L1218, 2), 0)</f>
        <v>91.88</v>
      </c>
      <c r="Q1218" s="11" t="s">
        <v>8336</v>
      </c>
      <c r="R1218" t="s">
        <v>8337</v>
      </c>
      <c r="S1218" s="16">
        <f t="shared" ref="S1218:S1281" si="97">(((J1218/60)/60)/24)+DATE(1970, 1, 1)</f>
        <v>42247.616400462968</v>
      </c>
      <c r="T1218" s="16">
        <f t="shared" ref="T1218:T1281" si="98">(((I1218/60)/60)/24)+DATE(1970, 1, 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8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2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8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2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8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2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8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8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2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8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2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8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2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8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2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8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2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8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2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8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2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8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2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8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2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8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8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2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8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2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8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2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8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2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8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2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8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2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8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2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8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2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8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2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8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8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2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8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2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8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2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8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2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8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2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8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2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8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2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8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2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8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2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8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8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2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8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2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8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2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8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2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8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2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8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2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8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2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8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2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8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2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8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8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2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8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2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8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2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8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2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8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2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8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2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8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2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8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2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8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2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8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8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2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8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2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8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2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8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2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8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2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8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2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8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2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8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2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8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2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8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2">
        <f t="shared" ref="O1282:O1345" si="100">IFERROR(ROUND(E1282/D1282*100, 0),0)</f>
        <v>111</v>
      </c>
      <c r="P1282">
        <f t="shared" ref="P1282:P1345" si="101">IFERROR(ROUND(E1282/L1282, 2), 0)</f>
        <v>127.98</v>
      </c>
      <c r="Q1282" s="11" t="s">
        <v>8323</v>
      </c>
      <c r="R1282" t="s">
        <v>8324</v>
      </c>
      <c r="S1282" s="16">
        <f t="shared" ref="S1282:S1345" si="102">(((J1282/60)/60)/24)+DATE(1970, 1, 1)</f>
        <v>40513.757569444446</v>
      </c>
      <c r="T1282" s="16">
        <f t="shared" ref="T1282:T1345" si="103">(((I1282/60)/60)/24)+DATE(1970, 1, 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8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2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8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2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8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2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8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">
        <f t="shared" si="100"/>
        <v>101</v>
      </c>
      <c r="P1286" s="3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8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">
        <f t="shared" si="100"/>
        <v>102</v>
      </c>
      <c r="P1287" s="3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8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">
        <f t="shared" si="100"/>
        <v>108</v>
      </c>
      <c r="P1288" s="3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8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">
        <f t="shared" si="100"/>
        <v>242</v>
      </c>
      <c r="P1289" s="3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8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">
        <f t="shared" si="100"/>
        <v>100</v>
      </c>
      <c r="P1290" s="3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8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">
        <f t="shared" si="100"/>
        <v>125</v>
      </c>
      <c r="P1291" s="3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8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">
        <f t="shared" si="100"/>
        <v>109</v>
      </c>
      <c r="P1292" s="3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8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">
        <f t="shared" si="100"/>
        <v>146</v>
      </c>
      <c r="P1293" s="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8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">
        <f t="shared" si="100"/>
        <v>110</v>
      </c>
      <c r="P1294" s="3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8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">
        <f t="shared" si="100"/>
        <v>102</v>
      </c>
      <c r="P1295" s="3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8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">
        <f t="shared" si="100"/>
        <v>122</v>
      </c>
      <c r="P1296" s="3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8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">
        <f t="shared" si="100"/>
        <v>102</v>
      </c>
      <c r="P1297" s="3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8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">
        <f t="shared" si="100"/>
        <v>141</v>
      </c>
      <c r="P1298" s="3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8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">
        <f t="shared" si="100"/>
        <v>110</v>
      </c>
      <c r="P1299" s="3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8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">
        <f t="shared" si="100"/>
        <v>105</v>
      </c>
      <c r="P1300" s="3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8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">
        <f t="shared" si="100"/>
        <v>124</v>
      </c>
      <c r="P1301" s="3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8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">
        <f t="shared" si="100"/>
        <v>135</v>
      </c>
      <c r="P1302" s="3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8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">
        <f t="shared" si="100"/>
        <v>103</v>
      </c>
      <c r="P1303" s="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8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">
        <f t="shared" si="100"/>
        <v>100</v>
      </c>
      <c r="P1304" s="3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8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">
        <f t="shared" si="100"/>
        <v>130</v>
      </c>
      <c r="P1305" s="3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8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2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8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2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8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2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8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2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8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2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8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2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8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8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2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8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2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8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2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8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2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8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2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8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2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8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2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8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2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8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2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8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8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2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8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2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8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2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8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2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8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2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8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2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8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2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8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2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8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2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8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8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2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8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2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8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2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8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2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8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2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8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2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8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2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8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2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8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2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8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8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2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8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2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8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2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8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2">
        <f t="shared" ref="O1346:O1409" si="105">IFERROR(ROUND(E1346/D1346*100, 0),0)</f>
        <v>378</v>
      </c>
      <c r="P1346">
        <f t="shared" ref="P1346:P1409" si="106">IFERROR(ROUND(E1346/L1346, 2), 0)</f>
        <v>40.76</v>
      </c>
      <c r="Q1346" s="11" t="s">
        <v>8320</v>
      </c>
      <c r="R1346" t="s">
        <v>8321</v>
      </c>
      <c r="S1346" s="16">
        <f t="shared" ref="S1346:S1409" si="107">(((J1346/60)/60)/24)+DATE(1970, 1, 1)</f>
        <v>42522.789803240739</v>
      </c>
      <c r="T1346" s="16">
        <f t="shared" ref="T1346:T1409" si="108">(((I1346/60)/60)/24)+DATE(1970, 1, 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8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2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8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2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8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2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8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2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8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2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8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8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2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8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2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8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2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8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2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8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2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8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2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8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2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8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2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8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2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8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8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2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8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2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8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2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8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2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8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2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8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2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8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2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8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2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8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2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8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8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2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8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2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8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2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8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2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8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2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8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2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8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2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8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2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8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2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8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8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2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8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2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8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2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8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2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8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2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8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2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8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2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8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2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8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2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8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8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2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8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2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8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2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8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2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8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2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8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2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8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2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8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2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8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2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8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8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2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8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2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8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2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8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2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8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2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8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2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8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2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8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2">
        <f t="shared" ref="O1410:O1473" si="110">IFERROR(ROUND(E1410/D1410*100, 0),0)</f>
        <v>7</v>
      </c>
      <c r="P1410">
        <f t="shared" ref="P1410:P1473" si="111">IFERROR(ROUND(E1410/L1410, 2), 0)</f>
        <v>12</v>
      </c>
      <c r="Q1410" s="11" t="s">
        <v>8320</v>
      </c>
      <c r="R1410" t="s">
        <v>8339</v>
      </c>
      <c r="S1410" s="16">
        <f t="shared" ref="S1410:S1473" si="112">(((J1410/60)/60)/24)+DATE(1970, 1, 1)</f>
        <v>42291.872175925921</v>
      </c>
      <c r="T1410" s="16">
        <f t="shared" ref="T1410:T1473" si="113">(((I1410/60)/60)/24)+DATE(1970, 1, 1)</f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8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2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8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8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2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8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2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8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2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8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2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8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2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8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2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8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2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8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2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8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2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8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8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2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8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2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8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2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8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2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8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2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8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2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8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2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8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2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8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2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8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8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2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8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2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8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2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8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2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8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2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8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2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8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2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8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2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8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2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8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8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2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8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2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8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2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8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2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8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2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8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2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8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2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8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2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8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2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8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8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2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8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2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8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2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8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2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8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2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8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2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8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2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8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2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8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2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8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8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2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8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2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8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2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8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2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8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2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8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2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8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2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8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2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8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2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8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8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2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8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2">
        <f t="shared" ref="O1474:O1537" si="115">IFERROR(ROUND(E1474/D1474*100, 0),0)</f>
        <v>139</v>
      </c>
      <c r="P1474">
        <f t="shared" ref="P1474:P1537" si="116">IFERROR(ROUND(E1474/L1474, 2), 0)</f>
        <v>103.2</v>
      </c>
      <c r="Q1474" s="11" t="s">
        <v>8320</v>
      </c>
      <c r="R1474" t="s">
        <v>8340</v>
      </c>
      <c r="S1474" s="16">
        <f t="shared" ref="S1474:S1537" si="117">(((J1474/60)/60)/24)+DATE(1970, 1, 1)</f>
        <v>41533.542858796296</v>
      </c>
      <c r="T1474" s="16">
        <f t="shared" ref="T1474:T1537" si="118">(((I1474/60)/60)/24)+DATE(1970, 1, 1)</f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8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2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8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2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8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2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8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2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8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2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8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2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8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2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8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8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2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8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2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8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2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8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2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8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2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8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2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8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2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8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2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8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2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8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8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2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8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2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8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2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8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2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8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2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8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2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8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2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8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2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8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2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8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8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2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8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2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8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2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8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2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8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2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8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2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8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2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8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2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8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2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8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8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2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8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2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8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2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8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2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8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2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8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2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8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2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8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2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8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2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8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8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2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8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2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8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2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8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2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8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2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8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2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8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2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8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2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8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2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8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8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2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8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2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8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2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8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2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8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2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8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2">
        <f t="shared" ref="O1538:O1601" si="120">IFERROR(ROUND(E1538/D1538*100, 0),0)</f>
        <v>250</v>
      </c>
      <c r="P1538">
        <f t="shared" ref="P1538:P1601" si="121">IFERROR(ROUND(E1538/L1538, 2), 0)</f>
        <v>66.02</v>
      </c>
      <c r="Q1538" s="11" t="s">
        <v>8336</v>
      </c>
      <c r="R1538" t="s">
        <v>8337</v>
      </c>
      <c r="S1538" s="16">
        <f t="shared" ref="S1538:S1601" si="122">(((J1538/60)/60)/24)+DATE(1970, 1, 1)</f>
        <v>42213.802199074074</v>
      </c>
      <c r="T1538" s="16">
        <f t="shared" ref="T1538:T1601" si="123">(((I1538/60)/60)/24)+DATE(1970, 1, 1)</f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8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2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8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2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8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2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8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8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2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8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2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8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2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8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2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8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2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8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2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8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2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8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2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8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2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8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8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2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8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2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8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2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8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2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8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2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8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2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8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2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8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2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8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2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8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8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2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8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2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8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2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8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2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8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2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8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2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8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2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8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2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8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2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8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8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2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8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2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8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2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8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2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8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2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8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2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8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2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8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2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8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2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8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8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2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8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2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8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2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8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2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8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2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8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2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8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2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8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2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8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2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8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8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2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8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2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8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2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8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2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8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2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8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2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8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2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8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2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8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2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8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2">
        <f t="shared" ref="O1602:O1665" si="125">IFERROR(ROUND(E1602/D1602*100, 0),0)</f>
        <v>7</v>
      </c>
      <c r="P1602">
        <f t="shared" ref="P1602:P1665" si="126">IFERROR(ROUND(E1602/L1602, 2), 0)</f>
        <v>40.78</v>
      </c>
      <c r="Q1602" s="11" t="s">
        <v>8336</v>
      </c>
      <c r="R1602" t="s">
        <v>8343</v>
      </c>
      <c r="S1602" s="16">
        <f t="shared" ref="S1602:S1665" si="127">(((J1602/60)/60)/24)+DATE(1970, 1, 1)</f>
        <v>41791.057314814818</v>
      </c>
      <c r="T1602" s="16">
        <f t="shared" ref="T1602:T1665" si="128">(((I1602/60)/60)/24)+DATE(1970, 1, 1)</f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8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2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8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2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8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2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8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2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8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2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8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2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8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2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8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2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8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2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8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8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2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8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2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8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2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8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2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8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2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8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2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8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2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8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2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8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2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8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8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2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8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2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8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2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8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2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8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2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8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2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8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2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8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2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8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2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8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8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2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8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2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8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2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8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2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8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2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8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2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8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2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8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2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8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2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8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8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2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8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2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8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2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8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2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8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2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8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2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8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2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8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2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8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2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8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8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2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8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2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8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2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8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2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8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2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8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2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8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2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8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2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8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2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8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8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2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8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2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8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2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8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2">
        <f t="shared" ref="O1666:O1729" si="130">IFERROR(ROUND(E1666/D1666*100, 0),0)</f>
        <v>122</v>
      </c>
      <c r="P1666">
        <f t="shared" ref="P1666:P1729" si="131">IFERROR(ROUND(E1666/L1666, 2), 0)</f>
        <v>34.380000000000003</v>
      </c>
      <c r="Q1666" s="11" t="s">
        <v>8323</v>
      </c>
      <c r="R1666" t="s">
        <v>8344</v>
      </c>
      <c r="S1666" s="16">
        <f t="shared" ref="S1666:S1729" si="132">(((J1666/60)/60)/24)+DATE(1970, 1, 1)</f>
        <v>40939.761782407404</v>
      </c>
      <c r="T1666" s="16">
        <f t="shared" ref="T1666:T1729" si="133">(((I1666/60)/60)/24)+DATE(1970, 1, 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8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2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8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2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8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2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8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2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8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2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8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8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2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8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2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8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2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8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2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8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2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8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2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8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2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8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2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8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2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8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8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2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8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2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8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2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8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2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8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2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8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2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8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2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8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2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8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2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8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8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2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8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2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8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2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8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2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8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2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8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2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8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2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8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2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8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2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8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8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2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8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2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8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2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8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2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8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2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8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2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8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2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8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2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8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2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8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8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2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8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2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8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2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8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2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8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2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8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2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8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2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8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2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8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2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8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8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2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8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2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8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2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8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2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8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2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8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2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8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2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8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2">
        <f t="shared" ref="O1730:O1793" si="135">IFERROR(ROUND(E1730/D1730*100, 0),0)</f>
        <v>68</v>
      </c>
      <c r="P1730">
        <f t="shared" ref="P1730:P1793" si="136">IFERROR(ROUND(E1730/L1730, 2), 0)</f>
        <v>122.14</v>
      </c>
      <c r="Q1730" s="11" t="s">
        <v>8323</v>
      </c>
      <c r="R1730" t="s">
        <v>8345</v>
      </c>
      <c r="S1730" s="16">
        <f t="shared" ref="S1730:S1793" si="137">(((J1730/60)/60)/24)+DATE(1970, 1, 1)</f>
        <v>42268.625856481478</v>
      </c>
      <c r="T1730" s="16">
        <f t="shared" ref="T1730:T1793" si="138">(((I1730/60)/60)/24)+DATE(1970, 1, 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8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2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8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8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2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8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2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8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2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8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2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8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2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8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2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8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2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8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2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8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2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8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8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2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8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2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8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2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8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2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8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2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8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2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8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2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8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2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8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2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8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8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2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8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2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8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2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8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2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8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2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8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2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8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2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8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2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8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2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8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8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2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8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2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8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2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8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2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8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2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8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2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8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2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8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2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8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2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8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8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2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8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2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8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2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8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2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8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2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8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2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8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2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8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2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8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2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8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8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2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8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2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8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2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8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2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8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2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8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2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8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2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8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2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8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2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8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8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2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8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2">
        <f t="shared" ref="O1794:O1857" si="140">IFERROR(ROUND(E1794/D1794*100, 0),0)</f>
        <v>61</v>
      </c>
      <c r="P1794">
        <f t="shared" ref="P1794:P1857" si="141">IFERROR(ROUND(E1794/L1794, 2), 0)</f>
        <v>109.94</v>
      </c>
      <c r="Q1794" s="11" t="s">
        <v>8336</v>
      </c>
      <c r="R1794" t="s">
        <v>8337</v>
      </c>
      <c r="S1794" s="16">
        <f t="shared" ref="S1794:S1857" si="142">(((J1794/60)/60)/24)+DATE(1970, 1, 1)</f>
        <v>42189.031041666662</v>
      </c>
      <c r="T1794" s="16">
        <f t="shared" ref="T1794:T1857" si="143">(((I1794/60)/60)/24)+DATE(1970, 1, 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8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2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8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2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8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2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8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2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8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2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8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2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8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2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8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8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2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8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2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8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2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8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2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8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2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8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2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8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2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8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2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8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2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8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8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2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8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2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8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2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8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2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8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2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8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2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8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2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8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2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8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2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8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8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2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8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2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8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2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8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2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8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2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8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2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8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2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8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2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8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2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8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8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2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8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2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8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2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8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2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8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2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8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2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8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2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8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2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8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2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8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8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2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8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2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8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2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8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2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8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2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8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2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8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2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8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2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8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2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8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8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2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8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2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8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2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8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2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8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2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8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2">
        <f t="shared" ref="O1858:O1921" si="145">IFERROR(ROUND(E1858/D1858*100, 0),0)</f>
        <v>101</v>
      </c>
      <c r="P1858">
        <f t="shared" ref="P1858:P1921" si="146">IFERROR(ROUND(E1858/L1858, 2), 0)</f>
        <v>53.29</v>
      </c>
      <c r="Q1858" s="11" t="s">
        <v>8323</v>
      </c>
      <c r="R1858" t="s">
        <v>8324</v>
      </c>
      <c r="S1858" s="16">
        <f t="shared" ref="S1858:S1921" si="147">(((J1858/60)/60)/24)+DATE(1970, 1, 1)</f>
        <v>41817.854999999996</v>
      </c>
      <c r="T1858" s="16">
        <f t="shared" ref="T1858:T1921" si="148">(((I1858/60)/60)/24)+DATE(1970, 1, 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8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2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43.2" x14ac:dyDescent="0.3">
      <c r="A1860">
        <v>1858</v>
      </c>
      <c r="B1860" s="8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2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8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2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8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8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2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8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2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8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2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8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2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8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2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8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2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8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2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8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2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8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2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8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8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2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8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2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8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2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8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2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8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2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8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2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8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2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8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2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8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2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8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8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2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8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2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8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2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8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2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8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2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8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2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8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2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8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2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8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2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8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8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2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8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2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8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2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8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2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8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2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8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2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8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2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8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2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8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2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8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8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2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8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2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8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2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8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2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8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2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8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2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8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2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8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2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8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2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8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8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2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8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2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8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2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8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2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8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2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8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2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8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2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8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2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8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2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8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2">
        <f t="shared" ref="O1922:O1985" si="150">IFERROR(ROUND(E1922/D1922*100, 0),0)</f>
        <v>43</v>
      </c>
      <c r="P1922">
        <f t="shared" ref="P1922:P1985" si="151">IFERROR(ROUND(E1922/L1922, 2), 0)</f>
        <v>40.98</v>
      </c>
      <c r="Q1922" s="11" t="s">
        <v>8317</v>
      </c>
      <c r="R1922" t="s">
        <v>8346</v>
      </c>
      <c r="S1922" s="16">
        <f t="shared" ref="S1922:S1985" si="152">(((J1922/60)/60)/24)+DATE(1970, 1, 1)</f>
        <v>42270.875706018516</v>
      </c>
      <c r="T1922" s="16">
        <f t="shared" ref="T1922:T1985" si="153">(((I1922/60)/60)/24)+DATE(1970, 1, 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8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2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8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2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8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2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8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2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8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2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8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2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8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2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8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2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8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2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8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8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2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8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2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8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2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8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2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8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2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8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2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8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2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8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2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8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2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8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8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2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8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2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8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2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8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2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8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2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8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2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8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2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8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2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8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2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8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8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2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8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2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8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2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8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2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8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2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8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2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8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2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8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2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8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2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8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8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2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8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2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8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2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8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2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8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2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8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2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8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2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8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2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8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2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8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8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2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8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2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8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2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8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2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8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2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8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2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8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2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8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2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8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2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8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8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2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8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2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8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2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8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2">
        <f t="shared" ref="O1986:O2049" si="155">IFERROR(ROUND(E1986/D1986*100, 0),0)</f>
        <v>21</v>
      </c>
      <c r="P1986">
        <f t="shared" ref="P1986:P2049" si="156">IFERROR(ROUND(E1986/L1986, 2), 0)</f>
        <v>453.14</v>
      </c>
      <c r="Q1986" s="11" t="s">
        <v>8336</v>
      </c>
      <c r="R1986" t="s">
        <v>8348</v>
      </c>
      <c r="S1986" s="16">
        <f t="shared" ref="S1986:S2049" si="157">(((J1986/60)/60)/24)+DATE(1970, 1, 1)</f>
        <v>41913.790289351848</v>
      </c>
      <c r="T1986" s="16">
        <f t="shared" ref="T1986:T2049" si="158">(((I1986/60)/60)/24)+DATE(1970, 1, 1)</f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8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2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8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2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8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2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8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2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8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2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8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8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2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8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2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8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2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8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2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8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2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8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2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8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2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8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2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8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2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8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8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2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8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2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8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2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8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2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8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2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8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2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8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2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8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2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8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2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8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8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2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8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2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8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2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8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2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8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2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8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2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8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2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8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2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8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2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8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8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2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8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2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8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2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8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2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8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2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8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2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8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2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8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2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8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2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8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8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2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8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2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8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2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8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2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8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2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8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2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8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2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8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2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8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2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8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8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2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8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2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8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2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8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2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8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2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8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2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8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2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8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2">
        <f t="shared" ref="O2050:O2113" si="160">IFERROR(ROUND(E2050/D2050*100, 0),0)</f>
        <v>148</v>
      </c>
      <c r="P2050">
        <f t="shared" ref="P2050:P2113" si="161">IFERROR(ROUND(E2050/L2050, 2), 0)</f>
        <v>91.83</v>
      </c>
      <c r="Q2050" s="11" t="s">
        <v>8317</v>
      </c>
      <c r="R2050" t="s">
        <v>8347</v>
      </c>
      <c r="S2050" s="16">
        <f t="shared" ref="S2050:S2113" si="162">(((J2050/60)/60)/24)+DATE(1970, 1, 1)</f>
        <v>41387.651516203703</v>
      </c>
      <c r="T2050" s="16">
        <f t="shared" ref="T2050:T2113" si="163">(((I2050/60)/60)/24)+DATE(1970, 1, 1)</f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8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2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8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8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2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8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2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8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2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8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2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8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2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8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2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8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2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8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2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8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2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8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8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2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8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2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8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2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8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2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8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2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8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2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8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2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8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2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8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2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8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8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2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8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2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8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2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8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2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8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2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8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2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8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2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8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2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8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2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8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8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2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8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2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8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2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8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2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8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2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8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2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8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2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8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2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8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2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8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8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2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8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2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8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2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8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2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8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2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8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2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8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2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8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2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8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2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8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8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2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8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2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8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2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8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2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8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2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8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2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8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2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8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2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8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2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8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8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2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8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2">
        <f t="shared" ref="O2114:O2177" si="165">IFERROR(ROUND(E2114/D2114*100, 0),0)</f>
        <v>100</v>
      </c>
      <c r="P2114">
        <f t="shared" ref="P2114:P2177" si="166">IFERROR(ROUND(E2114/L2114, 2), 0)</f>
        <v>27.27</v>
      </c>
      <c r="Q2114" s="11" t="s">
        <v>8323</v>
      </c>
      <c r="R2114" t="s">
        <v>8327</v>
      </c>
      <c r="S2114" s="16">
        <f t="shared" ref="S2114:S2177" si="167">(((J2114/60)/60)/24)+DATE(1970, 1, 1)</f>
        <v>41365.928159722222</v>
      </c>
      <c r="T2114" s="16">
        <f t="shared" ref="T2114:T2177" si="168">(((I2114/60)/60)/24)+DATE(1970, 1, 1)</f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8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2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8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2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8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2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8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2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8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2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8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2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8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2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8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8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2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8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2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8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2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8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2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8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2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8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2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8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2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8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2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8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2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8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8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2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8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2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8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2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8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2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8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2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8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2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8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2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8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2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8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2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8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8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2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8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2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8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2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8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2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8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2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8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2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8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2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8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2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8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2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8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8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2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8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2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8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2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8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2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8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2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8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2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8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2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8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2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8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2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8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8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2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8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2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8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2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8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2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8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2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8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2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8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2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8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2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8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2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8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8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2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8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2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8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2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8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2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8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2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8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2">
        <f t="shared" ref="O2178:O2241" si="170">IFERROR(ROUND(E2178/D2178*100, 0),0)</f>
        <v>126</v>
      </c>
      <c r="P2178">
        <f t="shared" ref="P2178:P2241" si="171">IFERROR(ROUND(E2178/L2178, 2), 0)</f>
        <v>88.75</v>
      </c>
      <c r="Q2178" s="11" t="s">
        <v>8323</v>
      </c>
      <c r="R2178" t="s">
        <v>8324</v>
      </c>
      <c r="S2178" s="16">
        <f t="shared" ref="S2178:S2241" si="172">(((J2178/60)/60)/24)+DATE(1970, 1, 1)</f>
        <v>42096.633206018523</v>
      </c>
      <c r="T2178" s="16">
        <f t="shared" ref="T2178:T2241" si="173">(((I2178/60)/60)/24)+DATE(1970, 1, 1)</f>
        <v>42126.633206018523</v>
      </c>
      <c r="U2178">
        <f t="shared" ref="U2178:U2241" si="174">YEAR(S2178)</f>
        <v>2015</v>
      </c>
    </row>
    <row r="2179" spans="1:21" ht="57.6" x14ac:dyDescent="0.3">
      <c r="A2179">
        <v>2177</v>
      </c>
      <c r="B2179" s="8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2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8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2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8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2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8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8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2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8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2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8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2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8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2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8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2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8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2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8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2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8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2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8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2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8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8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2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8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2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8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2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8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2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8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2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8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2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8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2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8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2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8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2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8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8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2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8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2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8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2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8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2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8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2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8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2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8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2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8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2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8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2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8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8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2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8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2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8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2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8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2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8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2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8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2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8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2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8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2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8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2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8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8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2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8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2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8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2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8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2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8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2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8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2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8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2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8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2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8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2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8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8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2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8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2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8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2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8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2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8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2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8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2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8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2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8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2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8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2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8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2">
        <f t="shared" ref="O2242:O2305" si="175">IFERROR(ROUND(E2242/D2242*100, 0),0)</f>
        <v>271</v>
      </c>
      <c r="P2242">
        <f t="shared" ref="P2242:P2305" si="176">IFERROR(ROUND(E2242/L2242, 2), 0)</f>
        <v>140.97999999999999</v>
      </c>
      <c r="Q2242" s="11" t="s">
        <v>8331</v>
      </c>
      <c r="R2242" t="s">
        <v>8349</v>
      </c>
      <c r="S2242" s="16">
        <f t="shared" ref="S2242:S2305" si="177">(((J2242/60)/60)/24)+DATE(1970, 1, 1)</f>
        <v>42452.825740740736</v>
      </c>
      <c r="T2242" s="16">
        <f t="shared" ref="T2242:T2305" si="178">(((I2242/60)/60)/24)+DATE(1970, 1, 1)</f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8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2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8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2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8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2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8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2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8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2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8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2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8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2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8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2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8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2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8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8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2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8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2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8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2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8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2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8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2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8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2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8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2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8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2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8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2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8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8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2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8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2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8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2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8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2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8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2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8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2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8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2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8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2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8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2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8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8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2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8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2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8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2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8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2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8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2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8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2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8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2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8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2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8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2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8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8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2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8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2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8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2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8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2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8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2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8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2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8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2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8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2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8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2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8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8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2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8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2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8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2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8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2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8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2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8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2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8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2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8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2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8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2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8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8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2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8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2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8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2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8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2">
        <f t="shared" ref="O2306:O2369" si="180">IFERROR(ROUND(E2306/D2306*100, 0),0)</f>
        <v>101</v>
      </c>
      <c r="P2306">
        <f t="shared" ref="P2306:P2369" si="181">IFERROR(ROUND(E2306/L2306, 2), 0)</f>
        <v>53.47</v>
      </c>
      <c r="Q2306" s="11" t="s">
        <v>8323</v>
      </c>
      <c r="R2306" t="s">
        <v>8327</v>
      </c>
      <c r="S2306" s="16">
        <f t="shared" ref="S2306:S2369" si="182">(((J2306/60)/60)/24)+DATE(1970, 1, 1)</f>
        <v>40502.815868055557</v>
      </c>
      <c r="T2306" s="16">
        <f t="shared" ref="T2306:T2369" si="183">(((I2306/60)/60)/24)+DATE(1970, 1, 1)</f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8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2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8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2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8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2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8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2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8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2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8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8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2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8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2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8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2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8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2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8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2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8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2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8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2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8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2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8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2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8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8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2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8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2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8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2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8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2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8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2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8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2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8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2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8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2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8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2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8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8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2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8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2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8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2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8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2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8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2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8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2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8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2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8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2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8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2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8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8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2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8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2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8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2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8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2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8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2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8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2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8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2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8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2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8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2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8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8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2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8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2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8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2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8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2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8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2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8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2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8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2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8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2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8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2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8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8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2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8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2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8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2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8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2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8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2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8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2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8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2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8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2">
        <f t="shared" ref="O2370:O2433" si="185">IFERROR(ROUND(E2370/D2370*100, 0),0)</f>
        <v>0</v>
      </c>
      <c r="P2370">
        <f t="shared" ref="P2370:P2433" si="186">IFERROR(ROUND(E2370/L2370, 2), 0)</f>
        <v>50</v>
      </c>
      <c r="Q2370" s="11" t="s">
        <v>8317</v>
      </c>
      <c r="R2370" t="s">
        <v>8318</v>
      </c>
      <c r="S2370" s="16">
        <f t="shared" ref="S2370:S2433" si="187">(((J2370/60)/60)/24)+DATE(1970, 1, 1)</f>
        <v>42063.721817129626</v>
      </c>
      <c r="T2370" s="16">
        <f t="shared" ref="T2370:T2433" si="188">(((I2370/60)/60)/24)+DATE(1970, 1, 1)</f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8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2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8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8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2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8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2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8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2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8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2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8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2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8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2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8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2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8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2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8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2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8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8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2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8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2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8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2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8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2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8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2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8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2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8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2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8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2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8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2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8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8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2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8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2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8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2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8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2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8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2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8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2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8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2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8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2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8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2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8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8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2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8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2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8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2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8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2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8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2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8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2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8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2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8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2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8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2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8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8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2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8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2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8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2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8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2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8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2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8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2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8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2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8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2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8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2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8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8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2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8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2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8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2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8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2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8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2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8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2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8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2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8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2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8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2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8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8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2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8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2">
        <f t="shared" ref="O2434:O2497" si="190">IFERROR(ROUND(E2434/D2434*100, 0),0)</f>
        <v>0</v>
      </c>
      <c r="P2434">
        <f t="shared" ref="P2434:P2497" si="191">IFERROR(ROUND(E2434/L2434, 2), 0)</f>
        <v>1</v>
      </c>
      <c r="Q2434" s="11" t="s">
        <v>8334</v>
      </c>
      <c r="R2434" t="s">
        <v>8335</v>
      </c>
      <c r="S2434" s="16">
        <f t="shared" ref="S2434:S2497" si="192">(((J2434/60)/60)/24)+DATE(1970, 1, 1)</f>
        <v>42041.218715277777</v>
      </c>
      <c r="T2434" s="16">
        <f t="shared" ref="T2434:T2497" si="193">(((I2434/60)/60)/24)+DATE(1970, 1, 1)</f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8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2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8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2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8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2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8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2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8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2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8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2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8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2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8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8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2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8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2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8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2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8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2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8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2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8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2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8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2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8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2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8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2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8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8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2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8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2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8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2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8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2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8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2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8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2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8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2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8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2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8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2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8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8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2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8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2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8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2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8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2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8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2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8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2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8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2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8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2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8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2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8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8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2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8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2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8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2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8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2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8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2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8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2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8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2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8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2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8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2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8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8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2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8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2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8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2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8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2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8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2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8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2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8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2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8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2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8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2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8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8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2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8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2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8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2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8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2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8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2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8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2">
        <f t="shared" ref="O2498:O2561" si="195">IFERROR(ROUND(E2498/D2498*100, 0),0)</f>
        <v>100</v>
      </c>
      <c r="P2498">
        <f t="shared" ref="P2498:P2561" si="196">IFERROR(ROUND(E2498/L2498, 2), 0)</f>
        <v>600</v>
      </c>
      <c r="Q2498" s="11" t="s">
        <v>8323</v>
      </c>
      <c r="R2498" t="s">
        <v>8327</v>
      </c>
      <c r="S2498" s="16">
        <f t="shared" ref="S2498:S2561" si="197">(((J2498/60)/60)/24)+DATE(1970, 1, 1)</f>
        <v>41327.996435185189</v>
      </c>
      <c r="T2498" s="16">
        <f t="shared" ref="T2498:T2561" si="198">(((I2498/60)/60)/24)+DATE(1970, 1, 1)</f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8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2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8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2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8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2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8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8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2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8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2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8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2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8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2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8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2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8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2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8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2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8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2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8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2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8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8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2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8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2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8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2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8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2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8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2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8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2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8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2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8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2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8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2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8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8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2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8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2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8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2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8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2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8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2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8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2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8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2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8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2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8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2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8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8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2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8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2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8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2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8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2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8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2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8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2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8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2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8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2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8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2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8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8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2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8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2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8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2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8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2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8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2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8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2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8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2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8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2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8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2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8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8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2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8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2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8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2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8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2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8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2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8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2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8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2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8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2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8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2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8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2">
        <f t="shared" ref="O2562:O2625" si="200">IFERROR(ROUND(E2562/D2562*100, 0),0)</f>
        <v>100</v>
      </c>
      <c r="P2562">
        <f t="shared" ref="P2562:P2625" si="201">IFERROR(ROUND(E2562/L2562, 2), 0)</f>
        <v>143</v>
      </c>
      <c r="Q2562" s="11" t="s">
        <v>8323</v>
      </c>
      <c r="R2562" t="s">
        <v>8352</v>
      </c>
      <c r="S2562" s="16">
        <f t="shared" ref="S2562:S2625" si="202">(((J2562/60)/60)/24)+DATE(1970, 1, 1)</f>
        <v>42039.951087962967</v>
      </c>
      <c r="T2562" s="16">
        <f t="shared" ref="T2562:T2625" si="203">(((I2562/60)/60)/24)+DATE(1970, 1, 1)</f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8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2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8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2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8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2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8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2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8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2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8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2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8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2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8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2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8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2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8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8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2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8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2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8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2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8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2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8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2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8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2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8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2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8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2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8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2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8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8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2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8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2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8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2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8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2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8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2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8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2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8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2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8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2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8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2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8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8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2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8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2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8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2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8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2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8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2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8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2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8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2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8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2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8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2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8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8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2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8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2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8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2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8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2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8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2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8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2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8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2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8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2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8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2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8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8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2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8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2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8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2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8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2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8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2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8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2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8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2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8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2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8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2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8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8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2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8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2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8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2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8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2">
        <f t="shared" ref="O2626:O2689" si="205">IFERROR(ROUND(E2626/D2626*100, 0),0)</f>
        <v>1379</v>
      </c>
      <c r="P2626">
        <f t="shared" ref="P2626:P2689" si="206">IFERROR(ROUND(E2626/L2626, 2), 0)</f>
        <v>31.82</v>
      </c>
      <c r="Q2626" s="11" t="s">
        <v>8317</v>
      </c>
      <c r="R2626" t="s">
        <v>8353</v>
      </c>
      <c r="S2626" s="16">
        <f t="shared" ref="S2626:S2689" si="207">(((J2626/60)/60)/24)+DATE(1970, 1, 1)</f>
        <v>41144.42155092593</v>
      </c>
      <c r="T2626" s="16">
        <f t="shared" ref="T2626:T2689" si="208">(((I2626/60)/60)/24)+DATE(1970, 1, 1)</f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8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2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8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2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8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2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8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2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8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2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8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8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2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8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2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8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2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8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2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8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2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8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2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8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2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8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2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8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2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8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8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2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8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2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8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2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8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2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8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2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8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2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8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2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8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2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8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2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8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8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2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8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2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8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2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8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2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8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2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8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2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8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2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8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2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8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2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8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8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2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8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2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8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2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8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2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8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2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8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2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8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2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8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2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8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2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8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8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2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8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2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8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2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8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2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8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2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8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2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8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2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8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2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8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2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8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8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2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8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2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8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2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8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2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8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2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8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2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8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2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8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2">
        <f t="shared" ref="O2690:O2753" si="210">IFERROR(ROUND(E2690/D2690*100, 0),0)</f>
        <v>0</v>
      </c>
      <c r="P2690">
        <f t="shared" ref="P2690:P2753" si="211">IFERROR(ROUND(E2690/L2690, 2), 0)</f>
        <v>5.29</v>
      </c>
      <c r="Q2690" s="11" t="s">
        <v>8334</v>
      </c>
      <c r="R2690" t="s">
        <v>8335</v>
      </c>
      <c r="S2690" s="16">
        <f t="shared" ref="S2690:S2753" si="212">(((J2690/60)/60)/24)+DATE(1970, 1, 1)</f>
        <v>42028.118865740747</v>
      </c>
      <c r="T2690" s="16">
        <f t="shared" ref="T2690:T2753" si="213">(((I2690/60)/60)/24)+DATE(1970, 1, 1)</f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8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2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43.2" x14ac:dyDescent="0.3">
      <c r="A2692">
        <v>2690</v>
      </c>
      <c r="B2692" s="8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8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2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8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2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8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2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8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2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8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2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8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2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8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2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8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2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8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2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8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8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8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8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8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8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8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8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8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8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8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8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8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8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8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8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8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8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8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8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8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8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2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8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2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8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2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8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2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8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2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8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2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8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2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8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2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8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2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8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8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2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8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2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8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2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8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2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8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2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8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2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8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2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8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2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8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2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8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8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2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8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2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8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2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8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2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8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2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8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2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8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2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8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2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8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2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8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8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2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8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2">
        <f t="shared" ref="O2754:O2817" si="215">IFERROR(ROUND(E2754/D2754*100, 0),0)</f>
        <v>11</v>
      </c>
      <c r="P2754">
        <f t="shared" ref="P2754:P2817" si="216">IFERROR(ROUND(E2754/L2754, 2), 0)</f>
        <v>39.29</v>
      </c>
      <c r="Q2754" s="11" t="s">
        <v>8320</v>
      </c>
      <c r="R2754" t="s">
        <v>8356</v>
      </c>
      <c r="S2754" s="16">
        <f t="shared" ref="S2754:S2817" si="217">(((J2754/60)/60)/24)+DATE(1970, 1, 1)</f>
        <v>40855.765092592592</v>
      </c>
      <c r="T2754" s="16">
        <f t="shared" ref="T2754:T2817" si="218">(((I2754/60)/60)/24)+DATE(1970, 1, 1)</f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8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2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8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2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8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2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8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2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8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2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8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2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8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2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8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8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2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8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2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8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2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8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2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8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2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8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2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8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2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8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2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8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2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8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8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2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8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2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8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2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8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2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8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2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8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2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8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2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8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2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8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2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8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8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">
        <f t="shared" si="215"/>
        <v>105</v>
      </c>
      <c r="P2783" s="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8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">
        <f t="shared" si="215"/>
        <v>120</v>
      </c>
      <c r="P2784" s="3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8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">
        <f t="shared" si="215"/>
        <v>115</v>
      </c>
      <c r="P2785" s="3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8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">
        <f t="shared" si="215"/>
        <v>119</v>
      </c>
      <c r="P2786" s="3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8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">
        <f t="shared" si="215"/>
        <v>105</v>
      </c>
      <c r="P2787" s="3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8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">
        <f t="shared" si="215"/>
        <v>118</v>
      </c>
      <c r="P2788" s="3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8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">
        <f t="shared" si="215"/>
        <v>120</v>
      </c>
      <c r="P2789" s="3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8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">
        <f t="shared" si="215"/>
        <v>103</v>
      </c>
      <c r="P2790" s="3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8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">
        <f t="shared" si="215"/>
        <v>101</v>
      </c>
      <c r="P2791" s="3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8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">
        <f t="shared" si="215"/>
        <v>105</v>
      </c>
      <c r="P2792" s="3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8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">
        <f t="shared" si="215"/>
        <v>103</v>
      </c>
      <c r="P2793" s="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8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">
        <f t="shared" si="215"/>
        <v>108</v>
      </c>
      <c r="P2794" s="3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8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">
        <f t="shared" si="215"/>
        <v>111</v>
      </c>
      <c r="P2795" s="3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8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">
        <f t="shared" si="215"/>
        <v>150</v>
      </c>
      <c r="P2796" s="3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8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">
        <f t="shared" si="215"/>
        <v>104</v>
      </c>
      <c r="P2797" s="3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8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">
        <f t="shared" si="215"/>
        <v>116</v>
      </c>
      <c r="P2798" s="3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8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">
        <f t="shared" si="215"/>
        <v>103</v>
      </c>
      <c r="P2799" s="3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8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">
        <f t="shared" si="215"/>
        <v>101</v>
      </c>
      <c r="P2800" s="3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8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">
        <f t="shared" si="215"/>
        <v>117</v>
      </c>
      <c r="P2801" s="3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8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">
        <f t="shared" si="215"/>
        <v>133</v>
      </c>
      <c r="P2802" s="3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8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">
        <f t="shared" si="215"/>
        <v>133</v>
      </c>
      <c r="P2803" s="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8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">
        <f t="shared" si="215"/>
        <v>102</v>
      </c>
      <c r="P2804" s="3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8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">
        <f t="shared" si="215"/>
        <v>128</v>
      </c>
      <c r="P2805" s="3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8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">
        <f t="shared" si="215"/>
        <v>115</v>
      </c>
      <c r="P2806" s="3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8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">
        <f t="shared" si="215"/>
        <v>110</v>
      </c>
      <c r="P2807" s="3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8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">
        <f t="shared" si="215"/>
        <v>112</v>
      </c>
      <c r="P2808" s="3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8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">
        <f t="shared" si="215"/>
        <v>126</v>
      </c>
      <c r="P2809" s="3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8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">
        <f t="shared" si="215"/>
        <v>100</v>
      </c>
      <c r="P2810" s="3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8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">
        <f t="shared" si="215"/>
        <v>102</v>
      </c>
      <c r="P2811" s="3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8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">
        <f t="shared" si="215"/>
        <v>108</v>
      </c>
      <c r="P2812" s="3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8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">
        <f t="shared" si="215"/>
        <v>100</v>
      </c>
      <c r="P2813" s="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8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">
        <f t="shared" si="215"/>
        <v>113</v>
      </c>
      <c r="P2814" s="3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8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">
        <f t="shared" si="215"/>
        <v>128</v>
      </c>
      <c r="P2815" s="3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8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">
        <f t="shared" si="215"/>
        <v>108</v>
      </c>
      <c r="P2816" s="3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8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">
        <f t="shared" si="215"/>
        <v>242</v>
      </c>
      <c r="P2817" s="3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8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">
        <f t="shared" ref="O2818:O2881" si="220">IFERROR(ROUND(E2818/D2818*100, 0),0)</f>
        <v>142</v>
      </c>
      <c r="P2818" s="3">
        <f t="shared" ref="P2818:P2881" si="221">IFERROR(ROUND(E2818/L2818, 2), 0)</f>
        <v>25.13</v>
      </c>
      <c r="Q2818" s="11" t="s">
        <v>8315</v>
      </c>
      <c r="R2818" t="s">
        <v>8316</v>
      </c>
      <c r="S2818" s="16">
        <f t="shared" ref="S2818:S2881" si="222">(((J2818/60)/60)/24)+DATE(1970, 1, 1)</f>
        <v>42188.467499999999</v>
      </c>
      <c r="T2818" s="16">
        <f t="shared" ref="T2818:T2881" si="223">(((I2818/60)/60)/24)+DATE(1970, 1, 1)</f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8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">
        <f t="shared" si="220"/>
        <v>130</v>
      </c>
      <c r="P2819" s="3">
        <f t="shared" si="221"/>
        <v>23.64</v>
      </c>
      <c r="Q2819" s="11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8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">
        <f t="shared" si="220"/>
        <v>106</v>
      </c>
      <c r="P2820" s="3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8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">
        <f t="shared" si="220"/>
        <v>105</v>
      </c>
      <c r="P2821" s="3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8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">
        <f t="shared" si="220"/>
        <v>136</v>
      </c>
      <c r="P2822" s="3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8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">
        <f t="shared" si="220"/>
        <v>100</v>
      </c>
      <c r="P2823" s="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8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">
        <f t="shared" si="220"/>
        <v>100</v>
      </c>
      <c r="P2824" s="3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8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">
        <f t="shared" si="220"/>
        <v>124</v>
      </c>
      <c r="P2825" s="3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8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">
        <f t="shared" si="220"/>
        <v>117</v>
      </c>
      <c r="P2826" s="3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8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">
        <f t="shared" si="220"/>
        <v>103</v>
      </c>
      <c r="P2827" s="3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8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">
        <f t="shared" si="220"/>
        <v>108</v>
      </c>
      <c r="P2828" s="3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8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">
        <f t="shared" si="220"/>
        <v>120</v>
      </c>
      <c r="P2829" s="3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8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">
        <f t="shared" si="220"/>
        <v>100</v>
      </c>
      <c r="P2830" s="3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8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">
        <f t="shared" si="220"/>
        <v>107</v>
      </c>
      <c r="P2831" s="3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8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">
        <f t="shared" si="220"/>
        <v>100</v>
      </c>
      <c r="P2832" s="3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8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">
        <f t="shared" si="220"/>
        <v>111</v>
      </c>
      <c r="P2833" s="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8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">
        <f t="shared" si="220"/>
        <v>115</v>
      </c>
      <c r="P2834" s="3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8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">
        <f t="shared" si="220"/>
        <v>108</v>
      </c>
      <c r="P2835" s="3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8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">
        <f t="shared" si="220"/>
        <v>170</v>
      </c>
      <c r="P2836" s="3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8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">
        <f t="shared" si="220"/>
        <v>187</v>
      </c>
      <c r="P2837" s="3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8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">
        <f t="shared" si="220"/>
        <v>108</v>
      </c>
      <c r="P2838" s="3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8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">
        <f t="shared" si="220"/>
        <v>100</v>
      </c>
      <c r="P2839" s="3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8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">
        <f t="shared" si="220"/>
        <v>120</v>
      </c>
      <c r="P2840" s="3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8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">
        <f t="shared" si="220"/>
        <v>111</v>
      </c>
      <c r="P2841" s="3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8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">
        <f t="shared" si="220"/>
        <v>104</v>
      </c>
      <c r="P2842" s="3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8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">
        <f t="shared" si="220"/>
        <v>1</v>
      </c>
      <c r="P2843" s="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8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">
        <f t="shared" si="220"/>
        <v>0</v>
      </c>
      <c r="P2844" s="3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8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">
        <f t="shared" si="220"/>
        <v>0</v>
      </c>
      <c r="P2845" s="3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8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">
        <f t="shared" si="220"/>
        <v>5</v>
      </c>
      <c r="P2846" s="3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8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">
        <f t="shared" si="220"/>
        <v>32</v>
      </c>
      <c r="P2847" s="3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8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">
        <f t="shared" si="220"/>
        <v>0</v>
      </c>
      <c r="P2848" s="3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8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">
        <f t="shared" si="220"/>
        <v>0</v>
      </c>
      <c r="P2849" s="3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8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">
        <f t="shared" si="220"/>
        <v>0</v>
      </c>
      <c r="P2850" s="3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8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">
        <f t="shared" si="220"/>
        <v>1</v>
      </c>
      <c r="P2851" s="3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8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">
        <f t="shared" si="220"/>
        <v>4</v>
      </c>
      <c r="P2852" s="3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8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">
        <f t="shared" si="220"/>
        <v>0</v>
      </c>
      <c r="P2853" s="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8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">
        <f t="shared" si="220"/>
        <v>2</v>
      </c>
      <c r="P2854" s="3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8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">
        <f t="shared" si="220"/>
        <v>0</v>
      </c>
      <c r="P2855" s="3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8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">
        <f t="shared" si="220"/>
        <v>42</v>
      </c>
      <c r="P2856" s="3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8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">
        <f t="shared" si="220"/>
        <v>50</v>
      </c>
      <c r="P2857" s="3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8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">
        <f t="shared" si="220"/>
        <v>5</v>
      </c>
      <c r="P2858" s="3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8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">
        <f t="shared" si="220"/>
        <v>20</v>
      </c>
      <c r="P2859" s="3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8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">
        <f t="shared" si="220"/>
        <v>0</v>
      </c>
      <c r="P2860" s="3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8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">
        <f t="shared" si="220"/>
        <v>2</v>
      </c>
      <c r="P2861" s="3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8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">
        <f t="shared" si="220"/>
        <v>7</v>
      </c>
      <c r="P2862" s="3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8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">
        <f t="shared" si="220"/>
        <v>32</v>
      </c>
      <c r="P2863" s="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8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">
        <f t="shared" si="220"/>
        <v>0</v>
      </c>
      <c r="P2864" s="3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8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">
        <f t="shared" si="220"/>
        <v>0</v>
      </c>
      <c r="P2865" s="3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8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">
        <f t="shared" si="220"/>
        <v>2</v>
      </c>
      <c r="P2866" s="3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8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">
        <f t="shared" si="220"/>
        <v>0</v>
      </c>
      <c r="P2867" s="3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8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">
        <f t="shared" si="220"/>
        <v>1</v>
      </c>
      <c r="P2868" s="3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8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">
        <f t="shared" si="220"/>
        <v>20</v>
      </c>
      <c r="P2869" s="3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8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">
        <f t="shared" si="220"/>
        <v>42</v>
      </c>
      <c r="P2870" s="3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8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">
        <f t="shared" si="220"/>
        <v>1</v>
      </c>
      <c r="P2871" s="3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8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">
        <f t="shared" si="220"/>
        <v>15</v>
      </c>
      <c r="P2872" s="3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8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">
        <f t="shared" si="220"/>
        <v>5</v>
      </c>
      <c r="P2873" s="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8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">
        <f t="shared" si="220"/>
        <v>0</v>
      </c>
      <c r="P2874" s="3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8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">
        <f t="shared" si="220"/>
        <v>38</v>
      </c>
      <c r="P2875" s="3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8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">
        <f t="shared" si="220"/>
        <v>5</v>
      </c>
      <c r="P2876" s="3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8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">
        <f t="shared" si="220"/>
        <v>0</v>
      </c>
      <c r="P2877" s="3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8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">
        <f t="shared" si="220"/>
        <v>0</v>
      </c>
      <c r="P2878" s="3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8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">
        <f t="shared" si="220"/>
        <v>11</v>
      </c>
      <c r="P2879" s="3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8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">
        <f t="shared" si="220"/>
        <v>2</v>
      </c>
      <c r="P2880" s="3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8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">
        <f t="shared" si="220"/>
        <v>0</v>
      </c>
      <c r="P2881" s="3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8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">
        <f t="shared" ref="O2882:O2945" si="225">IFERROR(ROUND(E2882/D2882*100, 0),0)</f>
        <v>23</v>
      </c>
      <c r="P2882" s="3">
        <f t="shared" ref="P2882:P2945" si="226">IFERROR(ROUND(E2882/L2882, 2), 0)</f>
        <v>96.55</v>
      </c>
      <c r="Q2882" s="11" t="s">
        <v>8315</v>
      </c>
      <c r="R2882" t="s">
        <v>8316</v>
      </c>
      <c r="S2882" s="16">
        <f t="shared" ref="S2882:S2945" si="227">(((J2882/60)/60)/24)+DATE(1970, 1, 1)</f>
        <v>42192.905694444446</v>
      </c>
      <c r="T2882" s="16">
        <f t="shared" ref="T2882:T2945" si="228">(((I2882/60)/60)/24)+DATE(1970, 1, 1)</f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8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">
        <f t="shared" si="225"/>
        <v>0</v>
      </c>
      <c r="P2883" s="3">
        <f t="shared" si="226"/>
        <v>0</v>
      </c>
      <c r="Q2883" s="11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8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">
        <f t="shared" si="225"/>
        <v>34</v>
      </c>
      <c r="P2884" s="3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8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">
        <f t="shared" si="225"/>
        <v>19</v>
      </c>
      <c r="P2885" s="3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8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">
        <f t="shared" si="225"/>
        <v>0</v>
      </c>
      <c r="P2886" s="3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8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">
        <f t="shared" si="225"/>
        <v>33</v>
      </c>
      <c r="P2887" s="3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8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">
        <f t="shared" si="225"/>
        <v>5</v>
      </c>
      <c r="P2888" s="3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8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">
        <f t="shared" si="225"/>
        <v>0</v>
      </c>
      <c r="P2889" s="3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8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">
        <f t="shared" si="225"/>
        <v>0</v>
      </c>
      <c r="P2890" s="3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8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">
        <f t="shared" si="225"/>
        <v>38</v>
      </c>
      <c r="P2891" s="3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8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">
        <f t="shared" si="225"/>
        <v>1</v>
      </c>
      <c r="P2892" s="3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8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">
        <f t="shared" si="225"/>
        <v>3</v>
      </c>
      <c r="P2893" s="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8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">
        <f t="shared" si="225"/>
        <v>9</v>
      </c>
      <c r="P2894" s="3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8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">
        <f t="shared" si="225"/>
        <v>1</v>
      </c>
      <c r="P2895" s="3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8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">
        <f t="shared" si="225"/>
        <v>0</v>
      </c>
      <c r="P2896" s="3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8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">
        <f t="shared" si="225"/>
        <v>5</v>
      </c>
      <c r="P2897" s="3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8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">
        <f t="shared" si="225"/>
        <v>21</v>
      </c>
      <c r="P2898" s="3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8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">
        <f t="shared" si="225"/>
        <v>5</v>
      </c>
      <c r="P2899" s="3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8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">
        <f t="shared" si="225"/>
        <v>4</v>
      </c>
      <c r="P2900" s="3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8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">
        <f t="shared" si="225"/>
        <v>0</v>
      </c>
      <c r="P2901" s="3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8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">
        <f t="shared" si="225"/>
        <v>62</v>
      </c>
      <c r="P2902" s="3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8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">
        <f t="shared" si="225"/>
        <v>1</v>
      </c>
      <c r="P2903" s="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8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">
        <f t="shared" si="225"/>
        <v>0</v>
      </c>
      <c r="P2904" s="3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8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">
        <f t="shared" si="225"/>
        <v>1</v>
      </c>
      <c r="P2905" s="3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8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">
        <f t="shared" si="225"/>
        <v>5</v>
      </c>
      <c r="P2906" s="3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8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">
        <f t="shared" si="225"/>
        <v>18</v>
      </c>
      <c r="P2907" s="3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8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">
        <f t="shared" si="225"/>
        <v>9</v>
      </c>
      <c r="P2908" s="3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8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">
        <f t="shared" si="225"/>
        <v>0</v>
      </c>
      <c r="P2909" s="3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8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">
        <f t="shared" si="225"/>
        <v>3</v>
      </c>
      <c r="P2910" s="3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8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">
        <f t="shared" si="225"/>
        <v>0</v>
      </c>
      <c r="P2911" s="3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8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">
        <f t="shared" si="225"/>
        <v>0</v>
      </c>
      <c r="P2912" s="3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8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">
        <f t="shared" si="225"/>
        <v>37</v>
      </c>
      <c r="P2913" s="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8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">
        <f t="shared" si="225"/>
        <v>14</v>
      </c>
      <c r="P2914" s="3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8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">
        <f t="shared" si="225"/>
        <v>0</v>
      </c>
      <c r="P2915" s="3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8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">
        <f t="shared" si="225"/>
        <v>0</v>
      </c>
      <c r="P2916" s="3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8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">
        <f t="shared" si="225"/>
        <v>61</v>
      </c>
      <c r="P2917" s="3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8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">
        <f t="shared" si="225"/>
        <v>8</v>
      </c>
      <c r="P2918" s="3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8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">
        <f t="shared" si="225"/>
        <v>22</v>
      </c>
      <c r="P2919" s="3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8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">
        <f t="shared" si="225"/>
        <v>27</v>
      </c>
      <c r="P2920" s="3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8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">
        <f t="shared" si="225"/>
        <v>9</v>
      </c>
      <c r="P2921" s="3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8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">
        <f t="shared" si="225"/>
        <v>27</v>
      </c>
      <c r="P2922" s="3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8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8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8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8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8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8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8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8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8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8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8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8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8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8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8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8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8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8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8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8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8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8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8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8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">
        <f t="shared" ref="O2946:O3009" si="230">IFERROR(ROUND(E2946/D2946*100, 0),0)</f>
        <v>1</v>
      </c>
      <c r="P2946">
        <f t="shared" ref="P2946:P3009" si="231">IFERROR(ROUND(E2946/L2946, 2), 0)</f>
        <v>100</v>
      </c>
      <c r="Q2946" s="11" t="s">
        <v>8315</v>
      </c>
      <c r="R2946" t="s">
        <v>8355</v>
      </c>
      <c r="S2946" s="16">
        <f t="shared" ref="S2946:S3009" si="232">(((J2946/60)/60)/24)+DATE(1970, 1, 1)</f>
        <v>42132.9143287037</v>
      </c>
      <c r="T2946" s="16">
        <f t="shared" ref="T2946:T3009" si="233">(((I2946/60)/60)/24)+DATE(1970, 1, 1)</f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8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8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8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8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8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8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8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8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8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8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8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8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8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8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8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8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8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">
        <f t="shared" si="230"/>
        <v>110</v>
      </c>
      <c r="P2963" s="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8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">
        <f t="shared" si="230"/>
        <v>122</v>
      </c>
      <c r="P2964" s="3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8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">
        <f t="shared" si="230"/>
        <v>107</v>
      </c>
      <c r="P2965" s="3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8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">
        <f t="shared" si="230"/>
        <v>101</v>
      </c>
      <c r="P2966" s="3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8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">
        <f t="shared" si="230"/>
        <v>109</v>
      </c>
      <c r="P2967" s="3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8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">
        <f t="shared" si="230"/>
        <v>114</v>
      </c>
      <c r="P2968" s="3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8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">
        <f t="shared" si="230"/>
        <v>114</v>
      </c>
      <c r="P2969" s="3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8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">
        <f t="shared" si="230"/>
        <v>106</v>
      </c>
      <c r="P2970" s="3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8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">
        <f t="shared" si="230"/>
        <v>163</v>
      </c>
      <c r="P2971" s="3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8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">
        <f t="shared" si="230"/>
        <v>106</v>
      </c>
      <c r="P2972" s="3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8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">
        <f t="shared" si="230"/>
        <v>100</v>
      </c>
      <c r="P2973" s="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8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">
        <f t="shared" si="230"/>
        <v>105</v>
      </c>
      <c r="P2974" s="3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8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">
        <f t="shared" si="230"/>
        <v>175</v>
      </c>
      <c r="P2975" s="3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8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">
        <f t="shared" si="230"/>
        <v>102</v>
      </c>
      <c r="P2976" s="3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8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">
        <f t="shared" si="230"/>
        <v>100</v>
      </c>
      <c r="P2977" s="3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8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">
        <f t="shared" si="230"/>
        <v>171</v>
      </c>
      <c r="P2978" s="3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8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">
        <f t="shared" si="230"/>
        <v>114</v>
      </c>
      <c r="P2979" s="3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8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">
        <f t="shared" si="230"/>
        <v>129</v>
      </c>
      <c r="P2980" s="3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8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">
        <f t="shared" si="230"/>
        <v>101</v>
      </c>
      <c r="P2981" s="3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8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">
        <f t="shared" si="230"/>
        <v>109</v>
      </c>
      <c r="P2982" s="3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8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8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8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8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8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8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8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8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8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8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8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8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8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8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8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8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8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8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8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8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8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8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8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8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8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8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8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8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">
        <f t="shared" ref="O3010:O3073" si="235">IFERROR(ROUND(E3010/D3010*100, 0),0)</f>
        <v>101</v>
      </c>
      <c r="P3010">
        <f t="shared" ref="P3010:P3073" si="236">IFERROR(ROUND(E3010/L3010, 2), 0)</f>
        <v>116.73</v>
      </c>
      <c r="Q3010" s="11" t="s">
        <v>8315</v>
      </c>
      <c r="R3010" t="s">
        <v>8355</v>
      </c>
      <c r="S3010" s="16">
        <f t="shared" ref="S3010:S3073" si="237">(((J3010/60)/60)/24)+DATE(1970, 1, 1)</f>
        <v>42360.212025462963</v>
      </c>
      <c r="T3010" s="16">
        <f t="shared" ref="T3010:T3073" si="238">(((I3010/60)/60)/24)+DATE(1970, 1, 1)</f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8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8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8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8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8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8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8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8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8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8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8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8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8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8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8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8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8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8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8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8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8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8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8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8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8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8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8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8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8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8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8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8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8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8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8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8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8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8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8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8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8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8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8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8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8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8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8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8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8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8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8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8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8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8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8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8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8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8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8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8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8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8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8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8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">
        <f t="shared" ref="O3074:O3137" si="240">IFERROR(ROUND(E3074/D3074*100, 0),0)</f>
        <v>0</v>
      </c>
      <c r="P3074">
        <f t="shared" ref="P3074:P3137" si="241">IFERROR(ROUND(E3074/L3074, 2), 0)</f>
        <v>1</v>
      </c>
      <c r="Q3074" s="11" t="s">
        <v>8315</v>
      </c>
      <c r="R3074" t="s">
        <v>8355</v>
      </c>
      <c r="S3074" s="16">
        <f t="shared" ref="S3074:S3137" si="242">(((J3074/60)/60)/24)+DATE(1970, 1, 1)</f>
        <v>42658.690532407403</v>
      </c>
      <c r="T3074" s="16">
        <f t="shared" ref="T3074:T3137" si="243">(((I3074/60)/60)/24)+DATE(1970, 1, 1)</f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8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8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8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8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8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8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8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8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8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8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8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8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8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8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8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8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8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8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8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8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8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8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8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8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8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8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8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8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8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8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8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8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8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8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8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8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8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8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8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8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8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8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8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8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8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8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8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8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8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8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8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8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8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8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8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8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">
        <f t="shared" si="240"/>
        <v>109</v>
      </c>
      <c r="P3130" s="3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8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">
        <f t="shared" si="240"/>
        <v>1</v>
      </c>
      <c r="P3131" s="3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8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">
        <f t="shared" si="240"/>
        <v>4</v>
      </c>
      <c r="P3132" s="3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8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">
        <f t="shared" si="240"/>
        <v>16</v>
      </c>
      <c r="P3133" s="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8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">
        <f t="shared" si="240"/>
        <v>0</v>
      </c>
      <c r="P3134" s="3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8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">
        <f t="shared" si="240"/>
        <v>108</v>
      </c>
      <c r="P3135" s="3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8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">
        <f t="shared" si="240"/>
        <v>23</v>
      </c>
      <c r="P3136" s="3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8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">
        <f t="shared" si="240"/>
        <v>21</v>
      </c>
      <c r="P3137" s="3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8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">
        <f t="shared" ref="O3138:O3201" si="245">IFERROR(ROUND(E3138/D3138*100, 0),0)</f>
        <v>128</v>
      </c>
      <c r="P3138" s="3">
        <f t="shared" ref="P3138:P3201" si="246">IFERROR(ROUND(E3138/L3138, 2), 0)</f>
        <v>29.05</v>
      </c>
      <c r="Q3138" s="11" t="s">
        <v>8315</v>
      </c>
      <c r="R3138" t="s">
        <v>8316</v>
      </c>
      <c r="S3138" s="16">
        <f t="shared" ref="S3138:S3201" si="247">(((J3138/60)/60)/24)+DATE(1970, 1, 1)</f>
        <v>42789.462430555555</v>
      </c>
      <c r="T3138" s="16">
        <f t="shared" ref="T3138:T3201" si="248">(((I3138/60)/60)/24)+DATE(1970, 1, 1)</f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8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">
        <f t="shared" si="245"/>
        <v>3</v>
      </c>
      <c r="P3139" s="3">
        <f t="shared" si="246"/>
        <v>50</v>
      </c>
      <c r="Q3139" s="11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8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">
        <f t="shared" si="245"/>
        <v>0</v>
      </c>
      <c r="P3140" s="3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8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">
        <f t="shared" si="245"/>
        <v>5</v>
      </c>
      <c r="P3141" s="3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8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">
        <f t="shared" si="245"/>
        <v>1</v>
      </c>
      <c r="P3142" s="3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8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">
        <f t="shared" si="245"/>
        <v>52</v>
      </c>
      <c r="P3143" s="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8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">
        <f t="shared" si="245"/>
        <v>2</v>
      </c>
      <c r="P3144" s="3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8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">
        <f t="shared" si="245"/>
        <v>0</v>
      </c>
      <c r="P3145" s="3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8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">
        <f t="shared" si="245"/>
        <v>75</v>
      </c>
      <c r="P3146" s="3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8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">
        <f t="shared" si="245"/>
        <v>0</v>
      </c>
      <c r="P3147" s="3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8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">
        <f t="shared" si="245"/>
        <v>11</v>
      </c>
      <c r="P3148" s="3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8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">
        <f t="shared" si="245"/>
        <v>118</v>
      </c>
      <c r="P3149" s="3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8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">
        <f t="shared" si="245"/>
        <v>131</v>
      </c>
      <c r="P3150" s="3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8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">
        <f t="shared" si="245"/>
        <v>104</v>
      </c>
      <c r="P3151" s="3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8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">
        <f t="shared" si="245"/>
        <v>101</v>
      </c>
      <c r="P3152" s="3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8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">
        <f t="shared" si="245"/>
        <v>100</v>
      </c>
      <c r="P3153" s="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8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">
        <f t="shared" si="245"/>
        <v>106</v>
      </c>
      <c r="P3154" s="3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8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">
        <f t="shared" si="245"/>
        <v>336</v>
      </c>
      <c r="P3155" s="3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8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">
        <f t="shared" si="245"/>
        <v>113</v>
      </c>
      <c r="P3156" s="3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8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">
        <f t="shared" si="245"/>
        <v>189</v>
      </c>
      <c r="P3157" s="3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8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">
        <f t="shared" si="245"/>
        <v>102</v>
      </c>
      <c r="P3158" s="3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8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">
        <f t="shared" si="245"/>
        <v>101</v>
      </c>
      <c r="P3159" s="3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8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">
        <f t="shared" si="245"/>
        <v>114</v>
      </c>
      <c r="P3160" s="3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8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">
        <f t="shared" si="245"/>
        <v>133</v>
      </c>
      <c r="P3161" s="3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8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">
        <f t="shared" si="245"/>
        <v>102</v>
      </c>
      <c r="P3162" s="3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8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">
        <f t="shared" si="245"/>
        <v>105</v>
      </c>
      <c r="P3163" s="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8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">
        <f t="shared" si="245"/>
        <v>127</v>
      </c>
      <c r="P3164" s="3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8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">
        <f t="shared" si="245"/>
        <v>111</v>
      </c>
      <c r="P3165" s="3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8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">
        <f t="shared" si="245"/>
        <v>107</v>
      </c>
      <c r="P3166" s="3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8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">
        <f t="shared" si="245"/>
        <v>163</v>
      </c>
      <c r="P3167" s="3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8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">
        <f t="shared" si="245"/>
        <v>160</v>
      </c>
      <c r="P3168" s="3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8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">
        <f t="shared" si="245"/>
        <v>116</v>
      </c>
      <c r="P3169" s="3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8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">
        <f t="shared" si="245"/>
        <v>124</v>
      </c>
      <c r="P3170" s="3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8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">
        <f t="shared" si="245"/>
        <v>103</v>
      </c>
      <c r="P3171" s="3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8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">
        <f t="shared" si="245"/>
        <v>112</v>
      </c>
      <c r="P3172" s="3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8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">
        <f t="shared" si="245"/>
        <v>109</v>
      </c>
      <c r="P3173" s="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8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">
        <f t="shared" si="245"/>
        <v>115</v>
      </c>
      <c r="P3174" s="3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8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">
        <f t="shared" si="245"/>
        <v>103</v>
      </c>
      <c r="P3175" s="3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8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">
        <f t="shared" si="245"/>
        <v>101</v>
      </c>
      <c r="P3176" s="3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8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">
        <f t="shared" si="245"/>
        <v>110</v>
      </c>
      <c r="P3177" s="3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8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">
        <f t="shared" si="245"/>
        <v>115</v>
      </c>
      <c r="P3178" s="3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8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">
        <f t="shared" si="245"/>
        <v>117</v>
      </c>
      <c r="P3179" s="3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8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">
        <f t="shared" si="245"/>
        <v>172</v>
      </c>
      <c r="P3180" s="3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8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">
        <f t="shared" si="245"/>
        <v>114</v>
      </c>
      <c r="P3181" s="3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8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">
        <f t="shared" si="245"/>
        <v>120</v>
      </c>
      <c r="P3182" s="3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8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">
        <f t="shared" si="245"/>
        <v>109</v>
      </c>
      <c r="P3183" s="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8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">
        <f t="shared" si="245"/>
        <v>101</v>
      </c>
      <c r="P3184" s="3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8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">
        <f t="shared" si="245"/>
        <v>109</v>
      </c>
      <c r="P3185" s="3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8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">
        <f t="shared" si="245"/>
        <v>107</v>
      </c>
      <c r="P3186" s="3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8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">
        <f t="shared" si="245"/>
        <v>100</v>
      </c>
      <c r="P3187" s="3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8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">
        <f t="shared" si="245"/>
        <v>102</v>
      </c>
      <c r="P3188" s="3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8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">
        <f t="shared" si="245"/>
        <v>116</v>
      </c>
      <c r="P3189" s="3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8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8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8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8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8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8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8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8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8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8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8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8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8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">
        <f t="shared" ref="O3202:O3265" si="250">IFERROR(ROUND(E3202/D3202*100, 0),0)</f>
        <v>0</v>
      </c>
      <c r="P3202">
        <f t="shared" ref="P3202:P3265" si="251">IFERROR(ROUND(E3202/L3202, 2), 0)</f>
        <v>1</v>
      </c>
      <c r="Q3202" s="11" t="s">
        <v>8315</v>
      </c>
      <c r="R3202" t="s">
        <v>8357</v>
      </c>
      <c r="S3202" s="16">
        <f t="shared" ref="S3202:S3265" si="252">(((J3202/60)/60)/24)+DATE(1970, 1, 1)</f>
        <v>42460.320613425924</v>
      </c>
      <c r="T3202" s="16">
        <f t="shared" ref="T3202:T3265" si="253">(((I3202/60)/60)/24)+DATE(1970, 1, 1)</f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8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8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8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8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8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8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8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8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">
        <f t="shared" si="250"/>
        <v>104</v>
      </c>
      <c r="P3210" s="3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8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">
        <f t="shared" si="250"/>
        <v>119</v>
      </c>
      <c r="P3211" s="3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8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">
        <f t="shared" si="250"/>
        <v>126</v>
      </c>
      <c r="P3212" s="3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8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">
        <f t="shared" si="250"/>
        <v>120</v>
      </c>
      <c r="P3213" s="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8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">
        <f t="shared" si="250"/>
        <v>126</v>
      </c>
      <c r="P3214" s="3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8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">
        <f t="shared" si="250"/>
        <v>100</v>
      </c>
      <c r="P3215" s="3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8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">
        <f t="shared" si="250"/>
        <v>102</v>
      </c>
      <c r="P3216" s="3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8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">
        <f t="shared" si="250"/>
        <v>100</v>
      </c>
      <c r="P3217" s="3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8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">
        <f t="shared" si="250"/>
        <v>100</v>
      </c>
      <c r="P3218" s="3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8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">
        <f t="shared" si="250"/>
        <v>116</v>
      </c>
      <c r="P3219" s="3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8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">
        <f t="shared" si="250"/>
        <v>102</v>
      </c>
      <c r="P3220" s="3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8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">
        <f t="shared" si="250"/>
        <v>100</v>
      </c>
      <c r="P3221" s="3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8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">
        <f t="shared" si="250"/>
        <v>101</v>
      </c>
      <c r="P3222" s="3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8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">
        <f t="shared" si="250"/>
        <v>103</v>
      </c>
      <c r="P3223" s="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8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">
        <f t="shared" si="250"/>
        <v>125</v>
      </c>
      <c r="P3224" s="3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8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">
        <f t="shared" si="250"/>
        <v>110</v>
      </c>
      <c r="P3225" s="3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8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">
        <f t="shared" si="250"/>
        <v>102</v>
      </c>
      <c r="P3226" s="3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8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">
        <f t="shared" si="250"/>
        <v>102</v>
      </c>
      <c r="P3227" s="3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8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">
        <f t="shared" si="250"/>
        <v>104</v>
      </c>
      <c r="P3228" s="3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8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">
        <f t="shared" si="250"/>
        <v>125</v>
      </c>
      <c r="P3229" s="3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8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">
        <f t="shared" si="250"/>
        <v>102</v>
      </c>
      <c r="P3230" s="3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8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">
        <f t="shared" si="250"/>
        <v>108</v>
      </c>
      <c r="P3231" s="3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8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">
        <f t="shared" si="250"/>
        <v>110</v>
      </c>
      <c r="P3232" s="3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8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">
        <f t="shared" si="250"/>
        <v>161</v>
      </c>
      <c r="P3233" s="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8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">
        <f t="shared" si="250"/>
        <v>131</v>
      </c>
      <c r="P3234" s="3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8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">
        <f t="shared" si="250"/>
        <v>119</v>
      </c>
      <c r="P3235" s="3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8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">
        <f t="shared" si="250"/>
        <v>100</v>
      </c>
      <c r="P3236" s="3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8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">
        <f t="shared" si="250"/>
        <v>103</v>
      </c>
      <c r="P3237" s="3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8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">
        <f t="shared" si="250"/>
        <v>101</v>
      </c>
      <c r="P3238" s="3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8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">
        <f t="shared" si="250"/>
        <v>101</v>
      </c>
      <c r="P3239" s="3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8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">
        <f t="shared" si="250"/>
        <v>112</v>
      </c>
      <c r="P3240" s="3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8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">
        <f t="shared" si="250"/>
        <v>106</v>
      </c>
      <c r="P3241" s="3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8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">
        <f t="shared" si="250"/>
        <v>101</v>
      </c>
      <c r="P3242" s="3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8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">
        <f t="shared" si="250"/>
        <v>115</v>
      </c>
      <c r="P3243" s="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8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">
        <f t="shared" si="250"/>
        <v>127</v>
      </c>
      <c r="P3244" s="3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8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">
        <f t="shared" si="250"/>
        <v>103</v>
      </c>
      <c r="P3245" s="3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8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">
        <f t="shared" si="250"/>
        <v>103</v>
      </c>
      <c r="P3246" s="3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8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">
        <f t="shared" si="250"/>
        <v>104</v>
      </c>
      <c r="P3247" s="3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8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">
        <f t="shared" si="250"/>
        <v>111</v>
      </c>
      <c r="P3248" s="3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8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">
        <f t="shared" si="250"/>
        <v>106</v>
      </c>
      <c r="P3249" s="3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8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">
        <f t="shared" si="250"/>
        <v>101</v>
      </c>
      <c r="P3250" s="3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8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">
        <f t="shared" si="250"/>
        <v>105</v>
      </c>
      <c r="P3251" s="3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8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">
        <f t="shared" si="250"/>
        <v>102</v>
      </c>
      <c r="P3252" s="3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8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">
        <f t="shared" si="250"/>
        <v>111</v>
      </c>
      <c r="P3253" s="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8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">
        <f t="shared" si="250"/>
        <v>128</v>
      </c>
      <c r="P3254" s="3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8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">
        <f t="shared" si="250"/>
        <v>102</v>
      </c>
      <c r="P3255" s="3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8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">
        <f t="shared" si="250"/>
        <v>101</v>
      </c>
      <c r="P3256" s="3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8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">
        <f t="shared" si="250"/>
        <v>175</v>
      </c>
      <c r="P3257" s="3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8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">
        <f t="shared" si="250"/>
        <v>128</v>
      </c>
      <c r="P3258" s="3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8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">
        <f t="shared" si="250"/>
        <v>106</v>
      </c>
      <c r="P3259" s="3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8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">
        <f t="shared" si="250"/>
        <v>105</v>
      </c>
      <c r="P3260" s="3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8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">
        <f t="shared" si="250"/>
        <v>106</v>
      </c>
      <c r="P3261" s="3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8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">
        <f t="shared" si="250"/>
        <v>109</v>
      </c>
      <c r="P3262" s="3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8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">
        <f t="shared" si="250"/>
        <v>100</v>
      </c>
      <c r="P3263" s="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8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">
        <f t="shared" si="250"/>
        <v>103</v>
      </c>
      <c r="P3264" s="3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8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">
        <f t="shared" si="250"/>
        <v>112</v>
      </c>
      <c r="P3265" s="3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8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">
        <f t="shared" ref="O3266:O3329" si="255">IFERROR(ROUND(E3266/D3266*100, 0),0)</f>
        <v>103</v>
      </c>
      <c r="P3266" s="3">
        <f t="shared" ref="P3266:P3329" si="256">IFERROR(ROUND(E3266/L3266, 2), 0)</f>
        <v>52.55</v>
      </c>
      <c r="Q3266" s="11" t="s">
        <v>8315</v>
      </c>
      <c r="R3266" t="s">
        <v>8316</v>
      </c>
      <c r="S3266" s="16">
        <f t="shared" ref="S3266:S3329" si="257">(((J3266/60)/60)/24)+DATE(1970, 1, 1)</f>
        <v>42016.800208333334</v>
      </c>
      <c r="T3266" s="16">
        <f t="shared" ref="T3266:T3329" si="258">(((I3266/60)/60)/24)+DATE(1970, 1, 1)</f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8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">
        <f t="shared" si="255"/>
        <v>164</v>
      </c>
      <c r="P3267" s="3">
        <f t="shared" si="256"/>
        <v>70.290000000000006</v>
      </c>
      <c r="Q3267" s="11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8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">
        <f t="shared" si="255"/>
        <v>131</v>
      </c>
      <c r="P3268" s="3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8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">
        <f t="shared" si="255"/>
        <v>102</v>
      </c>
      <c r="P3269" s="3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8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">
        <f t="shared" si="255"/>
        <v>128</v>
      </c>
      <c r="P3270" s="3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8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">
        <f t="shared" si="255"/>
        <v>102</v>
      </c>
      <c r="P3271" s="3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8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">
        <f t="shared" si="255"/>
        <v>102</v>
      </c>
      <c r="P3272" s="3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8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">
        <f t="shared" si="255"/>
        <v>130</v>
      </c>
      <c r="P3273" s="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8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">
        <f t="shared" si="255"/>
        <v>154</v>
      </c>
      <c r="P3274" s="3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8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">
        <f t="shared" si="255"/>
        <v>107</v>
      </c>
      <c r="P3275" s="3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8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">
        <f t="shared" si="255"/>
        <v>101</v>
      </c>
      <c r="P3276" s="3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8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">
        <f t="shared" si="255"/>
        <v>100</v>
      </c>
      <c r="P3277" s="3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8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">
        <f t="shared" si="255"/>
        <v>117</v>
      </c>
      <c r="P3278" s="3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8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">
        <f t="shared" si="255"/>
        <v>109</v>
      </c>
      <c r="P3279" s="3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8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">
        <f t="shared" si="255"/>
        <v>103</v>
      </c>
      <c r="P3280" s="3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8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">
        <f t="shared" si="255"/>
        <v>114</v>
      </c>
      <c r="P3281" s="3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8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">
        <f t="shared" si="255"/>
        <v>103</v>
      </c>
      <c r="P3282" s="3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8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">
        <f t="shared" si="255"/>
        <v>122</v>
      </c>
      <c r="P3283" s="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8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">
        <f t="shared" si="255"/>
        <v>103</v>
      </c>
      <c r="P3284" s="3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8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">
        <f t="shared" si="255"/>
        <v>105</v>
      </c>
      <c r="P3285" s="3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8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">
        <f t="shared" si="255"/>
        <v>102</v>
      </c>
      <c r="P3286" s="3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8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">
        <f t="shared" si="255"/>
        <v>112</v>
      </c>
      <c r="P3287" s="3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8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">
        <f t="shared" si="255"/>
        <v>102</v>
      </c>
      <c r="P3288" s="3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8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">
        <f t="shared" si="255"/>
        <v>100</v>
      </c>
      <c r="P3289" s="3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8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">
        <f t="shared" si="255"/>
        <v>100</v>
      </c>
      <c r="P3290" s="3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8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">
        <f t="shared" si="255"/>
        <v>133</v>
      </c>
      <c r="P3291" s="3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8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">
        <f t="shared" si="255"/>
        <v>121</v>
      </c>
      <c r="P3292" s="3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8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">
        <f t="shared" si="255"/>
        <v>114</v>
      </c>
      <c r="P3293" s="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8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">
        <f t="shared" si="255"/>
        <v>286</v>
      </c>
      <c r="P3294" s="3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8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">
        <f t="shared" si="255"/>
        <v>170</v>
      </c>
      <c r="P3295" s="3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8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">
        <f t="shared" si="255"/>
        <v>118</v>
      </c>
      <c r="P3296" s="3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8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">
        <f t="shared" si="255"/>
        <v>103</v>
      </c>
      <c r="P3297" s="3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8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">
        <f t="shared" si="255"/>
        <v>144</v>
      </c>
      <c r="P3298" s="3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8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">
        <f t="shared" si="255"/>
        <v>100</v>
      </c>
      <c r="P3299" s="3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8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">
        <f t="shared" si="255"/>
        <v>102</v>
      </c>
      <c r="P3300" s="3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8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">
        <f t="shared" si="255"/>
        <v>116</v>
      </c>
      <c r="P3301" s="3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8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">
        <f t="shared" si="255"/>
        <v>136</v>
      </c>
      <c r="P3302" s="3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8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">
        <f t="shared" si="255"/>
        <v>133</v>
      </c>
      <c r="P3303" s="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8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">
        <f t="shared" si="255"/>
        <v>103</v>
      </c>
      <c r="P3304" s="3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8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">
        <f t="shared" si="255"/>
        <v>116</v>
      </c>
      <c r="P3305" s="3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8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">
        <f t="shared" si="255"/>
        <v>105</v>
      </c>
      <c r="P3306" s="3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8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">
        <f t="shared" si="255"/>
        <v>102</v>
      </c>
      <c r="P3307" s="3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8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">
        <f t="shared" si="255"/>
        <v>175</v>
      </c>
      <c r="P3308" s="3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8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">
        <f t="shared" si="255"/>
        <v>107</v>
      </c>
      <c r="P3309" s="3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8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">
        <f t="shared" si="255"/>
        <v>122</v>
      </c>
      <c r="P3310" s="3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8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">
        <f t="shared" si="255"/>
        <v>159</v>
      </c>
      <c r="P3311" s="3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8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">
        <f t="shared" si="255"/>
        <v>100</v>
      </c>
      <c r="P3312" s="3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8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">
        <f t="shared" si="255"/>
        <v>110</v>
      </c>
      <c r="P3313" s="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8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">
        <f t="shared" si="255"/>
        <v>100</v>
      </c>
      <c r="P3314" s="3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8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">
        <f t="shared" si="255"/>
        <v>116</v>
      </c>
      <c r="P3315" s="3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8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">
        <f t="shared" si="255"/>
        <v>211</v>
      </c>
      <c r="P3316" s="3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8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">
        <f t="shared" si="255"/>
        <v>110</v>
      </c>
      <c r="P3317" s="3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8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">
        <f t="shared" si="255"/>
        <v>100</v>
      </c>
      <c r="P3318" s="3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8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">
        <f t="shared" si="255"/>
        <v>106</v>
      </c>
      <c r="P3319" s="3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8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">
        <f t="shared" si="255"/>
        <v>126</v>
      </c>
      <c r="P3320" s="3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8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">
        <f t="shared" si="255"/>
        <v>108</v>
      </c>
      <c r="P3321" s="3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8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">
        <f t="shared" si="255"/>
        <v>101</v>
      </c>
      <c r="P3322" s="3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8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">
        <f t="shared" si="255"/>
        <v>107</v>
      </c>
      <c r="P3323" s="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8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">
        <f t="shared" si="255"/>
        <v>102</v>
      </c>
      <c r="P3324" s="3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8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">
        <f t="shared" si="255"/>
        <v>126</v>
      </c>
      <c r="P3325" s="3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8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">
        <f t="shared" si="255"/>
        <v>102</v>
      </c>
      <c r="P3326" s="3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8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">
        <f t="shared" si="255"/>
        <v>113</v>
      </c>
      <c r="P3327" s="3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8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">
        <f t="shared" si="255"/>
        <v>101</v>
      </c>
      <c r="P3328" s="3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8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">
        <f t="shared" si="255"/>
        <v>101</v>
      </c>
      <c r="P3329" s="3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8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">
        <f t="shared" ref="O3330:O3393" si="260">IFERROR(ROUND(E3330/D3330*100, 0),0)</f>
        <v>146</v>
      </c>
      <c r="P3330" s="3">
        <f t="shared" ref="P3330:P3393" si="261">IFERROR(ROUND(E3330/L3330, 2), 0)</f>
        <v>292.77999999999997</v>
      </c>
      <c r="Q3330" s="11" t="s">
        <v>8315</v>
      </c>
      <c r="R3330" t="s">
        <v>8316</v>
      </c>
      <c r="S3330" s="16">
        <f t="shared" ref="S3330:S3393" si="262">(((J3330/60)/60)/24)+DATE(1970, 1, 1)</f>
        <v>41822.57503472222</v>
      </c>
      <c r="T3330" s="16">
        <f t="shared" ref="T3330:T3393" si="263">(((I3330/60)/60)/24)+DATE(1970, 1, 1)</f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8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">
        <f t="shared" si="260"/>
        <v>117</v>
      </c>
      <c r="P3331" s="3">
        <f t="shared" si="261"/>
        <v>44.92</v>
      </c>
      <c r="Q3331" s="11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8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">
        <f t="shared" si="260"/>
        <v>106</v>
      </c>
      <c r="P3332" s="3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8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">
        <f t="shared" si="260"/>
        <v>105</v>
      </c>
      <c r="P3333" s="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8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">
        <f t="shared" si="260"/>
        <v>100</v>
      </c>
      <c r="P3334" s="3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8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">
        <f t="shared" si="260"/>
        <v>105</v>
      </c>
      <c r="P3335" s="3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8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">
        <f t="shared" si="260"/>
        <v>139</v>
      </c>
      <c r="P3336" s="3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8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">
        <f t="shared" si="260"/>
        <v>100</v>
      </c>
      <c r="P3337" s="3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8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">
        <f t="shared" si="260"/>
        <v>100</v>
      </c>
      <c r="P3338" s="3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8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">
        <f t="shared" si="260"/>
        <v>110</v>
      </c>
      <c r="P3339" s="3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8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">
        <f t="shared" si="260"/>
        <v>102</v>
      </c>
      <c r="P3340" s="3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8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">
        <f t="shared" si="260"/>
        <v>104</v>
      </c>
      <c r="P3341" s="3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8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">
        <f t="shared" si="260"/>
        <v>138</v>
      </c>
      <c r="P3342" s="3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8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">
        <f t="shared" si="260"/>
        <v>100</v>
      </c>
      <c r="P3343" s="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8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">
        <f t="shared" si="260"/>
        <v>102</v>
      </c>
      <c r="P3344" s="3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8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">
        <f t="shared" si="260"/>
        <v>171</v>
      </c>
      <c r="P3345" s="3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8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">
        <f t="shared" si="260"/>
        <v>101</v>
      </c>
      <c r="P3346" s="3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8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">
        <f t="shared" si="260"/>
        <v>130</v>
      </c>
      <c r="P3347" s="3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8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">
        <f t="shared" si="260"/>
        <v>110</v>
      </c>
      <c r="P3348" s="3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8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">
        <f t="shared" si="260"/>
        <v>119</v>
      </c>
      <c r="P3349" s="3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8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">
        <f t="shared" si="260"/>
        <v>100</v>
      </c>
      <c r="P3350" s="3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8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">
        <f t="shared" si="260"/>
        <v>153</v>
      </c>
      <c r="P3351" s="3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8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">
        <f t="shared" si="260"/>
        <v>104</v>
      </c>
      <c r="P3352" s="3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8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">
        <f t="shared" si="260"/>
        <v>101</v>
      </c>
      <c r="P3353" s="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8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">
        <f t="shared" si="260"/>
        <v>108</v>
      </c>
      <c r="P3354" s="3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8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">
        <f t="shared" si="260"/>
        <v>315</v>
      </c>
      <c r="P3355" s="3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8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">
        <f t="shared" si="260"/>
        <v>102</v>
      </c>
      <c r="P3356" s="3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8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">
        <f t="shared" si="260"/>
        <v>126</v>
      </c>
      <c r="P3357" s="3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8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">
        <f t="shared" si="260"/>
        <v>101</v>
      </c>
      <c r="P3358" s="3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8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">
        <f t="shared" si="260"/>
        <v>101</v>
      </c>
      <c r="P3359" s="3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8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">
        <f t="shared" si="260"/>
        <v>103</v>
      </c>
      <c r="P3360" s="3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8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">
        <f t="shared" si="260"/>
        <v>106</v>
      </c>
      <c r="P3361" s="3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8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">
        <f t="shared" si="260"/>
        <v>101</v>
      </c>
      <c r="P3362" s="3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8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">
        <f t="shared" si="260"/>
        <v>113</v>
      </c>
      <c r="P3363" s="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8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">
        <f t="shared" si="260"/>
        <v>218</v>
      </c>
      <c r="P3364" s="3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8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">
        <f t="shared" si="260"/>
        <v>101</v>
      </c>
      <c r="P3365" s="3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8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">
        <f t="shared" si="260"/>
        <v>106</v>
      </c>
      <c r="P3366" s="3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8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">
        <f t="shared" si="260"/>
        <v>104</v>
      </c>
      <c r="P3367" s="3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8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">
        <f t="shared" si="260"/>
        <v>221</v>
      </c>
      <c r="P3368" s="3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8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">
        <f t="shared" si="260"/>
        <v>119</v>
      </c>
      <c r="P3369" s="3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8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">
        <f t="shared" si="260"/>
        <v>105</v>
      </c>
      <c r="P3370" s="3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8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">
        <f t="shared" si="260"/>
        <v>104</v>
      </c>
      <c r="P3371" s="3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8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">
        <f t="shared" si="260"/>
        <v>118</v>
      </c>
      <c r="P3372" s="3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8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">
        <f t="shared" si="260"/>
        <v>139</v>
      </c>
      <c r="P3373" s="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8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">
        <f t="shared" si="260"/>
        <v>104</v>
      </c>
      <c r="P3374" s="3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8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">
        <f t="shared" si="260"/>
        <v>100</v>
      </c>
      <c r="P3375" s="3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8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">
        <f t="shared" si="260"/>
        <v>107</v>
      </c>
      <c r="P3376" s="3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8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">
        <f t="shared" si="260"/>
        <v>100</v>
      </c>
      <c r="P3377" s="3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8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">
        <f t="shared" si="260"/>
        <v>100</v>
      </c>
      <c r="P3378" s="3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8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">
        <f t="shared" si="260"/>
        <v>101</v>
      </c>
      <c r="P3379" s="3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8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">
        <f t="shared" si="260"/>
        <v>108</v>
      </c>
      <c r="P3380" s="3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8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">
        <f t="shared" si="260"/>
        <v>104</v>
      </c>
      <c r="P3381" s="3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8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">
        <f t="shared" si="260"/>
        <v>104</v>
      </c>
      <c r="P3382" s="3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8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">
        <f t="shared" si="260"/>
        <v>102</v>
      </c>
      <c r="P3383" s="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8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">
        <f t="shared" si="260"/>
        <v>101</v>
      </c>
      <c r="P3384" s="3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8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">
        <f t="shared" si="260"/>
        <v>112</v>
      </c>
      <c r="P3385" s="3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8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">
        <f t="shared" si="260"/>
        <v>100</v>
      </c>
      <c r="P3386" s="3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8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">
        <f t="shared" si="260"/>
        <v>100</v>
      </c>
      <c r="P3387" s="3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8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">
        <f t="shared" si="260"/>
        <v>105</v>
      </c>
      <c r="P3388" s="3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8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">
        <f t="shared" si="260"/>
        <v>117</v>
      </c>
      <c r="P3389" s="3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8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">
        <f t="shared" si="260"/>
        <v>104</v>
      </c>
      <c r="P3390" s="3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8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">
        <f t="shared" si="260"/>
        <v>115</v>
      </c>
      <c r="P3391" s="3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8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">
        <f t="shared" si="260"/>
        <v>102</v>
      </c>
      <c r="P3392" s="3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8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">
        <f t="shared" si="260"/>
        <v>223</v>
      </c>
      <c r="P3393" s="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8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">
        <f t="shared" ref="O3394:O3457" si="265">IFERROR(ROUND(E3394/D3394*100, 0),0)</f>
        <v>100</v>
      </c>
      <c r="P3394" s="3">
        <f t="shared" ref="P3394:P3457" si="266">IFERROR(ROUND(E3394/L3394, 2), 0)</f>
        <v>41.67</v>
      </c>
      <c r="Q3394" s="11" t="s">
        <v>8315</v>
      </c>
      <c r="R3394" t="s">
        <v>8316</v>
      </c>
      <c r="S3394" s="16">
        <f t="shared" ref="S3394:S3457" si="267">(((J3394/60)/60)/24)+DATE(1970, 1, 1)</f>
        <v>42446.845543981486</v>
      </c>
      <c r="T3394" s="16">
        <f t="shared" ref="T3394:T3457" si="268">(((I3394/60)/60)/24)+DATE(1970, 1, 1)</f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8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">
        <f t="shared" si="265"/>
        <v>106</v>
      </c>
      <c r="P3395" s="3">
        <f t="shared" si="266"/>
        <v>36.07</v>
      </c>
      <c r="Q3395" s="11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8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">
        <f t="shared" si="265"/>
        <v>142</v>
      </c>
      <c r="P3396" s="3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8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">
        <f t="shared" si="265"/>
        <v>184</v>
      </c>
      <c r="P3397" s="3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8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">
        <f t="shared" si="265"/>
        <v>104</v>
      </c>
      <c r="P3398" s="3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8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">
        <f t="shared" si="265"/>
        <v>112</v>
      </c>
      <c r="P3399" s="3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8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">
        <f t="shared" si="265"/>
        <v>111</v>
      </c>
      <c r="P3400" s="3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8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">
        <f t="shared" si="265"/>
        <v>104</v>
      </c>
      <c r="P3401" s="3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8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">
        <f t="shared" si="265"/>
        <v>100</v>
      </c>
      <c r="P3402" s="3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8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">
        <f t="shared" si="265"/>
        <v>102</v>
      </c>
      <c r="P3403" s="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8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">
        <f t="shared" si="265"/>
        <v>110</v>
      </c>
      <c r="P3404" s="3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8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">
        <f t="shared" si="265"/>
        <v>100</v>
      </c>
      <c r="P3405" s="3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8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">
        <f t="shared" si="265"/>
        <v>122</v>
      </c>
      <c r="P3406" s="3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8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">
        <f t="shared" si="265"/>
        <v>138</v>
      </c>
      <c r="P3407" s="3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8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">
        <f t="shared" si="265"/>
        <v>100</v>
      </c>
      <c r="P3408" s="3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8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">
        <f t="shared" si="265"/>
        <v>107</v>
      </c>
      <c r="P3409" s="3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8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">
        <f t="shared" si="265"/>
        <v>211</v>
      </c>
      <c r="P3410" s="3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8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">
        <f t="shared" si="265"/>
        <v>124</v>
      </c>
      <c r="P3411" s="3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8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">
        <f t="shared" si="265"/>
        <v>109</v>
      </c>
      <c r="P3412" s="3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8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">
        <f t="shared" si="265"/>
        <v>104</v>
      </c>
      <c r="P3413" s="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8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">
        <f t="shared" si="265"/>
        <v>100</v>
      </c>
      <c r="P3414" s="3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8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">
        <f t="shared" si="265"/>
        <v>130</v>
      </c>
      <c r="P3415" s="3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8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">
        <f t="shared" si="265"/>
        <v>104</v>
      </c>
      <c r="P3416" s="3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8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">
        <f t="shared" si="265"/>
        <v>100</v>
      </c>
      <c r="P3417" s="3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8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">
        <f t="shared" si="265"/>
        <v>120</v>
      </c>
      <c r="P3418" s="3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8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">
        <f t="shared" si="265"/>
        <v>100</v>
      </c>
      <c r="P3419" s="3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8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">
        <f t="shared" si="265"/>
        <v>101</v>
      </c>
      <c r="P3420" s="3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8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">
        <f t="shared" si="265"/>
        <v>107</v>
      </c>
      <c r="P3421" s="3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8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">
        <f t="shared" si="265"/>
        <v>138</v>
      </c>
      <c r="P3422" s="3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8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">
        <f t="shared" si="265"/>
        <v>101</v>
      </c>
      <c r="P3423" s="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8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">
        <f t="shared" si="265"/>
        <v>109</v>
      </c>
      <c r="P3424" s="3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8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">
        <f t="shared" si="265"/>
        <v>140</v>
      </c>
      <c r="P3425" s="3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8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">
        <f t="shared" si="265"/>
        <v>104</v>
      </c>
      <c r="P3426" s="3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8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">
        <f t="shared" si="265"/>
        <v>103</v>
      </c>
      <c r="P3427" s="3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8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">
        <f t="shared" si="265"/>
        <v>108</v>
      </c>
      <c r="P3428" s="3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8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">
        <f t="shared" si="265"/>
        <v>100</v>
      </c>
      <c r="P3429" s="3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8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">
        <f t="shared" si="265"/>
        <v>103</v>
      </c>
      <c r="P3430" s="3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8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">
        <f t="shared" si="265"/>
        <v>130</v>
      </c>
      <c r="P3431" s="3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8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">
        <f t="shared" si="265"/>
        <v>109</v>
      </c>
      <c r="P3432" s="3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8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">
        <f t="shared" si="265"/>
        <v>100</v>
      </c>
      <c r="P3433" s="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8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">
        <f t="shared" si="265"/>
        <v>110</v>
      </c>
      <c r="P3434" s="3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8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">
        <f t="shared" si="265"/>
        <v>100</v>
      </c>
      <c r="P3435" s="3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8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">
        <f t="shared" si="265"/>
        <v>106</v>
      </c>
      <c r="P3436" s="3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8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">
        <f t="shared" si="265"/>
        <v>112</v>
      </c>
      <c r="P3437" s="3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8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">
        <f t="shared" si="265"/>
        <v>106</v>
      </c>
      <c r="P3438" s="3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8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">
        <f t="shared" si="265"/>
        <v>101</v>
      </c>
      <c r="P3439" s="3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8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">
        <f t="shared" si="265"/>
        <v>104</v>
      </c>
      <c r="P3440" s="3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8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">
        <f t="shared" si="265"/>
        <v>135</v>
      </c>
      <c r="P3441" s="3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8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">
        <f t="shared" si="265"/>
        <v>105</v>
      </c>
      <c r="P3442" s="3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8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">
        <f t="shared" si="265"/>
        <v>103</v>
      </c>
      <c r="P3443" s="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8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">
        <f t="shared" si="265"/>
        <v>100</v>
      </c>
      <c r="P3444" s="3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8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">
        <f t="shared" si="265"/>
        <v>186</v>
      </c>
      <c r="P3445" s="3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8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">
        <f t="shared" si="265"/>
        <v>289</v>
      </c>
      <c r="P3446" s="3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8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">
        <f t="shared" si="265"/>
        <v>100</v>
      </c>
      <c r="P3447" s="3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8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">
        <f t="shared" si="265"/>
        <v>108</v>
      </c>
      <c r="P3448" s="3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8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">
        <f t="shared" si="265"/>
        <v>108</v>
      </c>
      <c r="P3449" s="3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8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">
        <f t="shared" si="265"/>
        <v>110</v>
      </c>
      <c r="P3450" s="3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8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">
        <f t="shared" si="265"/>
        <v>171</v>
      </c>
      <c r="P3451" s="3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8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">
        <f t="shared" si="265"/>
        <v>152</v>
      </c>
      <c r="P3452" s="3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8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">
        <f t="shared" si="265"/>
        <v>101</v>
      </c>
      <c r="P3453" s="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8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">
        <f t="shared" si="265"/>
        <v>153</v>
      </c>
      <c r="P3454" s="3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8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">
        <f t="shared" si="265"/>
        <v>128</v>
      </c>
      <c r="P3455" s="3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8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">
        <f t="shared" si="265"/>
        <v>101</v>
      </c>
      <c r="P3456" s="3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8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">
        <f t="shared" si="265"/>
        <v>101</v>
      </c>
      <c r="P3457" s="3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8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">
        <f t="shared" ref="O3458:O3521" si="270">IFERROR(ROUND(E3458/D3458*100, 0),0)</f>
        <v>191</v>
      </c>
      <c r="P3458" s="3">
        <f t="shared" ref="P3458:P3521" si="271">IFERROR(ROUND(E3458/L3458, 2), 0)</f>
        <v>358.69</v>
      </c>
      <c r="Q3458" s="11" t="s">
        <v>8315</v>
      </c>
      <c r="R3458" t="s">
        <v>8316</v>
      </c>
      <c r="S3458" s="16">
        <f t="shared" ref="S3458:S3521" si="272">(((J3458/60)/60)/24)+DATE(1970, 1, 1)</f>
        <v>41821.205636574072</v>
      </c>
      <c r="T3458" s="16">
        <f t="shared" ref="T3458:T3521" si="273">(((I3458/60)/60)/24)+DATE(1970, 1, 1)</f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8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">
        <f t="shared" si="270"/>
        <v>140</v>
      </c>
      <c r="P3459" s="3">
        <f t="shared" si="271"/>
        <v>50.98</v>
      </c>
      <c r="Q3459" s="11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8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">
        <f t="shared" si="270"/>
        <v>124</v>
      </c>
      <c r="P3460" s="3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8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">
        <f t="shared" si="270"/>
        <v>126</v>
      </c>
      <c r="P3461" s="3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8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">
        <f t="shared" si="270"/>
        <v>190</v>
      </c>
      <c r="P3462" s="3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8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">
        <f t="shared" si="270"/>
        <v>139</v>
      </c>
      <c r="P3463" s="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8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">
        <f t="shared" si="270"/>
        <v>202</v>
      </c>
      <c r="P3464" s="3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8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">
        <f t="shared" si="270"/>
        <v>103</v>
      </c>
      <c r="P3465" s="3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8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">
        <f t="shared" si="270"/>
        <v>102</v>
      </c>
      <c r="P3466" s="3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8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">
        <f t="shared" si="270"/>
        <v>103</v>
      </c>
      <c r="P3467" s="3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8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">
        <f t="shared" si="270"/>
        <v>127</v>
      </c>
      <c r="P3468" s="3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8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">
        <f t="shared" si="270"/>
        <v>101</v>
      </c>
      <c r="P3469" s="3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8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">
        <f t="shared" si="270"/>
        <v>122</v>
      </c>
      <c r="P3470" s="3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8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">
        <f t="shared" si="270"/>
        <v>113</v>
      </c>
      <c r="P3471" s="3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8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">
        <f t="shared" si="270"/>
        <v>150</v>
      </c>
      <c r="P3472" s="3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8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">
        <f t="shared" si="270"/>
        <v>215</v>
      </c>
      <c r="P3473" s="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8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">
        <f t="shared" si="270"/>
        <v>102</v>
      </c>
      <c r="P3474" s="3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8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">
        <f t="shared" si="270"/>
        <v>100</v>
      </c>
      <c r="P3475" s="3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8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">
        <f t="shared" si="270"/>
        <v>101</v>
      </c>
      <c r="P3476" s="3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8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">
        <f t="shared" si="270"/>
        <v>113</v>
      </c>
      <c r="P3477" s="3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8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">
        <f t="shared" si="270"/>
        <v>104</v>
      </c>
      <c r="P3478" s="3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8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">
        <f t="shared" si="270"/>
        <v>115</v>
      </c>
      <c r="P3479" s="3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8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">
        <f t="shared" si="270"/>
        <v>113</v>
      </c>
      <c r="P3480" s="3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8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">
        <f t="shared" si="270"/>
        <v>128</v>
      </c>
      <c r="P3481" s="3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8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">
        <f t="shared" si="270"/>
        <v>143</v>
      </c>
      <c r="P3482" s="3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8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">
        <f t="shared" si="270"/>
        <v>119</v>
      </c>
      <c r="P3483" s="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8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">
        <f t="shared" si="270"/>
        <v>138</v>
      </c>
      <c r="P3484" s="3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8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">
        <f t="shared" si="270"/>
        <v>160</v>
      </c>
      <c r="P3485" s="3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8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">
        <f t="shared" si="270"/>
        <v>114</v>
      </c>
      <c r="P3486" s="3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8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">
        <f t="shared" si="270"/>
        <v>101</v>
      </c>
      <c r="P3487" s="3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8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">
        <f t="shared" si="270"/>
        <v>155</v>
      </c>
      <c r="P3488" s="3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8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">
        <f t="shared" si="270"/>
        <v>128</v>
      </c>
      <c r="P3489" s="3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8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">
        <f t="shared" si="270"/>
        <v>121</v>
      </c>
      <c r="P3490" s="3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8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">
        <f t="shared" si="270"/>
        <v>113</v>
      </c>
      <c r="P3491" s="3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8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">
        <f t="shared" si="270"/>
        <v>128</v>
      </c>
      <c r="P3492" s="3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8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">
        <f t="shared" si="270"/>
        <v>158</v>
      </c>
      <c r="P3493" s="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8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">
        <f t="shared" si="270"/>
        <v>105</v>
      </c>
      <c r="P3494" s="3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8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">
        <f t="shared" si="270"/>
        <v>100</v>
      </c>
      <c r="P3495" s="3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8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">
        <f t="shared" si="270"/>
        <v>100</v>
      </c>
      <c r="P3496" s="3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8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">
        <f t="shared" si="270"/>
        <v>107</v>
      </c>
      <c r="P3497" s="3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8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">
        <f t="shared" si="270"/>
        <v>124</v>
      </c>
      <c r="P3498" s="3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8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">
        <f t="shared" si="270"/>
        <v>109</v>
      </c>
      <c r="P3499" s="3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8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">
        <f t="shared" si="270"/>
        <v>102</v>
      </c>
      <c r="P3500" s="3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8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">
        <f t="shared" si="270"/>
        <v>106</v>
      </c>
      <c r="P3501" s="3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8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">
        <f t="shared" si="270"/>
        <v>106</v>
      </c>
      <c r="P3502" s="3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8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">
        <f t="shared" si="270"/>
        <v>101</v>
      </c>
      <c r="P3503" s="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8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">
        <f t="shared" si="270"/>
        <v>105</v>
      </c>
      <c r="P3504" s="3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8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">
        <f t="shared" si="270"/>
        <v>108</v>
      </c>
      <c r="P3505" s="3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8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">
        <f t="shared" si="270"/>
        <v>100</v>
      </c>
      <c r="P3506" s="3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8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">
        <f t="shared" si="270"/>
        <v>104</v>
      </c>
      <c r="P3507" s="3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8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">
        <f t="shared" si="270"/>
        <v>102</v>
      </c>
      <c r="P3508" s="3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8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">
        <f t="shared" si="270"/>
        <v>104</v>
      </c>
      <c r="P3509" s="3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8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">
        <f t="shared" si="270"/>
        <v>180</v>
      </c>
      <c r="P3510" s="3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8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">
        <f t="shared" si="270"/>
        <v>106</v>
      </c>
      <c r="P3511" s="3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8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">
        <f t="shared" si="270"/>
        <v>101</v>
      </c>
      <c r="P3512" s="3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8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">
        <f t="shared" si="270"/>
        <v>101</v>
      </c>
      <c r="P3513" s="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8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">
        <f t="shared" si="270"/>
        <v>100</v>
      </c>
      <c r="P3514" s="3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8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">
        <f t="shared" si="270"/>
        <v>118</v>
      </c>
      <c r="P3515" s="3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8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">
        <f t="shared" si="270"/>
        <v>110</v>
      </c>
      <c r="P3516" s="3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8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">
        <f t="shared" si="270"/>
        <v>103</v>
      </c>
      <c r="P3517" s="3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8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">
        <f t="shared" si="270"/>
        <v>100</v>
      </c>
      <c r="P3518" s="3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8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">
        <f t="shared" si="270"/>
        <v>100</v>
      </c>
      <c r="P3519" s="3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8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">
        <f t="shared" si="270"/>
        <v>110</v>
      </c>
      <c r="P3520" s="3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8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">
        <f t="shared" si="270"/>
        <v>101</v>
      </c>
      <c r="P3521" s="3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8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">
        <f t="shared" ref="O3522:O3585" si="275">IFERROR(ROUND(E3522/D3522*100, 0),0)</f>
        <v>101</v>
      </c>
      <c r="P3522" s="3">
        <f t="shared" ref="P3522:P3585" si="276">IFERROR(ROUND(E3522/L3522, 2), 0)</f>
        <v>95.95</v>
      </c>
      <c r="Q3522" s="11" t="s">
        <v>8315</v>
      </c>
      <c r="R3522" t="s">
        <v>8316</v>
      </c>
      <c r="S3522" s="16">
        <f t="shared" ref="S3522:S3585" si="277">(((J3522/60)/60)/24)+DATE(1970, 1, 1)</f>
        <v>42227.824212962965</v>
      </c>
      <c r="T3522" s="16">
        <f t="shared" ref="T3522:T3585" si="278">(((I3522/60)/60)/24)+DATE(1970, 1, 1)</f>
        <v>42253.57430555555</v>
      </c>
      <c r="U3522">
        <f t="shared" ref="U3522:U3585" si="279">YEAR(S3522)</f>
        <v>2015</v>
      </c>
    </row>
    <row r="3523" spans="1:21" ht="43.2" x14ac:dyDescent="0.3">
      <c r="A3523">
        <v>3521</v>
      </c>
      <c r="B3523" s="8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">
        <f t="shared" si="275"/>
        <v>169</v>
      </c>
      <c r="P3523" s="3">
        <f t="shared" si="276"/>
        <v>45.62</v>
      </c>
      <c r="Q3523" s="11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8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">
        <f t="shared" si="275"/>
        <v>100</v>
      </c>
      <c r="P3524" s="3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8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">
        <f t="shared" si="275"/>
        <v>114</v>
      </c>
      <c r="P3525" s="3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8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">
        <f t="shared" si="275"/>
        <v>102</v>
      </c>
      <c r="P3526" s="3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8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">
        <f t="shared" si="275"/>
        <v>106</v>
      </c>
      <c r="P3527" s="3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8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">
        <f t="shared" si="275"/>
        <v>102</v>
      </c>
      <c r="P3528" s="3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8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">
        <f t="shared" si="275"/>
        <v>117</v>
      </c>
      <c r="P3529" s="3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8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">
        <f t="shared" si="275"/>
        <v>101</v>
      </c>
      <c r="P3530" s="3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8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">
        <f t="shared" si="275"/>
        <v>132</v>
      </c>
      <c r="P3531" s="3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8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">
        <f t="shared" si="275"/>
        <v>100</v>
      </c>
      <c r="P3532" s="3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8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">
        <f t="shared" si="275"/>
        <v>128</v>
      </c>
      <c r="P3533" s="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8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">
        <f t="shared" si="275"/>
        <v>119</v>
      </c>
      <c r="P3534" s="3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8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">
        <f t="shared" si="275"/>
        <v>126</v>
      </c>
      <c r="P3535" s="3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8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">
        <f t="shared" si="275"/>
        <v>156</v>
      </c>
      <c r="P3536" s="3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8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">
        <f t="shared" si="275"/>
        <v>103</v>
      </c>
      <c r="P3537" s="3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8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">
        <f t="shared" si="275"/>
        <v>153</v>
      </c>
      <c r="P3538" s="3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8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">
        <f t="shared" si="275"/>
        <v>180</v>
      </c>
      <c r="P3539" s="3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8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">
        <f t="shared" si="275"/>
        <v>128</v>
      </c>
      <c r="P3540" s="3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8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">
        <f t="shared" si="275"/>
        <v>120</v>
      </c>
      <c r="P3541" s="3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8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">
        <f t="shared" si="275"/>
        <v>123</v>
      </c>
      <c r="P3542" s="3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8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">
        <f t="shared" si="275"/>
        <v>105</v>
      </c>
      <c r="P3543" s="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8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">
        <f t="shared" si="275"/>
        <v>102</v>
      </c>
      <c r="P3544" s="3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8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">
        <f t="shared" si="275"/>
        <v>105</v>
      </c>
      <c r="P3545" s="3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8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">
        <f t="shared" si="275"/>
        <v>100</v>
      </c>
      <c r="P3546" s="3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8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">
        <f t="shared" si="275"/>
        <v>100</v>
      </c>
      <c r="P3547" s="3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8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">
        <f t="shared" si="275"/>
        <v>102</v>
      </c>
      <c r="P3548" s="3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8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">
        <f t="shared" si="275"/>
        <v>114</v>
      </c>
      <c r="P3549" s="3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8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">
        <f t="shared" si="275"/>
        <v>102</v>
      </c>
      <c r="P3550" s="3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8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">
        <f t="shared" si="275"/>
        <v>102</v>
      </c>
      <c r="P3551" s="3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8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">
        <f t="shared" si="275"/>
        <v>105</v>
      </c>
      <c r="P3552" s="3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8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">
        <f t="shared" si="275"/>
        <v>102</v>
      </c>
      <c r="P3553" s="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8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">
        <f t="shared" si="275"/>
        <v>100</v>
      </c>
      <c r="P3554" s="3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8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">
        <f t="shared" si="275"/>
        <v>106</v>
      </c>
      <c r="P3555" s="3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8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">
        <f t="shared" si="275"/>
        <v>113</v>
      </c>
      <c r="P3556" s="3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8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">
        <f t="shared" si="275"/>
        <v>100</v>
      </c>
      <c r="P3557" s="3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8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">
        <f t="shared" si="275"/>
        <v>100</v>
      </c>
      <c r="P3558" s="3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8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">
        <f t="shared" si="275"/>
        <v>100</v>
      </c>
      <c r="P3559" s="3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8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">
        <f t="shared" si="275"/>
        <v>144</v>
      </c>
      <c r="P3560" s="3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8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">
        <f t="shared" si="275"/>
        <v>104</v>
      </c>
      <c r="P3561" s="3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8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">
        <f t="shared" si="275"/>
        <v>108</v>
      </c>
      <c r="P3562" s="3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8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">
        <f t="shared" si="275"/>
        <v>102</v>
      </c>
      <c r="P3563" s="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8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">
        <f t="shared" si="275"/>
        <v>149</v>
      </c>
      <c r="P3564" s="3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8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">
        <f t="shared" si="275"/>
        <v>105</v>
      </c>
      <c r="P3565" s="3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8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">
        <f t="shared" si="275"/>
        <v>101</v>
      </c>
      <c r="P3566" s="3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8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">
        <f t="shared" si="275"/>
        <v>131</v>
      </c>
      <c r="P3567" s="3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8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">
        <f t="shared" si="275"/>
        <v>105</v>
      </c>
      <c r="P3568" s="3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8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">
        <f t="shared" si="275"/>
        <v>109</v>
      </c>
      <c r="P3569" s="3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8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">
        <f t="shared" si="275"/>
        <v>111</v>
      </c>
      <c r="P3570" s="3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8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">
        <f t="shared" si="275"/>
        <v>100</v>
      </c>
      <c r="P3571" s="3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8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">
        <f t="shared" si="275"/>
        <v>114</v>
      </c>
      <c r="P3572" s="3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8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">
        <f t="shared" si="275"/>
        <v>122</v>
      </c>
      <c r="P3573" s="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8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">
        <f t="shared" si="275"/>
        <v>100</v>
      </c>
      <c r="P3574" s="3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8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">
        <f t="shared" si="275"/>
        <v>103</v>
      </c>
      <c r="P3575" s="3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8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">
        <f t="shared" si="275"/>
        <v>106</v>
      </c>
      <c r="P3576" s="3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8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">
        <f t="shared" si="275"/>
        <v>101</v>
      </c>
      <c r="P3577" s="3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8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">
        <f t="shared" si="275"/>
        <v>100</v>
      </c>
      <c r="P3578" s="3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8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">
        <f t="shared" si="275"/>
        <v>130</v>
      </c>
      <c r="P3579" s="3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8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">
        <f t="shared" si="275"/>
        <v>100</v>
      </c>
      <c r="P3580" s="3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8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">
        <f t="shared" si="275"/>
        <v>100</v>
      </c>
      <c r="P3581" s="3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8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">
        <f t="shared" si="275"/>
        <v>114</v>
      </c>
      <c r="P3582" s="3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8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">
        <f t="shared" si="275"/>
        <v>100</v>
      </c>
      <c r="P3583" s="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8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">
        <f t="shared" si="275"/>
        <v>287</v>
      </c>
      <c r="P3584" s="3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8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">
        <f t="shared" si="275"/>
        <v>109</v>
      </c>
      <c r="P3585" s="3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8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">
        <f t="shared" ref="O3586:O3649" si="280">IFERROR(ROUND(E3586/D3586*100, 0),0)</f>
        <v>116</v>
      </c>
      <c r="P3586" s="3">
        <f t="shared" ref="P3586:P3649" si="281">IFERROR(ROUND(E3586/L3586, 2), 0)</f>
        <v>30.94</v>
      </c>
      <c r="Q3586" s="11" t="s">
        <v>8315</v>
      </c>
      <c r="R3586" t="s">
        <v>8316</v>
      </c>
      <c r="S3586" s="16">
        <f t="shared" ref="S3586:S3649" si="282">(((J3586/60)/60)/24)+DATE(1970, 1, 1)</f>
        <v>42168.316481481481</v>
      </c>
      <c r="T3586" s="16">
        <f t="shared" ref="T3586:T3649" si="283">(((I3586/60)/60)/24)+DATE(1970, 1, 1)</f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8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">
        <f t="shared" si="280"/>
        <v>119</v>
      </c>
      <c r="P3587" s="3">
        <f t="shared" si="281"/>
        <v>176.09</v>
      </c>
      <c r="Q3587" s="11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8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">
        <f t="shared" si="280"/>
        <v>109</v>
      </c>
      <c r="P3588" s="3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8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">
        <f t="shared" si="280"/>
        <v>127</v>
      </c>
      <c r="P3589" s="3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8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">
        <f t="shared" si="280"/>
        <v>101</v>
      </c>
      <c r="P3590" s="3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8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">
        <f t="shared" si="280"/>
        <v>128</v>
      </c>
      <c r="P3591" s="3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8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">
        <f t="shared" si="280"/>
        <v>100</v>
      </c>
      <c r="P3592" s="3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8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">
        <f t="shared" si="280"/>
        <v>175</v>
      </c>
      <c r="P3593" s="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8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">
        <f t="shared" si="280"/>
        <v>127</v>
      </c>
      <c r="P3594" s="3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8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">
        <f t="shared" si="280"/>
        <v>111</v>
      </c>
      <c r="P3595" s="3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8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">
        <f t="shared" si="280"/>
        <v>126</v>
      </c>
      <c r="P3596" s="3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8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">
        <f t="shared" si="280"/>
        <v>119</v>
      </c>
      <c r="P3597" s="3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8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">
        <f t="shared" si="280"/>
        <v>108</v>
      </c>
      <c r="P3598" s="3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8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">
        <f t="shared" si="280"/>
        <v>103</v>
      </c>
      <c r="P3599" s="3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8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">
        <f t="shared" si="280"/>
        <v>110</v>
      </c>
      <c r="P3600" s="3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8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">
        <f t="shared" si="280"/>
        <v>202</v>
      </c>
      <c r="P3601" s="3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8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">
        <f t="shared" si="280"/>
        <v>130</v>
      </c>
      <c r="P3602" s="3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8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">
        <f t="shared" si="280"/>
        <v>104</v>
      </c>
      <c r="P3603" s="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8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">
        <f t="shared" si="280"/>
        <v>100</v>
      </c>
      <c r="P3604" s="3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8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">
        <f t="shared" si="280"/>
        <v>171</v>
      </c>
      <c r="P3605" s="3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8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">
        <f t="shared" si="280"/>
        <v>113</v>
      </c>
      <c r="P3606" s="3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8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">
        <f t="shared" si="280"/>
        <v>184</v>
      </c>
      <c r="P3607" s="3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8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">
        <f t="shared" si="280"/>
        <v>130</v>
      </c>
      <c r="P3608" s="3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8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">
        <f t="shared" si="280"/>
        <v>105</v>
      </c>
      <c r="P3609" s="3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8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">
        <f t="shared" si="280"/>
        <v>100</v>
      </c>
      <c r="P3610" s="3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8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">
        <f t="shared" si="280"/>
        <v>153</v>
      </c>
      <c r="P3611" s="3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8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">
        <f t="shared" si="280"/>
        <v>162</v>
      </c>
      <c r="P3612" s="3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8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">
        <f t="shared" si="280"/>
        <v>136</v>
      </c>
      <c r="P3613" s="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8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">
        <f t="shared" si="280"/>
        <v>144</v>
      </c>
      <c r="P3614" s="3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8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">
        <f t="shared" si="280"/>
        <v>100</v>
      </c>
      <c r="P3615" s="3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8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">
        <f t="shared" si="280"/>
        <v>101</v>
      </c>
      <c r="P3616" s="3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8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">
        <f t="shared" si="280"/>
        <v>107</v>
      </c>
      <c r="P3617" s="3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8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">
        <f t="shared" si="280"/>
        <v>125</v>
      </c>
      <c r="P3618" s="3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8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">
        <f t="shared" si="280"/>
        <v>119</v>
      </c>
      <c r="P3619" s="3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8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">
        <f t="shared" si="280"/>
        <v>101</v>
      </c>
      <c r="P3620" s="3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8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">
        <f t="shared" si="280"/>
        <v>113</v>
      </c>
      <c r="P3621" s="3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8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">
        <f t="shared" si="280"/>
        <v>105</v>
      </c>
      <c r="P3622" s="3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8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">
        <f t="shared" si="280"/>
        <v>110</v>
      </c>
      <c r="P3623" s="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8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">
        <f t="shared" si="280"/>
        <v>100</v>
      </c>
      <c r="P3624" s="3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8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">
        <f t="shared" si="280"/>
        <v>120</v>
      </c>
      <c r="P3625" s="3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8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">
        <f t="shared" si="280"/>
        <v>105</v>
      </c>
      <c r="P3626" s="3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8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">
        <f t="shared" si="280"/>
        <v>103</v>
      </c>
      <c r="P3627" s="3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8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">
        <f t="shared" si="280"/>
        <v>102</v>
      </c>
      <c r="P3628" s="3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8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">
        <f t="shared" si="280"/>
        <v>100</v>
      </c>
      <c r="P3629" s="3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8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8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8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8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8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8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8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8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8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8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8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8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8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8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8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8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8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8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8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8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8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">
        <f t="shared" ref="O3650:O3713" si="285">IFERROR(ROUND(E3650/D3650*100, 0),0)</f>
        <v>100</v>
      </c>
      <c r="P3650" s="3">
        <f t="shared" ref="P3650:P3713" si="286">IFERROR(ROUND(E3650/L3650, 2), 0)</f>
        <v>550.04</v>
      </c>
      <c r="Q3650" s="11" t="s">
        <v>8315</v>
      </c>
      <c r="R3650" t="s">
        <v>8316</v>
      </c>
      <c r="S3650" s="16">
        <f t="shared" ref="S3650:S3713" si="287">(((J3650/60)/60)/24)+DATE(1970, 1, 1)</f>
        <v>41887.292187500003</v>
      </c>
      <c r="T3650" s="16">
        <f t="shared" ref="T3650:T3713" si="288">(((I3650/60)/60)/24)+DATE(1970, 1, 1)</f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8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">
        <f t="shared" si="285"/>
        <v>104</v>
      </c>
      <c r="P3651" s="3">
        <f t="shared" si="286"/>
        <v>97.5</v>
      </c>
      <c r="Q3651" s="11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8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">
        <f t="shared" si="285"/>
        <v>100</v>
      </c>
      <c r="P3652" s="3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8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">
        <f t="shared" si="285"/>
        <v>104</v>
      </c>
      <c r="P3653" s="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8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">
        <f t="shared" si="285"/>
        <v>251</v>
      </c>
      <c r="P3654" s="3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8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">
        <f t="shared" si="285"/>
        <v>101</v>
      </c>
      <c r="P3655" s="3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8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">
        <f t="shared" si="285"/>
        <v>174</v>
      </c>
      <c r="P3656" s="3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8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">
        <f t="shared" si="285"/>
        <v>116</v>
      </c>
      <c r="P3657" s="3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8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">
        <f t="shared" si="285"/>
        <v>106</v>
      </c>
      <c r="P3658" s="3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8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">
        <f t="shared" si="285"/>
        <v>111</v>
      </c>
      <c r="P3659" s="3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8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">
        <f t="shared" si="285"/>
        <v>101</v>
      </c>
      <c r="P3660" s="3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8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">
        <f t="shared" si="285"/>
        <v>102</v>
      </c>
      <c r="P3661" s="3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8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">
        <f t="shared" si="285"/>
        <v>100</v>
      </c>
      <c r="P3662" s="3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8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">
        <f t="shared" si="285"/>
        <v>111</v>
      </c>
      <c r="P3663" s="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8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">
        <f t="shared" si="285"/>
        <v>101</v>
      </c>
      <c r="P3664" s="3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8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">
        <f t="shared" si="285"/>
        <v>104</v>
      </c>
      <c r="P3665" s="3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8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">
        <f t="shared" si="285"/>
        <v>109</v>
      </c>
      <c r="P3666" s="3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8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">
        <f t="shared" si="285"/>
        <v>115</v>
      </c>
      <c r="P3667" s="3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8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">
        <f t="shared" si="285"/>
        <v>100</v>
      </c>
      <c r="P3668" s="3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8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">
        <f t="shared" si="285"/>
        <v>103</v>
      </c>
      <c r="P3669" s="3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8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">
        <f t="shared" si="285"/>
        <v>104</v>
      </c>
      <c r="P3670" s="3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8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">
        <f t="shared" si="285"/>
        <v>138</v>
      </c>
      <c r="P3671" s="3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8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">
        <f t="shared" si="285"/>
        <v>110</v>
      </c>
      <c r="P3672" s="3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8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">
        <f t="shared" si="285"/>
        <v>101</v>
      </c>
      <c r="P3673" s="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8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">
        <f t="shared" si="285"/>
        <v>102</v>
      </c>
      <c r="P3674" s="3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8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">
        <f t="shared" si="285"/>
        <v>114</v>
      </c>
      <c r="P3675" s="3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8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">
        <f t="shared" si="285"/>
        <v>100</v>
      </c>
      <c r="P3676" s="3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8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">
        <f t="shared" si="285"/>
        <v>140</v>
      </c>
      <c r="P3677" s="3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8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">
        <f t="shared" si="285"/>
        <v>129</v>
      </c>
      <c r="P3678" s="3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8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">
        <f t="shared" si="285"/>
        <v>103</v>
      </c>
      <c r="P3679" s="3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8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">
        <f t="shared" si="285"/>
        <v>103</v>
      </c>
      <c r="P3680" s="3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8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">
        <f t="shared" si="285"/>
        <v>110</v>
      </c>
      <c r="P3681" s="3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8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">
        <f t="shared" si="285"/>
        <v>113</v>
      </c>
      <c r="P3682" s="3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8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">
        <f t="shared" si="285"/>
        <v>112</v>
      </c>
      <c r="P3683" s="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8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">
        <f t="shared" si="285"/>
        <v>139</v>
      </c>
      <c r="P3684" s="3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8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">
        <f t="shared" si="285"/>
        <v>111</v>
      </c>
      <c r="P3685" s="3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8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">
        <f t="shared" si="285"/>
        <v>139</v>
      </c>
      <c r="P3686" s="3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8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">
        <f t="shared" si="285"/>
        <v>106</v>
      </c>
      <c r="P3687" s="3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8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">
        <f t="shared" si="285"/>
        <v>101</v>
      </c>
      <c r="P3688" s="3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8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">
        <f t="shared" si="285"/>
        <v>100</v>
      </c>
      <c r="P3689" s="3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8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">
        <f t="shared" si="285"/>
        <v>109</v>
      </c>
      <c r="P3690" s="3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8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">
        <f t="shared" si="285"/>
        <v>118</v>
      </c>
      <c r="P3691" s="3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8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">
        <f t="shared" si="285"/>
        <v>120</v>
      </c>
      <c r="P3692" s="3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8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">
        <f t="shared" si="285"/>
        <v>128</v>
      </c>
      <c r="P3693" s="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8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">
        <f t="shared" si="285"/>
        <v>126</v>
      </c>
      <c r="P3694" s="3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8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">
        <f t="shared" si="285"/>
        <v>129</v>
      </c>
      <c r="P3695" s="3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8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">
        <f t="shared" si="285"/>
        <v>107</v>
      </c>
      <c r="P3696" s="3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8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">
        <f t="shared" si="285"/>
        <v>100</v>
      </c>
      <c r="P3697" s="3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8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">
        <f t="shared" si="285"/>
        <v>155</v>
      </c>
      <c r="P3698" s="3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8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">
        <f t="shared" si="285"/>
        <v>108</v>
      </c>
      <c r="P3699" s="3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8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">
        <f t="shared" si="285"/>
        <v>111</v>
      </c>
      <c r="P3700" s="3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8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">
        <f t="shared" si="285"/>
        <v>101</v>
      </c>
      <c r="P3701" s="3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8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">
        <f t="shared" si="285"/>
        <v>121</v>
      </c>
      <c r="P3702" s="3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8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">
        <f t="shared" si="285"/>
        <v>100</v>
      </c>
      <c r="P3703" s="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8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">
        <f t="shared" si="285"/>
        <v>109</v>
      </c>
      <c r="P3704" s="3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8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">
        <f t="shared" si="285"/>
        <v>123</v>
      </c>
      <c r="P3705" s="3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8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">
        <f t="shared" si="285"/>
        <v>136</v>
      </c>
      <c r="P3706" s="3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8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">
        <f t="shared" si="285"/>
        <v>103</v>
      </c>
      <c r="P3707" s="3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8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">
        <f t="shared" si="285"/>
        <v>121</v>
      </c>
      <c r="P3708" s="3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8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">
        <f t="shared" si="285"/>
        <v>186</v>
      </c>
      <c r="P3709" s="3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8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">
        <f t="shared" si="285"/>
        <v>300</v>
      </c>
      <c r="P3710" s="3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8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">
        <f t="shared" si="285"/>
        <v>108</v>
      </c>
      <c r="P3711" s="3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8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">
        <f t="shared" si="285"/>
        <v>141</v>
      </c>
      <c r="P3712" s="3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8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">
        <f t="shared" si="285"/>
        <v>114</v>
      </c>
      <c r="P3713" s="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8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">
        <f t="shared" ref="O3714:O3777" si="290">IFERROR(ROUND(E3714/D3714*100, 0),0)</f>
        <v>154</v>
      </c>
      <c r="P3714" s="3">
        <f t="shared" ref="P3714:P3777" si="291">IFERROR(ROUND(E3714/L3714, 2), 0)</f>
        <v>110.87</v>
      </c>
      <c r="Q3714" s="11" t="s">
        <v>8315</v>
      </c>
      <c r="R3714" t="s">
        <v>8316</v>
      </c>
      <c r="S3714" s="16">
        <f t="shared" ref="S3714:S3777" si="292">(((J3714/60)/60)/24)+DATE(1970, 1, 1)</f>
        <v>42134.172071759262</v>
      </c>
      <c r="T3714" s="16">
        <f t="shared" ref="T3714:T3777" si="293">(((I3714/60)/60)/24)+DATE(1970, 1, 1)</f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8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">
        <f t="shared" si="290"/>
        <v>102</v>
      </c>
      <c r="P3715" s="3">
        <f t="shared" si="291"/>
        <v>106.84</v>
      </c>
      <c r="Q3715" s="11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8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">
        <f t="shared" si="290"/>
        <v>102</v>
      </c>
      <c r="P3716" s="3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8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">
        <f t="shared" si="290"/>
        <v>103</v>
      </c>
      <c r="P3717" s="3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8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">
        <f t="shared" si="290"/>
        <v>156</v>
      </c>
      <c r="P3718" s="3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8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">
        <f t="shared" si="290"/>
        <v>101</v>
      </c>
      <c r="P3719" s="3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8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">
        <f t="shared" si="290"/>
        <v>239</v>
      </c>
      <c r="P3720" s="3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8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">
        <f t="shared" si="290"/>
        <v>210</v>
      </c>
      <c r="P3721" s="3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8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">
        <f t="shared" si="290"/>
        <v>105</v>
      </c>
      <c r="P3722" s="3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8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">
        <f t="shared" si="290"/>
        <v>101</v>
      </c>
      <c r="P3723" s="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8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">
        <f t="shared" si="290"/>
        <v>111</v>
      </c>
      <c r="P3724" s="3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8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">
        <f t="shared" si="290"/>
        <v>102</v>
      </c>
      <c r="P3725" s="3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8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">
        <f t="shared" si="290"/>
        <v>103</v>
      </c>
      <c r="P3726" s="3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8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">
        <f t="shared" si="290"/>
        <v>127</v>
      </c>
      <c r="P3727" s="3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8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">
        <f t="shared" si="290"/>
        <v>339</v>
      </c>
      <c r="P3728" s="3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8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">
        <f t="shared" si="290"/>
        <v>101</v>
      </c>
      <c r="P3729" s="3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8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">
        <f t="shared" si="290"/>
        <v>9</v>
      </c>
      <c r="P3730" s="3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8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">
        <f t="shared" si="290"/>
        <v>7</v>
      </c>
      <c r="P3731" s="3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8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">
        <f t="shared" si="290"/>
        <v>10</v>
      </c>
      <c r="P3732" s="3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8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">
        <f t="shared" si="290"/>
        <v>11</v>
      </c>
      <c r="P3733" s="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8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">
        <f t="shared" si="290"/>
        <v>15</v>
      </c>
      <c r="P3734" s="3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8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">
        <f t="shared" si="290"/>
        <v>0</v>
      </c>
      <c r="P3735" s="3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8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">
        <f t="shared" si="290"/>
        <v>28</v>
      </c>
      <c r="P3736" s="3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8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">
        <f t="shared" si="290"/>
        <v>13</v>
      </c>
      <c r="P3737" s="3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8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">
        <f t="shared" si="290"/>
        <v>1</v>
      </c>
      <c r="P3738" s="3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8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">
        <f t="shared" si="290"/>
        <v>21</v>
      </c>
      <c r="P3739" s="3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8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">
        <f t="shared" si="290"/>
        <v>18</v>
      </c>
      <c r="P3740" s="3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8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">
        <f t="shared" si="290"/>
        <v>20</v>
      </c>
      <c r="P3741" s="3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8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">
        <f t="shared" si="290"/>
        <v>18</v>
      </c>
      <c r="P3742" s="3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8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">
        <f t="shared" si="290"/>
        <v>0</v>
      </c>
      <c r="P3743" s="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8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">
        <f t="shared" si="290"/>
        <v>2</v>
      </c>
      <c r="P3744" s="3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8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">
        <f t="shared" si="290"/>
        <v>0</v>
      </c>
      <c r="P3745" s="3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8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">
        <f t="shared" si="290"/>
        <v>0</v>
      </c>
      <c r="P3746" s="3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8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">
        <f t="shared" si="290"/>
        <v>10</v>
      </c>
      <c r="P3747" s="3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8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">
        <f t="shared" si="290"/>
        <v>2</v>
      </c>
      <c r="P3748" s="3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8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">
        <f t="shared" si="290"/>
        <v>1</v>
      </c>
      <c r="P3749" s="3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8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8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8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8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8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8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8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8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8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8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8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8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8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8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8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8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8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8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8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8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8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8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8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8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8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8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8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8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8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">
        <f t="shared" ref="O3778:O3841" si="295">IFERROR(ROUND(E3778/D3778*100, 0),0)</f>
        <v>107</v>
      </c>
      <c r="P3778">
        <f t="shared" ref="P3778:P3841" si="296">IFERROR(ROUND(E3778/L3778, 2), 0)</f>
        <v>90.82</v>
      </c>
      <c r="Q3778" s="11" t="s">
        <v>8315</v>
      </c>
      <c r="R3778" t="s">
        <v>8357</v>
      </c>
      <c r="S3778" s="16">
        <f t="shared" ref="S3778:S3841" si="297">(((J3778/60)/60)/24)+DATE(1970, 1, 1)</f>
        <v>41814.367800925924</v>
      </c>
      <c r="T3778" s="16">
        <f t="shared" ref="T3778:T3841" si="298">(((I3778/60)/60)/24)+DATE(1970, 1, 1)</f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8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8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8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8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8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8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8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8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8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8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8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8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8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8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8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8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8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8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8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8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8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8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8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8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8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8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8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8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8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8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8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8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">
        <f t="shared" si="295"/>
        <v>100</v>
      </c>
      <c r="P3810" s="3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8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">
        <f t="shared" si="295"/>
        <v>101</v>
      </c>
      <c r="P3811" s="3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8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">
        <f t="shared" si="295"/>
        <v>122</v>
      </c>
      <c r="P3812" s="3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8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">
        <f t="shared" si="295"/>
        <v>330</v>
      </c>
      <c r="P3813" s="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8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">
        <f t="shared" si="295"/>
        <v>110</v>
      </c>
      <c r="P3814" s="3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8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">
        <f t="shared" si="295"/>
        <v>101</v>
      </c>
      <c r="P3815" s="3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8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">
        <f t="shared" si="295"/>
        <v>140</v>
      </c>
      <c r="P3816" s="3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8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">
        <f t="shared" si="295"/>
        <v>100</v>
      </c>
      <c r="P3817" s="3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8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">
        <f t="shared" si="295"/>
        <v>119</v>
      </c>
      <c r="P3818" s="3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8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">
        <f t="shared" si="295"/>
        <v>107</v>
      </c>
      <c r="P3819" s="3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8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">
        <f t="shared" si="295"/>
        <v>228</v>
      </c>
      <c r="P3820" s="3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8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">
        <f t="shared" si="295"/>
        <v>106</v>
      </c>
      <c r="P3821" s="3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8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">
        <f t="shared" si="295"/>
        <v>143</v>
      </c>
      <c r="P3822" s="3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8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">
        <f t="shared" si="295"/>
        <v>105</v>
      </c>
      <c r="P3823" s="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8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">
        <f t="shared" si="295"/>
        <v>110</v>
      </c>
      <c r="P3824" s="3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8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">
        <f t="shared" si="295"/>
        <v>106</v>
      </c>
      <c r="P3825" s="3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8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">
        <f t="shared" si="295"/>
        <v>108</v>
      </c>
      <c r="P3826" s="3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8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">
        <f t="shared" si="295"/>
        <v>105</v>
      </c>
      <c r="P3827" s="3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8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">
        <f t="shared" si="295"/>
        <v>119</v>
      </c>
      <c r="P3828" s="3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8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">
        <f t="shared" si="295"/>
        <v>153</v>
      </c>
      <c r="P3829" s="3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8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">
        <f t="shared" si="295"/>
        <v>100</v>
      </c>
      <c r="P3830" s="3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8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">
        <f t="shared" si="295"/>
        <v>100</v>
      </c>
      <c r="P3831" s="3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8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">
        <f t="shared" si="295"/>
        <v>225</v>
      </c>
      <c r="P3832" s="3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8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">
        <f t="shared" si="295"/>
        <v>106</v>
      </c>
      <c r="P3833" s="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8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">
        <f t="shared" si="295"/>
        <v>105</v>
      </c>
      <c r="P3834" s="3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8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">
        <f t="shared" si="295"/>
        <v>117</v>
      </c>
      <c r="P3835" s="3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8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">
        <f t="shared" si="295"/>
        <v>109</v>
      </c>
      <c r="P3836" s="3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8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">
        <f t="shared" si="295"/>
        <v>160</v>
      </c>
      <c r="P3837" s="3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8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">
        <f t="shared" si="295"/>
        <v>113</v>
      </c>
      <c r="P3838" s="3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8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">
        <f t="shared" si="295"/>
        <v>102</v>
      </c>
      <c r="P3839" s="3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8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">
        <f t="shared" si="295"/>
        <v>101</v>
      </c>
      <c r="P3840" s="3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8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">
        <f t="shared" si="295"/>
        <v>101</v>
      </c>
      <c r="P3841" s="3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8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">
        <f t="shared" ref="O3842:O3905" si="300">IFERROR(ROUND(E3842/D3842*100, 0),0)</f>
        <v>6500</v>
      </c>
      <c r="P3842" s="3">
        <f t="shared" ref="P3842:P3905" si="301">IFERROR(ROUND(E3842/L3842, 2), 0)</f>
        <v>21.67</v>
      </c>
      <c r="Q3842" s="11" t="s">
        <v>8315</v>
      </c>
      <c r="R3842" t="s">
        <v>8316</v>
      </c>
      <c r="S3842" s="16">
        <f t="shared" ref="S3842:S3905" si="302">(((J3842/60)/60)/24)+DATE(1970, 1, 1)</f>
        <v>42432.701724537037</v>
      </c>
      <c r="T3842" s="16">
        <f t="shared" ref="T3842:T3905" si="303">(((I3842/60)/60)/24)+DATE(1970, 1, 1)</f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8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">
        <f t="shared" si="300"/>
        <v>9</v>
      </c>
      <c r="P3843" s="3">
        <f t="shared" si="301"/>
        <v>25.65</v>
      </c>
      <c r="Q3843" s="11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8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">
        <f t="shared" si="300"/>
        <v>22</v>
      </c>
      <c r="P3844" s="3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8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">
        <f t="shared" si="300"/>
        <v>21</v>
      </c>
      <c r="P3845" s="3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8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">
        <f t="shared" si="300"/>
        <v>41</v>
      </c>
      <c r="P3846" s="3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8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">
        <f t="shared" si="300"/>
        <v>2</v>
      </c>
      <c r="P3847" s="3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8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">
        <f t="shared" si="300"/>
        <v>3</v>
      </c>
      <c r="P3848" s="3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8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">
        <f t="shared" si="300"/>
        <v>16</v>
      </c>
      <c r="P3849" s="3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8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">
        <f t="shared" si="300"/>
        <v>16</v>
      </c>
      <c r="P3850" s="3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8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">
        <f t="shared" si="300"/>
        <v>7</v>
      </c>
      <c r="P3851" s="3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8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">
        <f t="shared" si="300"/>
        <v>4</v>
      </c>
      <c r="P3852" s="3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8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">
        <f t="shared" si="300"/>
        <v>34</v>
      </c>
      <c r="P3853" s="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8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">
        <f t="shared" si="300"/>
        <v>0</v>
      </c>
      <c r="P3854" s="3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8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">
        <f t="shared" si="300"/>
        <v>0</v>
      </c>
      <c r="P3855" s="3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8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">
        <f t="shared" si="300"/>
        <v>16</v>
      </c>
      <c r="P3856" s="3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8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">
        <f t="shared" si="300"/>
        <v>3</v>
      </c>
      <c r="P3857" s="3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8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">
        <f t="shared" si="300"/>
        <v>0</v>
      </c>
      <c r="P3858" s="3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8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">
        <f t="shared" si="300"/>
        <v>5</v>
      </c>
      <c r="P3859" s="3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8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">
        <f t="shared" si="300"/>
        <v>2</v>
      </c>
      <c r="P3860" s="3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8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">
        <f t="shared" si="300"/>
        <v>0</v>
      </c>
      <c r="P3861" s="3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8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">
        <f t="shared" si="300"/>
        <v>18</v>
      </c>
      <c r="P3862" s="3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8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">
        <f t="shared" si="300"/>
        <v>5</v>
      </c>
      <c r="P3863" s="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8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">
        <f t="shared" si="300"/>
        <v>0</v>
      </c>
      <c r="P3864" s="3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8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">
        <f t="shared" si="300"/>
        <v>0</v>
      </c>
      <c r="P3865" s="3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8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">
        <f t="shared" si="300"/>
        <v>1</v>
      </c>
      <c r="P3866" s="3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8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">
        <f t="shared" si="300"/>
        <v>27</v>
      </c>
      <c r="P3867" s="3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8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">
        <f t="shared" si="300"/>
        <v>1</v>
      </c>
      <c r="P3868" s="3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8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">
        <f t="shared" si="300"/>
        <v>13</v>
      </c>
      <c r="P3869" s="3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8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8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8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8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8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8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8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8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8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8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8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8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8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8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8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8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8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8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8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8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8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">
        <f t="shared" si="300"/>
        <v>27</v>
      </c>
      <c r="P3890" s="3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8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">
        <f t="shared" si="300"/>
        <v>1</v>
      </c>
      <c r="P3891" s="3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8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">
        <f t="shared" si="300"/>
        <v>17</v>
      </c>
      <c r="P3892" s="3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8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">
        <f t="shared" si="300"/>
        <v>33</v>
      </c>
      <c r="P3893" s="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8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">
        <f t="shared" si="300"/>
        <v>0</v>
      </c>
      <c r="P3894" s="3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8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">
        <f t="shared" si="300"/>
        <v>22</v>
      </c>
      <c r="P3895" s="3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8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">
        <f t="shared" si="300"/>
        <v>3</v>
      </c>
      <c r="P3896" s="3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8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">
        <f t="shared" si="300"/>
        <v>5</v>
      </c>
      <c r="P3897" s="3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8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">
        <f t="shared" si="300"/>
        <v>11</v>
      </c>
      <c r="P3898" s="3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8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">
        <f t="shared" si="300"/>
        <v>18</v>
      </c>
      <c r="P3899" s="3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8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">
        <f t="shared" si="300"/>
        <v>33</v>
      </c>
      <c r="P3900" s="3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8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">
        <f t="shared" si="300"/>
        <v>1</v>
      </c>
      <c r="P3901" s="3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8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">
        <f t="shared" si="300"/>
        <v>5</v>
      </c>
      <c r="P3902" s="3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8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">
        <f t="shared" si="300"/>
        <v>1</v>
      </c>
      <c r="P3903" s="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8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">
        <f t="shared" si="300"/>
        <v>49</v>
      </c>
      <c r="P3904" s="3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8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">
        <f t="shared" si="300"/>
        <v>0</v>
      </c>
      <c r="P3905" s="3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8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">
        <f t="shared" ref="O3906:O3969" si="305">IFERROR(ROUND(E3906/D3906*100, 0),0)</f>
        <v>0</v>
      </c>
      <c r="P3906" s="3">
        <f t="shared" ref="P3906:P3969" si="306">IFERROR(ROUND(E3906/L3906, 2), 0)</f>
        <v>1.5</v>
      </c>
      <c r="Q3906" s="11" t="s">
        <v>8315</v>
      </c>
      <c r="R3906" t="s">
        <v>8316</v>
      </c>
      <c r="S3906" s="16">
        <f t="shared" ref="S3906:S3969" si="307">(((J3906/60)/60)/24)+DATE(1970, 1, 1)</f>
        <v>42095.229166666672</v>
      </c>
      <c r="T3906" s="16">
        <f t="shared" ref="T3906:T3969" si="308">(((I3906/60)/60)/24)+DATE(1970, 1, 1)</f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8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">
        <f t="shared" si="305"/>
        <v>12</v>
      </c>
      <c r="P3907" s="3">
        <f t="shared" si="306"/>
        <v>24.71</v>
      </c>
      <c r="Q3907" s="11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8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">
        <f t="shared" si="305"/>
        <v>67</v>
      </c>
      <c r="P3908" s="3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8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">
        <f t="shared" si="305"/>
        <v>15</v>
      </c>
      <c r="P3909" s="3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8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">
        <f t="shared" si="305"/>
        <v>9</v>
      </c>
      <c r="P3910" s="3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8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">
        <f t="shared" si="305"/>
        <v>0</v>
      </c>
      <c r="P3911" s="3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8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">
        <f t="shared" si="305"/>
        <v>3</v>
      </c>
      <c r="P3912" s="3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8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">
        <f t="shared" si="305"/>
        <v>37</v>
      </c>
      <c r="P3913" s="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8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">
        <f t="shared" si="305"/>
        <v>0</v>
      </c>
      <c r="P3914" s="3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8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">
        <f t="shared" si="305"/>
        <v>10</v>
      </c>
      <c r="P3915" s="3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8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">
        <f t="shared" si="305"/>
        <v>36</v>
      </c>
      <c r="P3916" s="3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8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">
        <f t="shared" si="305"/>
        <v>0</v>
      </c>
      <c r="P3917" s="3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8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">
        <f t="shared" si="305"/>
        <v>0</v>
      </c>
      <c r="P3918" s="3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8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">
        <f t="shared" si="305"/>
        <v>0</v>
      </c>
      <c r="P3919" s="3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8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">
        <f t="shared" si="305"/>
        <v>0</v>
      </c>
      <c r="P3920" s="3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8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">
        <f t="shared" si="305"/>
        <v>2</v>
      </c>
      <c r="P3921" s="3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8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">
        <f t="shared" si="305"/>
        <v>5</v>
      </c>
      <c r="P3922" s="3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8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">
        <f t="shared" si="305"/>
        <v>0</v>
      </c>
      <c r="P3923" s="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8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">
        <f t="shared" si="305"/>
        <v>8</v>
      </c>
      <c r="P3924" s="3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8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">
        <f t="shared" si="305"/>
        <v>12</v>
      </c>
      <c r="P3925" s="3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8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">
        <f t="shared" si="305"/>
        <v>15</v>
      </c>
      <c r="P3926" s="3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8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">
        <f t="shared" si="305"/>
        <v>10</v>
      </c>
      <c r="P3927" s="3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8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">
        <f t="shared" si="305"/>
        <v>0</v>
      </c>
      <c r="P3928" s="3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8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">
        <f t="shared" si="305"/>
        <v>1</v>
      </c>
      <c r="P3929" s="3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8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">
        <f t="shared" si="305"/>
        <v>13</v>
      </c>
      <c r="P3930" s="3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8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">
        <f t="shared" si="305"/>
        <v>2</v>
      </c>
      <c r="P3931" s="3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8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">
        <f t="shared" si="305"/>
        <v>0</v>
      </c>
      <c r="P3932" s="3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8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">
        <f t="shared" si="305"/>
        <v>0</v>
      </c>
      <c r="P3933" s="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8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">
        <f t="shared" si="305"/>
        <v>0</v>
      </c>
      <c r="P3934" s="3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8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">
        <f t="shared" si="305"/>
        <v>16</v>
      </c>
      <c r="P3935" s="3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8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">
        <f t="shared" si="305"/>
        <v>11</v>
      </c>
      <c r="P3936" s="3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8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">
        <f t="shared" si="305"/>
        <v>44</v>
      </c>
      <c r="P3937" s="3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8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">
        <f t="shared" si="305"/>
        <v>0</v>
      </c>
      <c r="P3938" s="3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8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">
        <f t="shared" si="305"/>
        <v>86</v>
      </c>
      <c r="P3939" s="3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8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">
        <f t="shared" si="305"/>
        <v>12</v>
      </c>
      <c r="P3940" s="3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8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">
        <f t="shared" si="305"/>
        <v>0</v>
      </c>
      <c r="P3941" s="3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8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">
        <f t="shared" si="305"/>
        <v>0</v>
      </c>
      <c r="P3942" s="3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57.6" x14ac:dyDescent="0.3">
      <c r="A3943">
        <v>3941</v>
      </c>
      <c r="B3943" s="8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">
        <f t="shared" si="305"/>
        <v>1</v>
      </c>
      <c r="P3943" s="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8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">
        <f t="shared" si="305"/>
        <v>0</v>
      </c>
      <c r="P3944" s="3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8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">
        <f t="shared" si="305"/>
        <v>36</v>
      </c>
      <c r="P3945" s="3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8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">
        <f t="shared" si="305"/>
        <v>0</v>
      </c>
      <c r="P3946" s="3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8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">
        <f t="shared" si="305"/>
        <v>0</v>
      </c>
      <c r="P3947" s="3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8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">
        <f t="shared" si="305"/>
        <v>3</v>
      </c>
      <c r="P3948" s="3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8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">
        <f t="shared" si="305"/>
        <v>3</v>
      </c>
      <c r="P3949" s="3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8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">
        <f t="shared" si="305"/>
        <v>0</v>
      </c>
      <c r="P3950" s="3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8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">
        <f t="shared" si="305"/>
        <v>16</v>
      </c>
      <c r="P3951" s="3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8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">
        <f t="shared" si="305"/>
        <v>1</v>
      </c>
      <c r="P3952" s="3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8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">
        <f t="shared" si="305"/>
        <v>0</v>
      </c>
      <c r="P3953" s="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8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">
        <f t="shared" si="305"/>
        <v>0</v>
      </c>
      <c r="P3954" s="3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8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">
        <f t="shared" si="305"/>
        <v>0</v>
      </c>
      <c r="P3955" s="3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8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">
        <f t="shared" si="305"/>
        <v>0</v>
      </c>
      <c r="P3956" s="3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8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">
        <f t="shared" si="305"/>
        <v>24</v>
      </c>
      <c r="P3957" s="3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8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">
        <f t="shared" si="305"/>
        <v>0</v>
      </c>
      <c r="P3958" s="3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8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">
        <f t="shared" si="305"/>
        <v>0</v>
      </c>
      <c r="P3959" s="3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8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">
        <f t="shared" si="305"/>
        <v>32</v>
      </c>
      <c r="P3960" s="3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8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">
        <f t="shared" si="305"/>
        <v>24</v>
      </c>
      <c r="P3961" s="3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8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">
        <f t="shared" si="305"/>
        <v>2</v>
      </c>
      <c r="P3962" s="3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8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">
        <f t="shared" si="305"/>
        <v>0</v>
      </c>
      <c r="P3963" s="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8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">
        <f t="shared" si="305"/>
        <v>3</v>
      </c>
      <c r="P3964" s="3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8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">
        <f t="shared" si="305"/>
        <v>0</v>
      </c>
      <c r="P3965" s="3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8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">
        <f t="shared" si="305"/>
        <v>6</v>
      </c>
      <c r="P3966" s="3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8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">
        <f t="shared" si="305"/>
        <v>14</v>
      </c>
      <c r="P3967" s="3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8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">
        <f t="shared" si="305"/>
        <v>1</v>
      </c>
      <c r="P3968" s="3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8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">
        <f t="shared" si="305"/>
        <v>24</v>
      </c>
      <c r="P3969" s="3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8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">
        <f t="shared" ref="O3970:O4033" si="310">IFERROR(ROUND(E3970/D3970*100, 0),0)</f>
        <v>11</v>
      </c>
      <c r="P3970" s="3">
        <f t="shared" ref="P3970:P4033" si="311">IFERROR(ROUND(E3970/L3970, 2), 0)</f>
        <v>47.91</v>
      </c>
      <c r="Q3970" s="11" t="s">
        <v>8315</v>
      </c>
      <c r="R3970" t="s">
        <v>8316</v>
      </c>
      <c r="S3970" s="16">
        <f t="shared" ref="S3970:S4033" si="312">(((J3970/60)/60)/24)+DATE(1970, 1, 1)</f>
        <v>42452.815659722226</v>
      </c>
      <c r="T3970" s="16">
        <f t="shared" ref="T3970:T4033" si="313">(((I3970/60)/60)/24)+DATE(1970, 1, 1)</f>
        <v>42512.815659722226</v>
      </c>
      <c r="U3970">
        <f t="shared" ref="U3970:U4033" si="314">YEAR(S3970)</f>
        <v>2016</v>
      </c>
    </row>
    <row r="3971" spans="1:21" ht="43.2" x14ac:dyDescent="0.3">
      <c r="A3971">
        <v>3969</v>
      </c>
      <c r="B3971" s="8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">
        <f t="shared" si="310"/>
        <v>7</v>
      </c>
      <c r="P3971" s="3">
        <f t="shared" si="311"/>
        <v>35.17</v>
      </c>
      <c r="Q3971" s="11" t="s">
        <v>8315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8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">
        <f t="shared" si="310"/>
        <v>0</v>
      </c>
      <c r="P3972" s="3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8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">
        <f t="shared" si="310"/>
        <v>1</v>
      </c>
      <c r="P3973" s="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8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">
        <f t="shared" si="310"/>
        <v>21</v>
      </c>
      <c r="P3974" s="3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8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">
        <f t="shared" si="310"/>
        <v>78</v>
      </c>
      <c r="P3975" s="3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8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">
        <f t="shared" si="310"/>
        <v>32</v>
      </c>
      <c r="P3976" s="3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8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">
        <f t="shared" si="310"/>
        <v>0</v>
      </c>
      <c r="P3977" s="3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8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">
        <f t="shared" si="310"/>
        <v>48</v>
      </c>
      <c r="P3978" s="3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8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">
        <f t="shared" si="310"/>
        <v>1</v>
      </c>
      <c r="P3979" s="3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8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">
        <f t="shared" si="310"/>
        <v>11</v>
      </c>
      <c r="P3980" s="3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8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">
        <f t="shared" si="310"/>
        <v>2</v>
      </c>
      <c r="P3981" s="3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8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">
        <f t="shared" si="310"/>
        <v>18</v>
      </c>
      <c r="P3982" s="3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8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">
        <f t="shared" si="310"/>
        <v>4</v>
      </c>
      <c r="P3983" s="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8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">
        <f t="shared" si="310"/>
        <v>20</v>
      </c>
      <c r="P3984" s="3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8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">
        <f t="shared" si="310"/>
        <v>35</v>
      </c>
      <c r="P3985" s="3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8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">
        <f t="shared" si="310"/>
        <v>6</v>
      </c>
      <c r="P3986" s="3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8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">
        <f t="shared" si="310"/>
        <v>32</v>
      </c>
      <c r="P3987" s="3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8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">
        <f t="shared" si="310"/>
        <v>10</v>
      </c>
      <c r="P3988" s="3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8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">
        <f t="shared" si="310"/>
        <v>38</v>
      </c>
      <c r="P3989" s="3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8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">
        <f t="shared" si="310"/>
        <v>2</v>
      </c>
      <c r="P3990" s="3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8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">
        <f t="shared" si="310"/>
        <v>0</v>
      </c>
      <c r="P3991" s="3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8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">
        <f t="shared" si="310"/>
        <v>4</v>
      </c>
      <c r="P3992" s="3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8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">
        <f t="shared" si="310"/>
        <v>20</v>
      </c>
      <c r="P3993" s="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8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">
        <f t="shared" si="310"/>
        <v>5</v>
      </c>
      <c r="P3994" s="3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8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">
        <f t="shared" si="310"/>
        <v>0</v>
      </c>
      <c r="P3995" s="3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8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">
        <f t="shared" si="310"/>
        <v>0</v>
      </c>
      <c r="P3996" s="3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8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">
        <f t="shared" si="310"/>
        <v>35</v>
      </c>
      <c r="P3997" s="3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8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">
        <f t="shared" si="310"/>
        <v>17</v>
      </c>
      <c r="P3998" s="3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8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">
        <f t="shared" si="310"/>
        <v>0</v>
      </c>
      <c r="P3999" s="3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8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">
        <f t="shared" si="310"/>
        <v>57</v>
      </c>
      <c r="P4000" s="3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8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">
        <f t="shared" si="310"/>
        <v>17</v>
      </c>
      <c r="P4001" s="3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8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">
        <f t="shared" si="310"/>
        <v>0</v>
      </c>
      <c r="P4002" s="3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8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">
        <f t="shared" si="310"/>
        <v>38</v>
      </c>
      <c r="P4003" s="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8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">
        <f t="shared" si="310"/>
        <v>2</v>
      </c>
      <c r="P4004" s="3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8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">
        <f t="shared" si="310"/>
        <v>10</v>
      </c>
      <c r="P4005" s="3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8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">
        <f t="shared" si="310"/>
        <v>0</v>
      </c>
      <c r="P4006" s="3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8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">
        <f t="shared" si="310"/>
        <v>1</v>
      </c>
      <c r="P4007" s="3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8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">
        <f t="shared" si="310"/>
        <v>0</v>
      </c>
      <c r="P4008" s="3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8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">
        <f t="shared" si="310"/>
        <v>0</v>
      </c>
      <c r="P4009" s="3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8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">
        <f t="shared" si="310"/>
        <v>6</v>
      </c>
      <c r="P4010" s="3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8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">
        <f t="shared" si="310"/>
        <v>4</v>
      </c>
      <c r="P4011" s="3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8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">
        <f t="shared" si="310"/>
        <v>24</v>
      </c>
      <c r="P4012" s="3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8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">
        <f t="shared" si="310"/>
        <v>8</v>
      </c>
      <c r="P4013" s="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8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">
        <f t="shared" si="310"/>
        <v>0</v>
      </c>
      <c r="P4014" s="3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8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">
        <f t="shared" si="310"/>
        <v>1</v>
      </c>
      <c r="P4015" s="3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8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">
        <f t="shared" si="310"/>
        <v>0</v>
      </c>
      <c r="P4016" s="3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8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">
        <f t="shared" si="310"/>
        <v>0</v>
      </c>
      <c r="P4017" s="3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8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">
        <f t="shared" si="310"/>
        <v>14</v>
      </c>
      <c r="P4018" s="3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8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">
        <f t="shared" si="310"/>
        <v>1</v>
      </c>
      <c r="P4019" s="3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8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">
        <f t="shared" si="310"/>
        <v>9</v>
      </c>
      <c r="P4020" s="3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8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">
        <f t="shared" si="310"/>
        <v>1</v>
      </c>
      <c r="P4021" s="3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8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">
        <f t="shared" si="310"/>
        <v>17</v>
      </c>
      <c r="P4022" s="3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8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">
        <f t="shared" si="310"/>
        <v>1</v>
      </c>
      <c r="P4023" s="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8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">
        <f t="shared" si="310"/>
        <v>70</v>
      </c>
      <c r="P4024" s="3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8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">
        <f t="shared" si="310"/>
        <v>0</v>
      </c>
      <c r="P4025" s="3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8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">
        <f t="shared" si="310"/>
        <v>1</v>
      </c>
      <c r="P4026" s="3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8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">
        <f t="shared" si="310"/>
        <v>5</v>
      </c>
      <c r="P4027" s="3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8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">
        <f t="shared" si="310"/>
        <v>0</v>
      </c>
      <c r="P4028" s="3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8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">
        <f t="shared" si="310"/>
        <v>7</v>
      </c>
      <c r="P4029" s="3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8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">
        <f t="shared" si="310"/>
        <v>28</v>
      </c>
      <c r="P4030" s="3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8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">
        <f t="shared" si="310"/>
        <v>0</v>
      </c>
      <c r="P4031" s="3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8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">
        <f t="shared" si="310"/>
        <v>16</v>
      </c>
      <c r="P4032" s="3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8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">
        <f t="shared" si="310"/>
        <v>0</v>
      </c>
      <c r="P4033" s="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8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">
        <f t="shared" ref="O4034:O4097" si="315">IFERROR(ROUND(E4034/D4034*100, 0),0)</f>
        <v>7</v>
      </c>
      <c r="P4034" s="3">
        <f t="shared" ref="P4034:P4097" si="316">IFERROR(ROUND(E4034/L4034, 2), 0)</f>
        <v>59</v>
      </c>
      <c r="Q4034" s="11" t="s">
        <v>8315</v>
      </c>
      <c r="R4034" t="s">
        <v>8316</v>
      </c>
      <c r="S4034" s="16">
        <f t="shared" ref="S4034:S4097" si="317">(((J4034/60)/60)/24)+DATE(1970, 1, 1)</f>
        <v>42293.809212962966</v>
      </c>
      <c r="T4034" s="16">
        <f t="shared" ref="T4034:T4097" si="318">(((I4034/60)/60)/24)+DATE(1970, 1, 1)</f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8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">
        <f t="shared" si="315"/>
        <v>26</v>
      </c>
      <c r="P4035" s="3">
        <f t="shared" si="316"/>
        <v>65.34</v>
      </c>
      <c r="Q4035" s="11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8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">
        <f t="shared" si="315"/>
        <v>1</v>
      </c>
      <c r="P4036" s="3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8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">
        <f t="shared" si="315"/>
        <v>37</v>
      </c>
      <c r="P4037" s="3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8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">
        <f t="shared" si="315"/>
        <v>47</v>
      </c>
      <c r="P4038" s="3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8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">
        <f t="shared" si="315"/>
        <v>11</v>
      </c>
      <c r="P4039" s="3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8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">
        <f t="shared" si="315"/>
        <v>12</v>
      </c>
      <c r="P4040" s="3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8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">
        <f t="shared" si="315"/>
        <v>60</v>
      </c>
      <c r="P4041" s="3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8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">
        <f t="shared" si="315"/>
        <v>31</v>
      </c>
      <c r="P4042" s="3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8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">
        <f t="shared" si="315"/>
        <v>0</v>
      </c>
      <c r="P4043" s="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8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">
        <f t="shared" si="315"/>
        <v>0</v>
      </c>
      <c r="P4044" s="3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8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">
        <f t="shared" si="315"/>
        <v>0</v>
      </c>
      <c r="P4045" s="3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8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">
        <f t="shared" si="315"/>
        <v>38</v>
      </c>
      <c r="P4046" s="3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8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">
        <f t="shared" si="315"/>
        <v>0</v>
      </c>
      <c r="P4047" s="3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8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">
        <f t="shared" si="315"/>
        <v>8</v>
      </c>
      <c r="P4048" s="3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8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">
        <f t="shared" si="315"/>
        <v>2</v>
      </c>
      <c r="P4049" s="3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8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">
        <f t="shared" si="315"/>
        <v>18</v>
      </c>
      <c r="P4050" s="3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8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">
        <f t="shared" si="315"/>
        <v>0</v>
      </c>
      <c r="P4051" s="3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8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">
        <f t="shared" si="315"/>
        <v>0</v>
      </c>
      <c r="P4052" s="3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8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">
        <f t="shared" si="315"/>
        <v>0</v>
      </c>
      <c r="P4053" s="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8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">
        <f t="shared" si="315"/>
        <v>38</v>
      </c>
      <c r="P4054" s="3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8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">
        <f t="shared" si="315"/>
        <v>22</v>
      </c>
      <c r="P4055" s="3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8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">
        <f t="shared" si="315"/>
        <v>0</v>
      </c>
      <c r="P4056" s="3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8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">
        <f t="shared" si="315"/>
        <v>18</v>
      </c>
      <c r="P4057" s="3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8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">
        <f t="shared" si="315"/>
        <v>53</v>
      </c>
      <c r="P4058" s="3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8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">
        <f t="shared" si="315"/>
        <v>22</v>
      </c>
      <c r="P4059" s="3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8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">
        <f t="shared" si="315"/>
        <v>3</v>
      </c>
      <c r="P4060" s="3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8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">
        <f t="shared" si="315"/>
        <v>3</v>
      </c>
      <c r="P4061" s="3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8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">
        <f t="shared" si="315"/>
        <v>3</v>
      </c>
      <c r="P4062" s="3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8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">
        <f t="shared" si="315"/>
        <v>0</v>
      </c>
      <c r="P4063" s="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8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">
        <f t="shared" si="315"/>
        <v>2</v>
      </c>
      <c r="P4064" s="3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8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">
        <f t="shared" si="315"/>
        <v>1</v>
      </c>
      <c r="P4065" s="3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8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">
        <f t="shared" si="315"/>
        <v>19</v>
      </c>
      <c r="P4066" s="3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8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">
        <f t="shared" si="315"/>
        <v>1</v>
      </c>
      <c r="P4067" s="3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8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">
        <f t="shared" si="315"/>
        <v>0</v>
      </c>
      <c r="P4068" s="3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8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">
        <f t="shared" si="315"/>
        <v>61</v>
      </c>
      <c r="P4069" s="3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8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">
        <f t="shared" si="315"/>
        <v>1</v>
      </c>
      <c r="P4070" s="3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8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">
        <f t="shared" si="315"/>
        <v>34</v>
      </c>
      <c r="P4071" s="3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8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">
        <f t="shared" si="315"/>
        <v>17</v>
      </c>
      <c r="P4072" s="3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8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">
        <f t="shared" si="315"/>
        <v>0</v>
      </c>
      <c r="P4073" s="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8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">
        <f t="shared" si="315"/>
        <v>0</v>
      </c>
      <c r="P4074" s="3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8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">
        <f t="shared" si="315"/>
        <v>1</v>
      </c>
      <c r="P4075" s="3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8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">
        <f t="shared" si="315"/>
        <v>27</v>
      </c>
      <c r="P4076" s="3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8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">
        <f t="shared" si="315"/>
        <v>29</v>
      </c>
      <c r="P4077" s="3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8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">
        <f t="shared" si="315"/>
        <v>0</v>
      </c>
      <c r="P4078" s="3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8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">
        <f t="shared" si="315"/>
        <v>9</v>
      </c>
      <c r="P4079" s="3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8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">
        <f t="shared" si="315"/>
        <v>0</v>
      </c>
      <c r="P4080" s="3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8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">
        <f t="shared" si="315"/>
        <v>0</v>
      </c>
      <c r="P4081" s="3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8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">
        <f t="shared" si="315"/>
        <v>0</v>
      </c>
      <c r="P4082" s="3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8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">
        <f t="shared" si="315"/>
        <v>16</v>
      </c>
      <c r="P4083" s="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8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">
        <f t="shared" si="315"/>
        <v>2</v>
      </c>
      <c r="P4084" s="3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8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">
        <f t="shared" si="315"/>
        <v>22</v>
      </c>
      <c r="P4085" s="3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8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">
        <f t="shared" si="315"/>
        <v>0</v>
      </c>
      <c r="P4086" s="3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8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">
        <f t="shared" si="315"/>
        <v>0</v>
      </c>
      <c r="P4087" s="3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8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">
        <f t="shared" si="315"/>
        <v>5</v>
      </c>
      <c r="P4088" s="3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8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">
        <f t="shared" si="315"/>
        <v>0</v>
      </c>
      <c r="P4089" s="3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8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">
        <f t="shared" si="315"/>
        <v>11</v>
      </c>
      <c r="P4090" s="3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8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">
        <f t="shared" si="315"/>
        <v>5</v>
      </c>
      <c r="P4091" s="3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8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">
        <f t="shared" si="315"/>
        <v>3</v>
      </c>
      <c r="P4092" s="3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8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">
        <f t="shared" si="315"/>
        <v>13</v>
      </c>
      <c r="P4093" s="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8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">
        <f t="shared" si="315"/>
        <v>0</v>
      </c>
      <c r="P4094" s="3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8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">
        <f t="shared" si="315"/>
        <v>2</v>
      </c>
      <c r="P4095" s="3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8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">
        <f t="shared" si="315"/>
        <v>37</v>
      </c>
      <c r="P4096" s="3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8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">
        <f t="shared" si="315"/>
        <v>3</v>
      </c>
      <c r="P4097" s="3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8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">
        <f t="shared" ref="O4098:O4115" si="320">IFERROR(ROUND(E4098/D4098*100, 0),0)</f>
        <v>11</v>
      </c>
      <c r="P4098" s="3">
        <f t="shared" ref="P4098:P4115" si="321">IFERROR(ROUND(E4098/L4098, 2), 0)</f>
        <v>80</v>
      </c>
      <c r="Q4098" s="11" t="s">
        <v>8315</v>
      </c>
      <c r="R4098" t="s">
        <v>8316</v>
      </c>
      <c r="S4098" s="16">
        <f t="shared" ref="S4098:S4115" si="322">(((J4098/60)/60)/24)+DATE(1970, 1, 1)</f>
        <v>42750.530312499999</v>
      </c>
      <c r="T4098" s="16">
        <f t="shared" ref="T4098:T4115" si="323">(((I4098/60)/60)/24)+DATE(1970, 1, 1)</f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8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">
        <f t="shared" si="320"/>
        <v>0</v>
      </c>
      <c r="P4099" s="3">
        <f t="shared" si="321"/>
        <v>0</v>
      </c>
      <c r="Q4099" s="11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8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">
        <f t="shared" si="320"/>
        <v>0</v>
      </c>
      <c r="P4100" s="3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8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">
        <f t="shared" si="320"/>
        <v>1</v>
      </c>
      <c r="P4101" s="3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8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">
        <f t="shared" si="320"/>
        <v>0</v>
      </c>
      <c r="P4102" s="3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8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">
        <f t="shared" si="320"/>
        <v>0</v>
      </c>
      <c r="P4103" s="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8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">
        <f t="shared" si="320"/>
        <v>27</v>
      </c>
      <c r="P4104" s="3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8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">
        <f t="shared" si="320"/>
        <v>10</v>
      </c>
      <c r="P4105" s="3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8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">
        <f t="shared" si="320"/>
        <v>21</v>
      </c>
      <c r="P4106" s="3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8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">
        <f t="shared" si="320"/>
        <v>7</v>
      </c>
      <c r="P4107" s="3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8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">
        <f t="shared" si="320"/>
        <v>71</v>
      </c>
      <c r="P4108" s="3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8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">
        <f t="shared" si="320"/>
        <v>2</v>
      </c>
      <c r="P4109" s="3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8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">
        <f t="shared" si="320"/>
        <v>2</v>
      </c>
      <c r="P4110" s="3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8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">
        <f t="shared" si="320"/>
        <v>0</v>
      </c>
      <c r="P4111" s="3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8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">
        <f t="shared" si="320"/>
        <v>29</v>
      </c>
      <c r="P4112" s="3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8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">
        <f t="shared" si="320"/>
        <v>3</v>
      </c>
      <c r="P4113" s="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8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">
        <f t="shared" si="320"/>
        <v>0</v>
      </c>
      <c r="P4114" s="3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8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">
        <f t="shared" si="320"/>
        <v>0</v>
      </c>
      <c r="P4115" s="3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6BE4-0F74-4AE2-8445-6928F765D78A}">
  <dimension ref="A1:H13"/>
  <sheetViews>
    <sheetView workbookViewId="0">
      <selection activeCell="B2" sqref="B2"/>
    </sheetView>
  </sheetViews>
  <sheetFormatPr defaultColWidth="20.77734375" defaultRowHeight="14.4" x14ac:dyDescent="0.3"/>
  <cols>
    <col min="1" max="1" width="16.88671875" bestFit="1" customWidth="1"/>
    <col min="2" max="2" width="9.6640625" bestFit="1" customWidth="1"/>
    <col min="3" max="3" width="7.88671875" bestFit="1" customWidth="1"/>
    <col min="4" max="4" width="8.6640625" bestFit="1" customWidth="1"/>
    <col min="5" max="5" width="7.77734375" bestFit="1" customWidth="1"/>
    <col min="6" max="6" width="10.44140625" style="20" bestFit="1" customWidth="1"/>
    <col min="7" max="7" width="11" style="20" customWidth="1"/>
    <col min="8" max="8" width="10.44140625" style="20" bestFit="1" customWidth="1"/>
  </cols>
  <sheetData>
    <row r="1" spans="1:8" s="1" customFormat="1" ht="28.8" x14ac:dyDescent="0.3">
      <c r="A1" s="1" t="s">
        <v>8381</v>
      </c>
      <c r="B1" s="1" t="s">
        <v>8384</v>
      </c>
      <c r="C1" s="1" t="s">
        <v>8385</v>
      </c>
      <c r="D1" s="1" t="s">
        <v>8386</v>
      </c>
      <c r="E1" s="1" t="s">
        <v>8387</v>
      </c>
      <c r="F1" s="21" t="s">
        <v>8388</v>
      </c>
      <c r="G1" s="21" t="s">
        <v>8389</v>
      </c>
      <c r="H1" s="21" t="s">
        <v>8390</v>
      </c>
    </row>
    <row r="2" spans="1:8" x14ac:dyDescent="0.3">
      <c r="A2" t="s">
        <v>8391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0">
        <f>IFERROR((B2/$E2), 0)</f>
        <v>0.75806451612903225</v>
      </c>
      <c r="G2" s="20">
        <f t="shared" ref="G2:H2" si="0">IFERROR((C2/$E2), 0)</f>
        <v>0.24193548387096775</v>
      </c>
      <c r="H2" s="20">
        <f t="shared" si="0"/>
        <v>0</v>
      </c>
    </row>
    <row r="3" spans="1:8" x14ac:dyDescent="0.3">
      <c r="A3" t="s">
        <v>8392</v>
      </c>
      <c r="B3">
        <f>COUNTIFS(Kickstarter!$F:$F, "successful", Kickstarter!$D:$D, "&gt;=1000", Kickstarter!$D:$D, "&lt;5000", Kickstarter!$R:$R, "plays")</f>
        <v>388</v>
      </c>
      <c r="C3">
        <f>COUNTIFS(Kickstarter!$F:$F, "failed", Kickstarter!$D:$D, "&gt;=1000", Kickstarter!$D:$D, "&lt;5000", Kickstarter!$R:$R, "plays")</f>
        <v>146</v>
      </c>
      <c r="D3">
        <f>COUNTIFS(Kickstarter!$F:$F, "canceled", Kickstarter!$D:$D, "&gt;=1000", Kickstarter!$D:$D, "&lt;5000", Kickstarter!$R:$R, "plays")</f>
        <v>0</v>
      </c>
      <c r="E3">
        <f t="shared" ref="E3:E13" si="1">SUM(B3:D3)</f>
        <v>534</v>
      </c>
      <c r="F3" s="20">
        <f t="shared" ref="F3:F13" si="2">IFERROR((B3/$E3), 0)</f>
        <v>0.72659176029962547</v>
      </c>
      <c r="G3" s="20">
        <f t="shared" ref="G3:G13" si="3">IFERROR((C3/$E3), 0)</f>
        <v>0.27340823970037453</v>
      </c>
      <c r="H3" s="20">
        <f t="shared" ref="H3:H13" si="4">IFERROR((D3/$E3), 0)</f>
        <v>0</v>
      </c>
    </row>
    <row r="4" spans="1:8" x14ac:dyDescent="0.3">
      <c r="A4" t="s">
        <v>8393</v>
      </c>
      <c r="B4">
        <f>COUNTIFS(Kickstarter!$F:$F, "successful", Kickstarter!$D:$D, "&gt;=5000", Kickstarter!$D:$D, "&lt;10000", Kickstarter!$R:$R, "plays")</f>
        <v>93</v>
      </c>
      <c r="C4">
        <f>COUNTIFS(Kickstarter!$F:$F, "failed", Kickstarter!$D:$D, "&gt;=5000", Kickstarter!$D:$D, "&lt;10000", Kickstarter!$R:$R, "plays")</f>
        <v>76</v>
      </c>
      <c r="D4">
        <f>COUNTIFS(Kickstarter!$F:$F, "canceled", Kickstarter!$D:$D, "&gt;=5000", Kickstarter!$D:$D, "&lt;10000", Kickstarter!$R:$R, "plays")</f>
        <v>0</v>
      </c>
      <c r="E4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3">
      <c r="A5" t="s">
        <v>8394</v>
      </c>
      <c r="B5">
        <f>COUNTIFS(Kickstarter!$F:$F, "successful", Kickstarter!$D:$D, "&gt;=10000", Kickstarter!$D:$D, "&lt;15000", Kickstarter!$R:$R, "plays")</f>
        <v>39</v>
      </c>
      <c r="C5">
        <f>COUNTIFS(Kickstarter!$F:$F, "failed", Kickstarter!$D:$D, "&gt;=10000", Kickstarter!$D:$D, "&lt;15000", Kickstarter!$R:$R, "plays")</f>
        <v>33</v>
      </c>
      <c r="D5">
        <f>COUNTIFS(Kickstarter!$F:$F, "canceled", Kickstarter!$D:$D, "&gt;=10000", Kickstarter!$D:$D, "&lt;15000", Kickstarter!$R:$R, "plays")</f>
        <v>0</v>
      </c>
      <c r="E5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3">
      <c r="A6" t="s">
        <v>8395</v>
      </c>
      <c r="B6">
        <f>COUNTIFS(Kickstarter!$F:$F, "successful", Kickstarter!$D:$D, "&gt;=15000", Kickstarter!$D:$D, "&lt;20000", Kickstarter!$R:$R, "plays")</f>
        <v>12</v>
      </c>
      <c r="C6">
        <f>COUNTIFS(Kickstarter!$F:$F, "failed", Kickstarter!$D:$D, "&gt;=15000", Kickstarter!$D:$D, "&lt;20000", Kickstarter!$R:$R, "plays")</f>
        <v>12</v>
      </c>
      <c r="D6">
        <f>COUNTIFS(Kickstarter!$F:$F, "canceled", Kickstarter!$D:$D, "&gt;=15000", Kickstarter!$D:$D, "&lt;20000", Kickstarter!$R:$R, "plays")</f>
        <v>0</v>
      </c>
      <c r="E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3">
      <c r="A7" t="s">
        <v>8396</v>
      </c>
      <c r="B7">
        <f>COUNTIFS(Kickstarter!$F:$F, "successful", Kickstarter!$D:$D, "&gt;=20000", Kickstarter!$D:$D, "&lt;25000", Kickstarter!$R:$R, "plays")</f>
        <v>9</v>
      </c>
      <c r="C7">
        <f>COUNTIFS(Kickstarter!$F:$F, "failed", Kickstarter!$D:$D, "&gt;=20000", Kickstarter!$D:$D, "&lt;25000", Kickstarter!$R:$R, "plays")</f>
        <v>11</v>
      </c>
      <c r="D7">
        <f>COUNTIFS(Kickstarter!$F:$F, "canceled", Kickstarter!$D:$D, "&gt;=20000", Kickstarter!$D:$D, "&lt;25000", Kickstarter!$R:$R, "plays")</f>
        <v>0</v>
      </c>
      <c r="E7">
        <f t="shared" si="1"/>
        <v>20</v>
      </c>
      <c r="F7" s="20">
        <f t="shared" si="2"/>
        <v>0.45</v>
      </c>
      <c r="G7" s="20">
        <f t="shared" si="3"/>
        <v>0.55000000000000004</v>
      </c>
      <c r="H7" s="20">
        <f t="shared" si="4"/>
        <v>0</v>
      </c>
    </row>
    <row r="8" spans="1:8" x14ac:dyDescent="0.3">
      <c r="A8" t="s">
        <v>8397</v>
      </c>
      <c r="B8">
        <f>COUNTIFS(Kickstarter!$F:$F, "successful", Kickstarter!$D:$D, "&gt;=25000", Kickstarter!$D:$D, "&lt;30000", Kickstarter!$R:$R, "plays")</f>
        <v>1</v>
      </c>
      <c r="C8">
        <f>COUNTIFS(Kickstarter!$F:$F, "failed", Kickstarter!$D:$D, "&gt;=25000", Kickstarter!$D:$D, "&lt;30000", Kickstarter!$R:$R, "plays")</f>
        <v>4</v>
      </c>
      <c r="D8">
        <f>COUNTIFS(Kickstarter!$F:$F, "canceled", Kickstarter!$D:$D, "&gt;=25000", Kickstarter!$D:$D, "&lt;30000", Kickstarter!$R:$R, "plays")</f>
        <v>0</v>
      </c>
      <c r="E8">
        <f t="shared" si="1"/>
        <v>5</v>
      </c>
      <c r="F8" s="20">
        <f t="shared" si="2"/>
        <v>0.2</v>
      </c>
      <c r="G8" s="20">
        <f t="shared" si="3"/>
        <v>0.8</v>
      </c>
      <c r="H8" s="20">
        <f t="shared" si="4"/>
        <v>0</v>
      </c>
    </row>
    <row r="9" spans="1:8" x14ac:dyDescent="0.3">
      <c r="A9" t="s">
        <v>8398</v>
      </c>
      <c r="B9">
        <f>COUNTIFS(Kickstarter!$F:$F, "successful", Kickstarter!$D:$D, "&gt;=30000", Kickstarter!$D:$D, "&lt;35000", Kickstarter!$R:$R, "plays")</f>
        <v>3</v>
      </c>
      <c r="C9">
        <f>COUNTIFS(Kickstarter!$F:$F, "failed", Kickstarter!$D:$D, "&gt;=30000", Kickstarter!$D:$D, "&lt;35000", Kickstarter!$R:$R, "plays")</f>
        <v>8</v>
      </c>
      <c r="D9">
        <f>COUNTIFS(Kickstarter!$F:$F, "canceled", Kickstarter!$D:$D, "&gt;=30000", Kickstarter!$D:$D, "&lt;35000", Kickstarter!$R:$R, "plays")</f>
        <v>0</v>
      </c>
      <c r="E9">
        <f t="shared" si="1"/>
        <v>11</v>
      </c>
      <c r="F9" s="20">
        <f t="shared" si="2"/>
        <v>0.27272727272727271</v>
      </c>
      <c r="G9" s="20">
        <f t="shared" si="3"/>
        <v>0.72727272727272729</v>
      </c>
      <c r="H9" s="20">
        <f t="shared" si="4"/>
        <v>0</v>
      </c>
    </row>
    <row r="10" spans="1:8" x14ac:dyDescent="0.3">
      <c r="A10" t="s">
        <v>8399</v>
      </c>
      <c r="B10">
        <f>COUNTIFS(Kickstarter!$F:$F, "successful", Kickstarter!$D:$D, "&gt;=35000", Kickstarter!$D:$D, "&lt;40000", Kickstarter!$R:$R, "plays")</f>
        <v>4</v>
      </c>
      <c r="C10">
        <f>COUNTIFS(Kickstarter!$F:$F, "failed", Kickstarter!$D:$D, "&gt;=35000", Kickstarter!$D:$D, "&lt;40000", Kickstarter!$R:$R, "plays")</f>
        <v>2</v>
      </c>
      <c r="D10">
        <f>COUNTIFS(Kickstarter!$F:$F, "canceled", Kickstarter!$D:$D, "&gt;=35000", Kickstarter!$D:$D, "&lt;40000", Kickstarter!$R:$R, "plays")</f>
        <v>0</v>
      </c>
      <c r="E10">
        <f t="shared" si="1"/>
        <v>6</v>
      </c>
      <c r="F10" s="20">
        <f t="shared" si="2"/>
        <v>0.66666666666666663</v>
      </c>
      <c r="G10" s="20">
        <f t="shared" si="3"/>
        <v>0.33333333333333331</v>
      </c>
      <c r="H10" s="20">
        <f t="shared" si="4"/>
        <v>0</v>
      </c>
    </row>
    <row r="11" spans="1:8" x14ac:dyDescent="0.3">
      <c r="A11" t="s">
        <v>8400</v>
      </c>
      <c r="B11">
        <f>COUNTIFS(Kickstarter!$F:$F, "successful", Kickstarter!$D:$D, "&gt;=40000", Kickstarter!$D:$D, "&lt;45000", Kickstarter!$R:$R, "plays")</f>
        <v>2</v>
      </c>
      <c r="C11">
        <f>COUNTIFS(Kickstarter!$F:$F, "failed", Kickstarter!$D:$D, "&gt;=40000", Kickstarter!$D:$D, "&lt;45000", Kickstarter!$R:$R, "plays")</f>
        <v>1</v>
      </c>
      <c r="D11">
        <f>COUNTIFS(Kickstarter!$F:$F, "canceled", Kickstarter!$D:$D, "&gt;=40000", Kickstarter!$D:$D, "&lt;45000", Kickstarter!$R:$R, "plays")</f>
        <v>0</v>
      </c>
      <c r="E11">
        <f t="shared" si="1"/>
        <v>3</v>
      </c>
      <c r="F11" s="20">
        <f t="shared" si="2"/>
        <v>0.66666666666666663</v>
      </c>
      <c r="G11" s="20">
        <f t="shared" si="3"/>
        <v>0.33333333333333331</v>
      </c>
      <c r="H11" s="20">
        <f t="shared" si="4"/>
        <v>0</v>
      </c>
    </row>
    <row r="12" spans="1:8" x14ac:dyDescent="0.3">
      <c r="A12" t="s">
        <v>8401</v>
      </c>
      <c r="B12">
        <f>COUNTIFS(Kickstarter!$F:$F, "successful", Kickstarter!$D:$D, "&gt;=45000", Kickstarter!$D:$D, "&lt;50000", Kickstarter!$R:$R, "plays")</f>
        <v>0</v>
      </c>
      <c r="C12">
        <f>COUNTIFS(Kickstarter!$F:$F, "failed", Kickstarter!$D:$D, "&gt;=45000", Kickstarter!$D:$D, "&lt;50000", Kickstarter!$R:$R, "plays")</f>
        <v>1</v>
      </c>
      <c r="D12">
        <f>COUNTIFS(Kickstarter!$F:$F, "canceled", Kickstarter!$D:$D, "&gt;=45000", Kickstarter!$D:$D, "&lt;50000", Kickstarter!$R:$R, "plays")</f>
        <v>0</v>
      </c>
      <c r="E12">
        <f t="shared" si="1"/>
        <v>1</v>
      </c>
      <c r="F12" s="20">
        <f t="shared" si="2"/>
        <v>0</v>
      </c>
      <c r="G12" s="20">
        <f t="shared" si="3"/>
        <v>1</v>
      </c>
      <c r="H12" s="20">
        <f t="shared" si="4"/>
        <v>0</v>
      </c>
    </row>
    <row r="13" spans="1:8" x14ac:dyDescent="0.3">
      <c r="A13" t="s">
        <v>8402</v>
      </c>
      <c r="B13">
        <f>COUNTIFS(Kickstarter!$F:$F, "successful", Kickstarter!$D:$D, "&gt;=50000", Kickstarter!$R:$R, "plays")</f>
        <v>2</v>
      </c>
      <c r="C13">
        <f>COUNTIFS(Kickstarter!$F:$F, "failed", Kickstarter!$D:$D, "&gt;=50000", Kickstarter!$R:$R, "plays")</f>
        <v>14</v>
      </c>
      <c r="D13">
        <f>COUNTIFS(Kickstarter!$F:$F, "canceled", Kickstarter!$D:$D, "&gt;=50000", Kickstarter!$R:$R, "plays")</f>
        <v>0</v>
      </c>
      <c r="E13">
        <f t="shared" si="1"/>
        <v>16</v>
      </c>
      <c r="F13" s="20">
        <f t="shared" si="2"/>
        <v>0.125</v>
      </c>
      <c r="G13" s="20">
        <f t="shared" si="3"/>
        <v>0.875</v>
      </c>
      <c r="H13" s="20">
        <f t="shared" si="4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B286-FEB7-4945-9499-4F86178A4BA3}">
  <dimension ref="A1:G18"/>
  <sheetViews>
    <sheetView workbookViewId="0">
      <selection activeCell="F19" sqref="F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3" customWidth="1"/>
  </cols>
  <sheetData>
    <row r="1" spans="1:7" x14ac:dyDescent="0.3">
      <c r="A1" s="13" t="s">
        <v>8358</v>
      </c>
      <c r="B1" t="s">
        <v>8315</v>
      </c>
    </row>
    <row r="2" spans="1:7" x14ac:dyDescent="0.3">
      <c r="A2" s="13" t="s">
        <v>8379</v>
      </c>
      <c r="B2" t="s">
        <v>8364</v>
      </c>
    </row>
    <row r="4" spans="1:7" x14ac:dyDescent="0.3">
      <c r="A4" s="13" t="s">
        <v>8363</v>
      </c>
      <c r="B4" s="13" t="s">
        <v>8360</v>
      </c>
      <c r="G4" s="2"/>
    </row>
    <row r="5" spans="1:7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7" x14ac:dyDescent="0.3">
      <c r="A6" s="17" t="s">
        <v>8373</v>
      </c>
      <c r="B6" s="5">
        <v>56</v>
      </c>
      <c r="C6" s="5">
        <v>33</v>
      </c>
      <c r="D6" s="5">
        <v>7</v>
      </c>
      <c r="E6" s="5">
        <v>96</v>
      </c>
      <c r="G6" s="20"/>
    </row>
    <row r="7" spans="1:7" x14ac:dyDescent="0.3">
      <c r="A7" s="17" t="s">
        <v>8374</v>
      </c>
      <c r="B7" s="5">
        <v>71</v>
      </c>
      <c r="C7" s="5">
        <v>39</v>
      </c>
      <c r="D7" s="5">
        <v>3</v>
      </c>
      <c r="E7" s="5">
        <v>113</v>
      </c>
      <c r="G7" s="20"/>
    </row>
    <row r="8" spans="1:7" x14ac:dyDescent="0.3">
      <c r="A8" s="17" t="s">
        <v>8375</v>
      </c>
      <c r="B8" s="5">
        <v>56</v>
      </c>
      <c r="C8" s="5">
        <v>33</v>
      </c>
      <c r="D8" s="5">
        <v>3</v>
      </c>
      <c r="E8" s="5">
        <v>92</v>
      </c>
      <c r="G8" s="20"/>
    </row>
    <row r="9" spans="1:7" x14ac:dyDescent="0.3">
      <c r="A9" s="17" t="s">
        <v>8376</v>
      </c>
      <c r="B9" s="5">
        <v>71</v>
      </c>
      <c r="C9" s="5">
        <v>40</v>
      </c>
      <c r="D9" s="5">
        <v>2</v>
      </c>
      <c r="E9" s="5">
        <v>113</v>
      </c>
      <c r="G9" s="20"/>
    </row>
    <row r="10" spans="1:7" x14ac:dyDescent="0.3">
      <c r="A10" s="17" t="s">
        <v>8367</v>
      </c>
      <c r="B10" s="5">
        <v>111</v>
      </c>
      <c r="C10" s="5">
        <v>52</v>
      </c>
      <c r="D10" s="5">
        <v>3</v>
      </c>
      <c r="E10" s="5">
        <v>166</v>
      </c>
      <c r="G10" s="20"/>
    </row>
    <row r="11" spans="1:7" x14ac:dyDescent="0.3">
      <c r="A11" s="17" t="s">
        <v>8377</v>
      </c>
      <c r="B11" s="5">
        <v>100</v>
      </c>
      <c r="C11" s="5">
        <v>49</v>
      </c>
      <c r="D11" s="5">
        <v>4</v>
      </c>
      <c r="E11" s="5">
        <v>153</v>
      </c>
      <c r="G11" s="20"/>
    </row>
    <row r="12" spans="1:7" x14ac:dyDescent="0.3">
      <c r="A12" s="17" t="s">
        <v>8368</v>
      </c>
      <c r="B12" s="5">
        <v>87</v>
      </c>
      <c r="C12" s="5">
        <v>50</v>
      </c>
      <c r="D12" s="5">
        <v>1</v>
      </c>
      <c r="E12" s="5">
        <v>138</v>
      </c>
      <c r="G12" s="20"/>
    </row>
    <row r="13" spans="1:7" x14ac:dyDescent="0.3">
      <c r="A13" s="17" t="s">
        <v>8369</v>
      </c>
      <c r="B13" s="5">
        <v>72</v>
      </c>
      <c r="C13" s="5">
        <v>47</v>
      </c>
      <c r="D13" s="5">
        <v>4</v>
      </c>
      <c r="E13" s="5">
        <v>123</v>
      </c>
      <c r="G13" s="20"/>
    </row>
    <row r="14" spans="1:7" x14ac:dyDescent="0.3">
      <c r="A14" s="17" t="s">
        <v>8370</v>
      </c>
      <c r="B14" s="5">
        <v>59</v>
      </c>
      <c r="C14" s="5">
        <v>34</v>
      </c>
      <c r="D14" s="5">
        <v>4</v>
      </c>
      <c r="E14" s="5">
        <v>97</v>
      </c>
      <c r="G14" s="20"/>
    </row>
    <row r="15" spans="1:7" x14ac:dyDescent="0.3">
      <c r="A15" s="17" t="s">
        <v>8371</v>
      </c>
      <c r="B15" s="5">
        <v>65</v>
      </c>
      <c r="C15" s="5">
        <v>50</v>
      </c>
      <c r="D15" s="5"/>
      <c r="E15" s="5">
        <v>115</v>
      </c>
      <c r="G15" s="20"/>
    </row>
    <row r="16" spans="1:7" x14ac:dyDescent="0.3">
      <c r="A16" s="17" t="s">
        <v>8372</v>
      </c>
      <c r="B16" s="5">
        <v>54</v>
      </c>
      <c r="C16" s="5">
        <v>31</v>
      </c>
      <c r="D16" s="5">
        <v>3</v>
      </c>
      <c r="E16" s="5">
        <v>88</v>
      </c>
      <c r="G16" s="20"/>
    </row>
    <row r="17" spans="1:7" x14ac:dyDescent="0.3">
      <c r="A17" s="17" t="s">
        <v>8378</v>
      </c>
      <c r="B17" s="5">
        <v>37</v>
      </c>
      <c r="C17" s="5">
        <v>35</v>
      </c>
      <c r="D17" s="5">
        <v>3</v>
      </c>
      <c r="E17" s="5">
        <v>75</v>
      </c>
      <c r="G17" s="20"/>
    </row>
    <row r="18" spans="1:7" x14ac:dyDescent="0.3">
      <c r="A18" s="17" t="s">
        <v>8361</v>
      </c>
      <c r="B18" s="5">
        <v>839</v>
      </c>
      <c r="C18" s="5">
        <v>493</v>
      </c>
      <c r="D18" s="5">
        <v>37</v>
      </c>
      <c r="E18" s="5">
        <v>1369</v>
      </c>
      <c r="G18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3BF76-4543-4CCD-8FE7-B174588EC7D0}">
  <dimension ref="A2:F7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8222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8315</v>
      </c>
      <c r="B6" s="5">
        <v>37</v>
      </c>
      <c r="C6" s="5">
        <v>493</v>
      </c>
      <c r="D6" s="5">
        <v>24</v>
      </c>
      <c r="E6" s="5">
        <v>839</v>
      </c>
      <c r="F6" s="5">
        <v>1393</v>
      </c>
    </row>
    <row r="7" spans="1:6" x14ac:dyDescent="0.3">
      <c r="A7" s="14" t="s">
        <v>8361</v>
      </c>
      <c r="B7" s="5">
        <v>37</v>
      </c>
      <c r="C7" s="5">
        <v>493</v>
      </c>
      <c r="D7" s="5">
        <v>24</v>
      </c>
      <c r="E7" s="5">
        <v>839</v>
      </c>
      <c r="F7" s="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60F33-9353-4C8B-8B86-633EBF23588B}">
  <dimension ref="A1:E7"/>
  <sheetViews>
    <sheetView workbookViewId="0">
      <selection activeCell="R15" sqref="R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179" width="11" bestFit="1" customWidth="1"/>
    <col min="180" max="180" width="13.21875" bestFit="1" customWidth="1"/>
    <col min="181" max="393" width="11" bestFit="1" customWidth="1"/>
    <col min="394" max="394" width="10.33203125" bestFit="1" customWidth="1"/>
    <col min="395" max="395" width="11.44140625" bestFit="1" customWidth="1"/>
    <col min="396" max="603" width="11" bestFit="1" customWidth="1"/>
    <col min="604" max="604" width="14.21875" bestFit="1" customWidth="1"/>
    <col min="605" max="605" width="10.77734375" bestFit="1" customWidth="1"/>
    <col min="606" max="1828" width="9.109375" bestFit="1" customWidth="1"/>
    <col min="1829" max="2464" width="10.109375" bestFit="1" customWidth="1"/>
    <col min="2465" max="2546" width="11.109375" bestFit="1" customWidth="1"/>
    <col min="2547" max="2549" width="12.6640625" bestFit="1" customWidth="1"/>
    <col min="2550" max="2550" width="12" bestFit="1" customWidth="1"/>
    <col min="2551" max="2634" width="10.109375" bestFit="1" customWidth="1"/>
    <col min="2635" max="2637" width="11.109375" bestFit="1" customWidth="1"/>
    <col min="2638" max="2638" width="17.21875" bestFit="1" customWidth="1"/>
    <col min="2639" max="2639" width="13.44140625" bestFit="1" customWidth="1"/>
    <col min="2640" max="2640" width="17.21875" bestFit="1" customWidth="1"/>
    <col min="2641" max="2641" width="13.44140625" bestFit="1" customWidth="1"/>
    <col min="2642" max="2642" width="17.21875" bestFit="1" customWidth="1"/>
    <col min="2643" max="2643" width="13.44140625" bestFit="1" customWidth="1"/>
    <col min="2644" max="2644" width="17.21875" bestFit="1" customWidth="1"/>
    <col min="2645" max="2645" width="13.44140625" bestFit="1" customWidth="1"/>
    <col min="2646" max="2646" width="7.5546875" bestFit="1" customWidth="1"/>
    <col min="2647" max="2647" width="9.109375" bestFit="1" customWidth="1"/>
    <col min="2648" max="2650" width="10.109375" bestFit="1" customWidth="1"/>
    <col min="2651" max="2651" width="17.21875" bestFit="1" customWidth="1"/>
    <col min="2652" max="2652" width="13.44140625" bestFit="1" customWidth="1"/>
    <col min="2653" max="2653" width="17.21875" bestFit="1" customWidth="1"/>
    <col min="2654" max="2654" width="13.44140625" bestFit="1" customWidth="1"/>
    <col min="2655" max="2655" width="17.21875" bestFit="1" customWidth="1"/>
    <col min="2656" max="2656" width="13.44140625" bestFit="1" customWidth="1"/>
    <col min="2657" max="2658" width="7.5546875" bestFit="1" customWidth="1"/>
    <col min="2659" max="2661" width="9.109375" bestFit="1" customWidth="1"/>
    <col min="2662" max="2663" width="10.109375" bestFit="1" customWidth="1"/>
    <col min="2664" max="2664" width="11.109375" bestFit="1" customWidth="1"/>
    <col min="2665" max="2665" width="17.21875" bestFit="1" customWidth="1"/>
    <col min="2666" max="2666" width="13.44140625" bestFit="1" customWidth="1"/>
    <col min="2667" max="2667" width="17.21875" bestFit="1" customWidth="1"/>
    <col min="2668" max="2668" width="13.44140625" bestFit="1" customWidth="1"/>
    <col min="2669" max="2669" width="17.21875" bestFit="1" customWidth="1"/>
    <col min="2670" max="2670" width="13.44140625" bestFit="1" customWidth="1"/>
    <col min="2671" max="2671" width="17.21875" bestFit="1" customWidth="1"/>
    <col min="2672" max="2672" width="13.44140625" bestFit="1" customWidth="1"/>
    <col min="2673" max="2673" width="17.21875" bestFit="1" customWidth="1"/>
    <col min="2674" max="2674" width="13.44140625" bestFit="1" customWidth="1"/>
    <col min="2675" max="2676" width="10.109375" bestFit="1" customWidth="1"/>
    <col min="2677" max="2677" width="17.21875" bestFit="1" customWidth="1"/>
    <col min="2678" max="2678" width="13.44140625" bestFit="1" customWidth="1"/>
    <col min="2679" max="2679" width="17.21875" bestFit="1" customWidth="1"/>
    <col min="2680" max="2680" width="13.44140625" bestFit="1" customWidth="1"/>
    <col min="2681" max="2681" width="17.21875" bestFit="1" customWidth="1"/>
    <col min="2682" max="2682" width="13.44140625" bestFit="1" customWidth="1"/>
    <col min="2683" max="2684" width="5.5546875" bestFit="1" customWidth="1"/>
    <col min="2685" max="2688" width="6.5546875" bestFit="1" customWidth="1"/>
    <col min="2689" max="2696" width="7.5546875" bestFit="1" customWidth="1"/>
    <col min="2697" max="2707" width="9.109375" bestFit="1" customWidth="1"/>
    <col min="2708" max="2731" width="10.109375" bestFit="1" customWidth="1"/>
    <col min="2732" max="2732" width="11.109375" bestFit="1" customWidth="1"/>
    <col min="2733" max="2733" width="17.21875" bestFit="1" customWidth="1"/>
    <col min="2734" max="2734" width="13.44140625" bestFit="1" customWidth="1"/>
    <col min="2735" max="2735" width="17.21875" bestFit="1" customWidth="1"/>
    <col min="2736" max="2736" width="13.44140625" bestFit="1" customWidth="1"/>
    <col min="2737" max="2737" width="17.21875" bestFit="1" customWidth="1"/>
    <col min="2738" max="2738" width="13.44140625" bestFit="1" customWidth="1"/>
    <col min="2739" max="2739" width="17.21875" bestFit="1" customWidth="1"/>
    <col min="2740" max="2740" width="13.44140625" bestFit="1" customWidth="1"/>
    <col min="2741" max="2741" width="17.21875" bestFit="1" customWidth="1"/>
    <col min="2742" max="2742" width="13.44140625" bestFit="1" customWidth="1"/>
    <col min="2743" max="2743" width="6.5546875" bestFit="1" customWidth="1"/>
    <col min="2744" max="2746" width="9.109375" bestFit="1" customWidth="1"/>
    <col min="2747" max="2751" width="10.109375" bestFit="1" customWidth="1"/>
    <col min="2752" max="2752" width="17.21875" bestFit="1" customWidth="1"/>
    <col min="2753" max="2753" width="13.44140625" bestFit="1" customWidth="1"/>
    <col min="2754" max="2754" width="17.21875" bestFit="1" customWidth="1"/>
    <col min="2755" max="2755" width="13.44140625" bestFit="1" customWidth="1"/>
    <col min="2756" max="2756" width="6.5546875" bestFit="1" customWidth="1"/>
    <col min="2757" max="2757" width="17.21875" bestFit="1" customWidth="1"/>
    <col min="2758" max="2758" width="13.44140625" bestFit="1" customWidth="1"/>
    <col min="2759" max="2759" width="17.21875" bestFit="1" customWidth="1"/>
    <col min="2760" max="2760" width="13.44140625" bestFit="1" customWidth="1"/>
    <col min="2761" max="2761" width="17.21875" bestFit="1" customWidth="1"/>
    <col min="2762" max="2762" width="13.44140625" bestFit="1" customWidth="1"/>
    <col min="2763" max="2763" width="5.5546875" bestFit="1" customWidth="1"/>
    <col min="2764" max="2764" width="9.109375" bestFit="1" customWidth="1"/>
    <col min="2765" max="2774" width="10.109375" bestFit="1" customWidth="1"/>
    <col min="2775" max="2775" width="17.21875" bestFit="1" customWidth="1"/>
    <col min="2776" max="2776" width="13.44140625" bestFit="1" customWidth="1"/>
    <col min="2777" max="2777" width="17.21875" bestFit="1" customWidth="1"/>
    <col min="2778" max="2778" width="13.44140625" bestFit="1" customWidth="1"/>
    <col min="2779" max="2779" width="17.21875" bestFit="1" customWidth="1"/>
    <col min="2780" max="2780" width="13.44140625" bestFit="1" customWidth="1"/>
    <col min="2781" max="2781" width="17.21875" bestFit="1" customWidth="1"/>
    <col min="2782" max="2782" width="13.44140625" bestFit="1" customWidth="1"/>
    <col min="2783" max="2783" width="5.5546875" bestFit="1" customWidth="1"/>
    <col min="2784" max="2784" width="7.5546875" bestFit="1" customWidth="1"/>
    <col min="2785" max="2787" width="9.109375" bestFit="1" customWidth="1"/>
    <col min="2788" max="2793" width="10.109375" bestFit="1" customWidth="1"/>
    <col min="2794" max="2794" width="17.21875" bestFit="1" customWidth="1"/>
    <col min="2795" max="2795" width="13.44140625" bestFit="1" customWidth="1"/>
    <col min="2796" max="2796" width="17.21875" bestFit="1" customWidth="1"/>
    <col min="2797" max="2797" width="13.44140625" bestFit="1" customWidth="1"/>
    <col min="2798" max="2798" width="9.109375" bestFit="1" customWidth="1"/>
    <col min="2799" max="2800" width="10.109375" bestFit="1" customWidth="1"/>
    <col min="2801" max="2801" width="17.21875" bestFit="1" customWidth="1"/>
    <col min="2802" max="2802" width="13.44140625" bestFit="1" customWidth="1"/>
    <col min="2803" max="2803" width="17.21875" bestFit="1" customWidth="1"/>
    <col min="2804" max="2804" width="13.44140625" bestFit="1" customWidth="1"/>
    <col min="2805" max="2805" width="5.5546875" bestFit="1" customWidth="1"/>
    <col min="2806" max="2816" width="6.5546875" bestFit="1" customWidth="1"/>
    <col min="2817" max="2837" width="7.5546875" bestFit="1" customWidth="1"/>
    <col min="2838" max="2857" width="9.109375" bestFit="1" customWidth="1"/>
    <col min="2858" max="2914" width="10.109375" bestFit="1" customWidth="1"/>
    <col min="2915" max="2915" width="17.21875" bestFit="1" customWidth="1"/>
    <col min="2916" max="2916" width="13.44140625" bestFit="1" customWidth="1"/>
    <col min="2917" max="2917" width="10.109375" bestFit="1" customWidth="1"/>
    <col min="2918" max="2918" width="17.21875" bestFit="1" customWidth="1"/>
    <col min="2919" max="2919" width="13.44140625" bestFit="1" customWidth="1"/>
    <col min="2920" max="2922" width="7.5546875" bestFit="1" customWidth="1"/>
    <col min="2923" max="2924" width="9.109375" bestFit="1" customWidth="1"/>
    <col min="2925" max="2929" width="10.109375" bestFit="1" customWidth="1"/>
    <col min="2930" max="2930" width="17.21875" bestFit="1" customWidth="1"/>
    <col min="2931" max="2931" width="13.44140625" bestFit="1" customWidth="1"/>
    <col min="2932" max="2932" width="17.21875" bestFit="1" customWidth="1"/>
    <col min="2933" max="2933" width="13.44140625" bestFit="1" customWidth="1"/>
    <col min="2934" max="2934" width="17.21875" bestFit="1" customWidth="1"/>
    <col min="2935" max="2935" width="13.44140625" bestFit="1" customWidth="1"/>
    <col min="2936" max="2936" width="9.109375" bestFit="1" customWidth="1"/>
    <col min="2937" max="2937" width="17.21875" bestFit="1" customWidth="1"/>
    <col min="2938" max="2938" width="13.44140625" bestFit="1" customWidth="1"/>
    <col min="2939" max="2939" width="17.21875" bestFit="1" customWidth="1"/>
    <col min="2940" max="2940" width="13.44140625" bestFit="1" customWidth="1"/>
    <col min="2941" max="2941" width="17.21875" bestFit="1" customWidth="1"/>
    <col min="2942" max="2942" width="13.44140625" bestFit="1" customWidth="1"/>
    <col min="2943" max="2946" width="9.109375" bestFit="1" customWidth="1"/>
    <col min="2947" max="2949" width="10.109375" bestFit="1" customWidth="1"/>
    <col min="2950" max="2950" width="17.21875" bestFit="1" customWidth="1"/>
    <col min="2951" max="2951" width="13.44140625" bestFit="1" customWidth="1"/>
    <col min="2952" max="2952" width="17.21875" bestFit="1" customWidth="1"/>
    <col min="2953" max="2953" width="13.44140625" bestFit="1" customWidth="1"/>
    <col min="2954" max="2954" width="17.21875" bestFit="1" customWidth="1"/>
    <col min="2955" max="2955" width="13.44140625" bestFit="1" customWidth="1"/>
    <col min="2956" max="2956" width="5.5546875" bestFit="1" customWidth="1"/>
    <col min="2957" max="2957" width="9.109375" bestFit="1" customWidth="1"/>
    <col min="2958" max="2959" width="10.109375" bestFit="1" customWidth="1"/>
    <col min="2960" max="2960" width="17.21875" bestFit="1" customWidth="1"/>
    <col min="2961" max="2961" width="13.44140625" bestFit="1" customWidth="1"/>
    <col min="2962" max="2962" width="17.21875" bestFit="1" customWidth="1"/>
    <col min="2963" max="2963" width="13.44140625" bestFit="1" customWidth="1"/>
    <col min="2964" max="2966" width="5.5546875" bestFit="1" customWidth="1"/>
    <col min="2967" max="2968" width="6.5546875" bestFit="1" customWidth="1"/>
    <col min="2969" max="2973" width="9.109375" bestFit="1" customWidth="1"/>
    <col min="2974" max="2984" width="10.109375" bestFit="1" customWidth="1"/>
    <col min="2985" max="2985" width="17.21875" bestFit="1" customWidth="1"/>
    <col min="2986" max="2986" width="13.44140625" bestFit="1" customWidth="1"/>
    <col min="2987" max="2992" width="10.109375" bestFit="1" customWidth="1"/>
    <col min="2993" max="2993" width="17.21875" bestFit="1" customWidth="1"/>
    <col min="2994" max="2994" width="13.44140625" bestFit="1" customWidth="1"/>
    <col min="2995" max="2995" width="17.21875" bestFit="1" customWidth="1"/>
    <col min="2996" max="2996" width="13.44140625" bestFit="1" customWidth="1"/>
    <col min="2997" max="2997" width="17.21875" bestFit="1" customWidth="1"/>
    <col min="2998" max="2998" width="13.44140625" bestFit="1" customWidth="1"/>
    <col min="2999" max="2999" width="17.21875" bestFit="1" customWidth="1"/>
    <col min="3000" max="3000" width="13.44140625" bestFit="1" customWidth="1"/>
    <col min="3001" max="3001" width="9.109375" bestFit="1" customWidth="1"/>
    <col min="3002" max="3004" width="10.109375" bestFit="1" customWidth="1"/>
    <col min="3005" max="3005" width="17.21875" bestFit="1" customWidth="1"/>
    <col min="3006" max="3006" width="13.44140625" bestFit="1" customWidth="1"/>
    <col min="3007" max="3007" width="10.109375" bestFit="1" customWidth="1"/>
    <col min="3008" max="3008" width="17.21875" bestFit="1" customWidth="1"/>
    <col min="3009" max="3009" width="13.44140625" bestFit="1" customWidth="1"/>
    <col min="3010" max="3010" width="17.21875" bestFit="1" customWidth="1"/>
    <col min="3011" max="3011" width="13.44140625" bestFit="1" customWidth="1"/>
    <col min="3012" max="3012" width="17.21875" bestFit="1" customWidth="1"/>
    <col min="3013" max="3013" width="13.44140625" bestFit="1" customWidth="1"/>
    <col min="3014" max="3017" width="5.5546875" bestFit="1" customWidth="1"/>
    <col min="3018" max="3030" width="6.5546875" bestFit="1" customWidth="1"/>
    <col min="3031" max="3049" width="7.5546875" bestFit="1" customWidth="1"/>
    <col min="3050" max="3068" width="9.109375" bestFit="1" customWidth="1"/>
    <col min="3069" max="3109" width="10.109375" bestFit="1" customWidth="1"/>
    <col min="3110" max="3113" width="11.109375" bestFit="1" customWidth="1"/>
    <col min="3114" max="3114" width="17.21875" bestFit="1" customWidth="1"/>
    <col min="3115" max="3115" width="13.44140625" bestFit="1" customWidth="1"/>
    <col min="3116" max="3117" width="10.109375" bestFit="1" customWidth="1"/>
    <col min="3118" max="3118" width="11.109375" bestFit="1" customWidth="1"/>
    <col min="3119" max="3119" width="17.21875" bestFit="1" customWidth="1"/>
    <col min="3120" max="3120" width="13.44140625" bestFit="1" customWidth="1"/>
    <col min="3121" max="3121" width="5.5546875" bestFit="1" customWidth="1"/>
    <col min="3122" max="3123" width="6.5546875" bestFit="1" customWidth="1"/>
    <col min="3124" max="3125" width="7.5546875" bestFit="1" customWidth="1"/>
    <col min="3126" max="3126" width="9.109375" bestFit="1" customWidth="1"/>
    <col min="3127" max="3132" width="10.109375" bestFit="1" customWidth="1"/>
    <col min="3133" max="3133" width="17.21875" bestFit="1" customWidth="1"/>
    <col min="3134" max="3134" width="13.44140625" bestFit="1" customWidth="1"/>
    <col min="3135" max="3135" width="17.21875" bestFit="1" customWidth="1"/>
    <col min="3136" max="3136" width="13.44140625" bestFit="1" customWidth="1"/>
    <col min="3137" max="3137" width="9.109375" bestFit="1" customWidth="1"/>
    <col min="3138" max="3138" width="17.21875" bestFit="1" customWidth="1"/>
    <col min="3139" max="3139" width="13.44140625" bestFit="1" customWidth="1"/>
    <col min="3140" max="3140" width="17.21875" bestFit="1" customWidth="1"/>
    <col min="3141" max="3141" width="13.44140625" bestFit="1" customWidth="1"/>
    <col min="3142" max="3142" width="9.109375" bestFit="1" customWidth="1"/>
    <col min="3143" max="3146" width="10.109375" bestFit="1" customWidth="1"/>
    <col min="3147" max="3147" width="17.21875" bestFit="1" customWidth="1"/>
    <col min="3148" max="3148" width="13.44140625" bestFit="1" customWidth="1"/>
    <col min="3149" max="3149" width="17.21875" bestFit="1" customWidth="1"/>
    <col min="3150" max="3150" width="13.44140625" bestFit="1" customWidth="1"/>
    <col min="3151" max="3152" width="10.109375" bestFit="1" customWidth="1"/>
    <col min="3153" max="3153" width="17.21875" bestFit="1" customWidth="1"/>
    <col min="3154" max="3154" width="13.44140625" bestFit="1" customWidth="1"/>
    <col min="3155" max="3155" width="17.21875" bestFit="1" customWidth="1"/>
    <col min="3156" max="3156" width="13.44140625" bestFit="1" customWidth="1"/>
    <col min="3157" max="3157" width="7.5546875" bestFit="1" customWidth="1"/>
    <col min="3158" max="3158" width="10.109375" bestFit="1" customWidth="1"/>
    <col min="3159" max="3159" width="17.21875" bestFit="1" customWidth="1"/>
    <col min="3160" max="3160" width="13.44140625" bestFit="1" customWidth="1"/>
    <col min="3161" max="3163" width="5.5546875" bestFit="1" customWidth="1"/>
    <col min="3164" max="3169" width="6.5546875" bestFit="1" customWidth="1"/>
    <col min="3170" max="3187" width="7.5546875" bestFit="1" customWidth="1"/>
    <col min="3188" max="3205" width="9.109375" bestFit="1" customWidth="1"/>
    <col min="3206" max="3253" width="10.109375" bestFit="1" customWidth="1"/>
    <col min="3254" max="3255" width="11.109375" bestFit="1" customWidth="1"/>
    <col min="3256" max="3256" width="17.21875" bestFit="1" customWidth="1"/>
    <col min="3257" max="3257" width="13.44140625" bestFit="1" customWidth="1"/>
    <col min="3258" max="3258" width="6.5546875" bestFit="1" customWidth="1"/>
    <col min="3259" max="3259" width="7.5546875" bestFit="1" customWidth="1"/>
    <col min="3260" max="3260" width="9.109375" bestFit="1" customWidth="1"/>
    <col min="3261" max="3261" width="10.109375" bestFit="1" customWidth="1"/>
    <col min="3262" max="3262" width="17.21875" bestFit="1" customWidth="1"/>
    <col min="3263" max="3263" width="13.44140625" bestFit="1" customWidth="1"/>
    <col min="3264" max="3264" width="10.109375" bestFit="1" customWidth="1"/>
    <col min="3265" max="3265" width="17.21875" bestFit="1" customWidth="1"/>
    <col min="3266" max="3266" width="13.44140625" bestFit="1" customWidth="1"/>
    <col min="3267" max="3267" width="9.109375" bestFit="1" customWidth="1"/>
    <col min="3268" max="3269" width="10.109375" bestFit="1" customWidth="1"/>
    <col min="3270" max="3270" width="17.21875" bestFit="1" customWidth="1"/>
    <col min="3271" max="3271" width="13.44140625" bestFit="1" customWidth="1"/>
    <col min="3272" max="3272" width="17.21875" bestFit="1" customWidth="1"/>
    <col min="3273" max="3273" width="13.44140625" bestFit="1" customWidth="1"/>
    <col min="3274" max="3274" width="17.21875" bestFit="1" customWidth="1"/>
    <col min="3275" max="3275" width="13.44140625" bestFit="1" customWidth="1"/>
    <col min="3276" max="3276" width="5.5546875" bestFit="1" customWidth="1"/>
    <col min="3277" max="3277" width="7.5546875" bestFit="1" customWidth="1"/>
    <col min="3278" max="3278" width="9.109375" bestFit="1" customWidth="1"/>
    <col min="3279" max="3281" width="10.109375" bestFit="1" customWidth="1"/>
    <col min="3282" max="3282" width="17.21875" bestFit="1" customWidth="1"/>
    <col min="3283" max="3283" width="13.44140625" bestFit="1" customWidth="1"/>
    <col min="3284" max="3284" width="17.21875" bestFit="1" customWidth="1"/>
    <col min="3285" max="3285" width="13.44140625" bestFit="1" customWidth="1"/>
    <col min="3286" max="3286" width="17.21875" bestFit="1" customWidth="1"/>
    <col min="3287" max="3287" width="13.44140625" bestFit="1" customWidth="1"/>
    <col min="3288" max="3288" width="9.109375" bestFit="1" customWidth="1"/>
    <col min="3289" max="3289" width="17.21875" bestFit="1" customWidth="1"/>
    <col min="3290" max="3290" width="13.44140625" bestFit="1" customWidth="1"/>
    <col min="3291" max="3293" width="5.5546875" bestFit="1" customWidth="1"/>
    <col min="3294" max="3298" width="6.5546875" bestFit="1" customWidth="1"/>
    <col min="3299" max="3304" width="7.5546875" bestFit="1" customWidth="1"/>
    <col min="3305" max="3317" width="9.109375" bestFit="1" customWidth="1"/>
    <col min="3318" max="3345" width="10.109375" bestFit="1" customWidth="1"/>
    <col min="3346" max="3347" width="11.109375" bestFit="1" customWidth="1"/>
    <col min="3348" max="3348" width="12.6640625" bestFit="1" customWidth="1"/>
    <col min="3349" max="3349" width="17.21875" bestFit="1" customWidth="1"/>
    <col min="3350" max="3350" width="13.44140625" bestFit="1" customWidth="1"/>
    <col min="3351" max="3351" width="10.109375" bestFit="1" customWidth="1"/>
    <col min="3352" max="3352" width="17.21875" bestFit="1" customWidth="1"/>
    <col min="3353" max="3353" width="13.44140625" bestFit="1" customWidth="1"/>
    <col min="3354" max="3354" width="10.109375" bestFit="1" customWidth="1"/>
    <col min="3355" max="3355" width="17.21875" bestFit="1" customWidth="1"/>
    <col min="3356" max="3356" width="13.44140625" bestFit="1" customWidth="1"/>
    <col min="3357" max="3357" width="17.21875" bestFit="1" customWidth="1"/>
    <col min="3358" max="3358" width="13.44140625" bestFit="1" customWidth="1"/>
    <col min="3359" max="3359" width="17.21875" bestFit="1" customWidth="1"/>
    <col min="3360" max="3360" width="13.44140625" bestFit="1" customWidth="1"/>
    <col min="3361" max="3361" width="17.21875" bestFit="1" customWidth="1"/>
    <col min="3362" max="3362" width="13.44140625" bestFit="1" customWidth="1"/>
    <col min="3363" max="3365" width="9.109375" bestFit="1" customWidth="1"/>
    <col min="3366" max="3366" width="17.21875" bestFit="1" customWidth="1"/>
    <col min="3367" max="3367" width="13.44140625" bestFit="1" customWidth="1"/>
    <col min="3368" max="3368" width="17.21875" bestFit="1" customWidth="1"/>
    <col min="3369" max="3369" width="13.44140625" bestFit="1" customWidth="1"/>
    <col min="3370" max="3370" width="17.21875" bestFit="1" customWidth="1"/>
    <col min="3371" max="3371" width="13.44140625" bestFit="1" customWidth="1"/>
    <col min="3372" max="3372" width="5.5546875" bestFit="1" customWidth="1"/>
    <col min="3373" max="3375" width="6.5546875" bestFit="1" customWidth="1"/>
    <col min="3376" max="3380" width="7.5546875" bestFit="1" customWidth="1"/>
    <col min="3381" max="3385" width="9.109375" bestFit="1" customWidth="1"/>
    <col min="3386" max="3407" width="10.109375" bestFit="1" customWidth="1"/>
    <col min="3408" max="3409" width="11.109375" bestFit="1" customWidth="1"/>
    <col min="3410" max="3410" width="17.21875" bestFit="1" customWidth="1"/>
    <col min="3411" max="3411" width="13.44140625" bestFit="1" customWidth="1"/>
    <col min="3412" max="3412" width="17.21875" bestFit="1" customWidth="1"/>
    <col min="3413" max="3413" width="13.44140625" bestFit="1" customWidth="1"/>
    <col min="3414" max="3414" width="17.21875" bestFit="1" customWidth="1"/>
    <col min="3415" max="3415" width="13.44140625" bestFit="1" customWidth="1"/>
    <col min="3416" max="3416" width="7.5546875" bestFit="1" customWidth="1"/>
    <col min="3417" max="3417" width="17.21875" bestFit="1" customWidth="1"/>
    <col min="3418" max="3418" width="13.44140625" bestFit="1" customWidth="1"/>
    <col min="3419" max="3419" width="17.21875" bestFit="1" customWidth="1"/>
    <col min="3420" max="3420" width="13.44140625" bestFit="1" customWidth="1"/>
    <col min="3421" max="3421" width="17.21875" bestFit="1" customWidth="1"/>
    <col min="3422" max="3422" width="13.44140625" bestFit="1" customWidth="1"/>
    <col min="3423" max="3423" width="9.109375" bestFit="1" customWidth="1"/>
    <col min="3424" max="3425" width="10.109375" bestFit="1" customWidth="1"/>
    <col min="3426" max="3426" width="17.21875" bestFit="1" customWidth="1"/>
    <col min="3427" max="3427" width="13.44140625" bestFit="1" customWidth="1"/>
    <col min="3428" max="3428" width="17.21875" bestFit="1" customWidth="1"/>
    <col min="3429" max="3429" width="13.44140625" bestFit="1" customWidth="1"/>
    <col min="3430" max="3430" width="7.5546875" bestFit="1" customWidth="1"/>
    <col min="3431" max="3431" width="17.21875" bestFit="1" customWidth="1"/>
    <col min="3432" max="3432" width="13.44140625" bestFit="1" customWidth="1"/>
    <col min="3433" max="3433" width="17.21875" bestFit="1" customWidth="1"/>
    <col min="3434" max="3434" width="13.44140625" bestFit="1" customWidth="1"/>
    <col min="3435" max="3435" width="6.5546875" bestFit="1" customWidth="1"/>
    <col min="3436" max="3439" width="7.5546875" bestFit="1" customWidth="1"/>
    <col min="3440" max="3446" width="9.109375" bestFit="1" customWidth="1"/>
    <col min="3447" max="3464" width="10.109375" bestFit="1" customWidth="1"/>
    <col min="3465" max="3466" width="11.109375" bestFit="1" customWidth="1"/>
    <col min="3467" max="3467" width="17.21875" bestFit="1" customWidth="1"/>
    <col min="3468" max="3468" width="13.44140625" bestFit="1" customWidth="1"/>
    <col min="3469" max="3469" width="10.109375" bestFit="1" customWidth="1"/>
    <col min="3470" max="3470" width="11.109375" bestFit="1" customWidth="1"/>
    <col min="3471" max="3471" width="17.21875" bestFit="1" customWidth="1"/>
    <col min="3472" max="3472" width="13.44140625" bestFit="1" customWidth="1"/>
    <col min="3473" max="3473" width="17.21875" bestFit="1" customWidth="1"/>
    <col min="3474" max="3474" width="13.44140625" bestFit="1" customWidth="1"/>
    <col min="3475" max="3475" width="17.21875" bestFit="1" customWidth="1"/>
    <col min="3476" max="3476" width="13.44140625" bestFit="1" customWidth="1"/>
    <col min="3477" max="3477" width="17.21875" bestFit="1" customWidth="1"/>
    <col min="3478" max="3478" width="13.44140625" bestFit="1" customWidth="1"/>
    <col min="3479" max="3479" width="17.21875" bestFit="1" customWidth="1"/>
    <col min="3480" max="3480" width="13.44140625" bestFit="1" customWidth="1"/>
    <col min="3481" max="3481" width="17.21875" bestFit="1" customWidth="1"/>
    <col min="3482" max="3482" width="13.44140625" bestFit="1" customWidth="1"/>
    <col min="3483" max="3483" width="6.5546875" bestFit="1" customWidth="1"/>
    <col min="3484" max="3487" width="7.5546875" bestFit="1" customWidth="1"/>
    <col min="3488" max="3488" width="9.109375" bestFit="1" customWidth="1"/>
    <col min="3489" max="3492" width="10.109375" bestFit="1" customWidth="1"/>
    <col min="3493" max="3493" width="17.21875" bestFit="1" customWidth="1"/>
    <col min="3494" max="3494" width="13.44140625" bestFit="1" customWidth="1"/>
    <col min="3495" max="3495" width="17.21875" bestFit="1" customWidth="1"/>
    <col min="3496" max="3496" width="13.44140625" bestFit="1" customWidth="1"/>
    <col min="3497" max="3497" width="17.21875" bestFit="1" customWidth="1"/>
    <col min="3498" max="3498" width="13.44140625" bestFit="1" customWidth="1"/>
    <col min="3499" max="3499" width="9.109375" bestFit="1" customWidth="1"/>
    <col min="3500" max="3501" width="10.109375" bestFit="1" customWidth="1"/>
    <col min="3502" max="3502" width="17.21875" bestFit="1" customWidth="1"/>
    <col min="3503" max="3503" width="13.44140625" bestFit="1" customWidth="1"/>
    <col min="3504" max="3504" width="17.21875" bestFit="1" customWidth="1"/>
    <col min="3505" max="3505" width="13.44140625" bestFit="1" customWidth="1"/>
    <col min="3506" max="3506" width="17.21875" bestFit="1" customWidth="1"/>
    <col min="3507" max="3507" width="13.44140625" bestFit="1" customWidth="1"/>
    <col min="3508" max="3508" width="10.109375" bestFit="1" customWidth="1"/>
    <col min="3509" max="3509" width="17.21875" bestFit="1" customWidth="1"/>
    <col min="3510" max="3510" width="13.44140625" bestFit="1" customWidth="1"/>
    <col min="3511" max="3515" width="5.5546875" bestFit="1" customWidth="1"/>
    <col min="3516" max="3525" width="6.5546875" bestFit="1" customWidth="1"/>
    <col min="3526" max="3543" width="7.5546875" bestFit="1" customWidth="1"/>
    <col min="3544" max="3561" width="9.109375" bestFit="1" customWidth="1"/>
    <col min="3562" max="3590" width="10.109375" bestFit="1" customWidth="1"/>
    <col min="3591" max="3603" width="11.109375" bestFit="1" customWidth="1"/>
    <col min="3604" max="3604" width="17.21875" bestFit="1" customWidth="1"/>
    <col min="3605" max="3605" width="13.44140625" bestFit="1" customWidth="1"/>
    <col min="3606" max="3606" width="17.21875" bestFit="1" customWidth="1"/>
    <col min="3607" max="3607" width="13.44140625" bestFit="1" customWidth="1"/>
    <col min="3608" max="3608" width="17.21875" bestFit="1" customWidth="1"/>
    <col min="3609" max="3609" width="13.44140625" bestFit="1" customWidth="1"/>
    <col min="3610" max="3610" width="9.109375" bestFit="1" customWidth="1"/>
    <col min="3611" max="3611" width="17.21875" bestFit="1" customWidth="1"/>
    <col min="3612" max="3612" width="13.44140625" bestFit="1" customWidth="1"/>
    <col min="3613" max="3614" width="7.5546875" bestFit="1" customWidth="1"/>
    <col min="3615" max="3617" width="9.109375" bestFit="1" customWidth="1"/>
    <col min="3618" max="3618" width="10.109375" bestFit="1" customWidth="1"/>
    <col min="3619" max="3619" width="11.109375" bestFit="1" customWidth="1"/>
    <col min="3620" max="3620" width="17.21875" bestFit="1" customWidth="1"/>
    <col min="3621" max="3621" width="13.44140625" bestFit="1" customWidth="1"/>
    <col min="3622" max="3622" width="17.21875" bestFit="1" customWidth="1"/>
    <col min="3623" max="3623" width="13.44140625" bestFit="1" customWidth="1"/>
    <col min="3624" max="3624" width="17.21875" bestFit="1" customWidth="1"/>
    <col min="3625" max="3625" width="13.44140625" bestFit="1" customWidth="1"/>
    <col min="3626" max="3626" width="17.21875" bestFit="1" customWidth="1"/>
    <col min="3627" max="3627" width="13.44140625" bestFit="1" customWidth="1"/>
    <col min="3628" max="3628" width="17.21875" bestFit="1" customWidth="1"/>
    <col min="3629" max="3629" width="13.44140625" bestFit="1" customWidth="1"/>
    <col min="3630" max="3631" width="5.5546875" bestFit="1" customWidth="1"/>
    <col min="3632" max="3635" width="6.5546875" bestFit="1" customWidth="1"/>
    <col min="3636" max="3643" width="7.5546875" bestFit="1" customWidth="1"/>
    <col min="3644" max="3647" width="9.109375" bestFit="1" customWidth="1"/>
    <col min="3648" max="3650" width="10.109375" bestFit="1" customWidth="1"/>
    <col min="3651" max="3651" width="11.109375" bestFit="1" customWidth="1"/>
    <col min="3652" max="3652" width="17.21875" bestFit="1" customWidth="1"/>
    <col min="3653" max="3653" width="13.44140625" bestFit="1" customWidth="1"/>
    <col min="3654" max="3654" width="6.5546875" bestFit="1" customWidth="1"/>
    <col min="3655" max="3656" width="7.5546875" bestFit="1" customWidth="1"/>
    <col min="3657" max="3660" width="10.109375" bestFit="1" customWidth="1"/>
    <col min="3661" max="3661" width="17.21875" bestFit="1" customWidth="1"/>
    <col min="3662" max="3662" width="13.44140625" bestFit="1" customWidth="1"/>
    <col min="3663" max="3663" width="17.21875" bestFit="1" customWidth="1"/>
    <col min="3664" max="3664" width="13.44140625" bestFit="1" customWidth="1"/>
    <col min="3665" max="3665" width="10.109375" bestFit="1" customWidth="1"/>
    <col min="3666" max="3666" width="11.109375" bestFit="1" customWidth="1"/>
    <col min="3667" max="3667" width="17.21875" bestFit="1" customWidth="1"/>
    <col min="3668" max="3668" width="13.44140625" bestFit="1" customWidth="1"/>
    <col min="3669" max="3669" width="6.5546875" bestFit="1" customWidth="1"/>
    <col min="3670" max="3671" width="7.5546875" bestFit="1" customWidth="1"/>
    <col min="3672" max="3672" width="9.109375" bestFit="1" customWidth="1"/>
    <col min="3673" max="3675" width="10.109375" bestFit="1" customWidth="1"/>
    <col min="3676" max="3676" width="17.21875" bestFit="1" customWidth="1"/>
    <col min="3677" max="3677" width="13.44140625" bestFit="1" customWidth="1"/>
    <col min="3678" max="3678" width="17.21875" bestFit="1" customWidth="1"/>
    <col min="3679" max="3679" width="13.44140625" bestFit="1" customWidth="1"/>
    <col min="3680" max="3680" width="17.21875" bestFit="1" customWidth="1"/>
    <col min="3681" max="3681" width="13.44140625" bestFit="1" customWidth="1"/>
    <col min="3682" max="3682" width="17.21875" bestFit="1" customWidth="1"/>
    <col min="3683" max="3683" width="13.44140625" bestFit="1" customWidth="1"/>
    <col min="3684" max="3685" width="5.5546875" bestFit="1" customWidth="1"/>
    <col min="3686" max="3687" width="6.5546875" bestFit="1" customWidth="1"/>
    <col min="3688" max="3688" width="7.5546875" bestFit="1" customWidth="1"/>
    <col min="3689" max="3692" width="9.109375" bestFit="1" customWidth="1"/>
    <col min="3693" max="3698" width="10.109375" bestFit="1" customWidth="1"/>
    <col min="3699" max="3700" width="11.109375" bestFit="1" customWidth="1"/>
    <col min="3701" max="3701" width="17.21875" bestFit="1" customWidth="1"/>
    <col min="3702" max="3702" width="13.44140625" bestFit="1" customWidth="1"/>
    <col min="3703" max="3703" width="17.21875" bestFit="1" customWidth="1"/>
    <col min="3704" max="3704" width="13.44140625" bestFit="1" customWidth="1"/>
    <col min="3705" max="3705" width="5.5546875" bestFit="1" customWidth="1"/>
    <col min="3706" max="3706" width="6.5546875" bestFit="1" customWidth="1"/>
    <col min="3707" max="3709" width="7.5546875" bestFit="1" customWidth="1"/>
    <col min="3710" max="3711" width="9.109375" bestFit="1" customWidth="1"/>
    <col min="3712" max="3713" width="11.109375" bestFit="1" customWidth="1"/>
    <col min="3714" max="3714" width="17.21875" bestFit="1" customWidth="1"/>
    <col min="3715" max="3715" width="13.44140625" bestFit="1" customWidth="1"/>
    <col min="3716" max="3716" width="17.21875" bestFit="1" customWidth="1"/>
    <col min="3717" max="3717" width="13.44140625" bestFit="1" customWidth="1"/>
    <col min="3718" max="3719" width="7.5546875" bestFit="1" customWidth="1"/>
    <col min="3720" max="3721" width="10.109375" bestFit="1" customWidth="1"/>
    <col min="3722" max="3722" width="11.109375" bestFit="1" customWidth="1"/>
    <col min="3723" max="3723" width="17.21875" bestFit="1" customWidth="1"/>
    <col min="3724" max="3724" width="13.44140625" bestFit="1" customWidth="1"/>
    <col min="3725" max="3725" width="17.21875" bestFit="1" customWidth="1"/>
    <col min="3726" max="3726" width="13.44140625" bestFit="1" customWidth="1"/>
    <col min="3727" max="3727" width="17.21875" bestFit="1" customWidth="1"/>
    <col min="3728" max="3728" width="13.44140625" bestFit="1" customWidth="1"/>
    <col min="3729" max="3729" width="7.5546875" bestFit="1" customWidth="1"/>
    <col min="3730" max="3730" width="17.21875" bestFit="1" customWidth="1"/>
    <col min="3731" max="3731" width="13.44140625" bestFit="1" customWidth="1"/>
    <col min="3732" max="3732" width="17.21875" bestFit="1" customWidth="1"/>
    <col min="3733" max="3733" width="13.44140625" bestFit="1" customWidth="1"/>
    <col min="3734" max="3734" width="7.5546875" bestFit="1" customWidth="1"/>
    <col min="3735" max="3736" width="9.109375" bestFit="1" customWidth="1"/>
    <col min="3737" max="3737" width="10.109375" bestFit="1" customWidth="1"/>
    <col min="3738" max="3738" width="17.21875" bestFit="1" customWidth="1"/>
    <col min="3739" max="3739" width="13.44140625" bestFit="1" customWidth="1"/>
    <col min="3740" max="3740" width="17.21875" bestFit="1" customWidth="1"/>
    <col min="3741" max="3741" width="13.44140625" bestFit="1" customWidth="1"/>
    <col min="3742" max="3742" width="17.21875" bestFit="1" customWidth="1"/>
    <col min="3743" max="3743" width="13.44140625" bestFit="1" customWidth="1"/>
    <col min="3744" max="3744" width="9.109375" bestFit="1" customWidth="1"/>
    <col min="3745" max="3745" width="10.109375" bestFit="1" customWidth="1"/>
    <col min="3746" max="3746" width="17.21875" bestFit="1" customWidth="1"/>
    <col min="3747" max="3747" width="13.44140625" bestFit="1" customWidth="1"/>
    <col min="3748" max="3748" width="17.21875" bestFit="1" customWidth="1"/>
    <col min="3749" max="3749" width="13.44140625" bestFit="1" customWidth="1"/>
    <col min="3750" max="3750" width="11.109375" bestFit="1" customWidth="1"/>
    <col min="3751" max="3751" width="17.21875" bestFit="1" customWidth="1"/>
    <col min="3752" max="3752" width="13.44140625" bestFit="1" customWidth="1"/>
    <col min="3753" max="3753" width="17.21875" bestFit="1" customWidth="1"/>
    <col min="3754" max="3754" width="14.44140625" bestFit="1" customWidth="1"/>
    <col min="3755" max="3756" width="5.5546875" bestFit="1" customWidth="1"/>
    <col min="3757" max="3764" width="6.5546875" bestFit="1" customWidth="1"/>
    <col min="3765" max="3774" width="7.5546875" bestFit="1" customWidth="1"/>
    <col min="3775" max="3785" width="9.109375" bestFit="1" customWidth="1"/>
    <col min="3786" max="3791" width="10.109375" bestFit="1" customWidth="1"/>
    <col min="3792" max="3806" width="11.109375" bestFit="1" customWidth="1"/>
    <col min="3807" max="3807" width="18.21875" bestFit="1" customWidth="1"/>
    <col min="3808" max="3808" width="14.44140625" bestFit="1" customWidth="1"/>
    <col min="3809" max="3809" width="18.21875" bestFit="1" customWidth="1"/>
    <col min="3810" max="3810" width="14.44140625" bestFit="1" customWidth="1"/>
    <col min="3811" max="3811" width="18.21875" bestFit="1" customWidth="1"/>
    <col min="3812" max="3812" width="14.44140625" bestFit="1" customWidth="1"/>
    <col min="3813" max="3814" width="5.5546875" bestFit="1" customWidth="1"/>
    <col min="3815" max="3817" width="6.5546875" bestFit="1" customWidth="1"/>
    <col min="3818" max="3818" width="7.5546875" bestFit="1" customWidth="1"/>
    <col min="3819" max="3819" width="10.109375" bestFit="1" customWidth="1"/>
    <col min="3820" max="3820" width="18.21875" bestFit="1" customWidth="1"/>
    <col min="3821" max="3821" width="14.44140625" bestFit="1" customWidth="1"/>
    <col min="3822" max="3822" width="18.21875" bestFit="1" customWidth="1"/>
    <col min="3823" max="3823" width="14.44140625" bestFit="1" customWidth="1"/>
    <col min="3824" max="3824" width="18.21875" bestFit="1" customWidth="1"/>
    <col min="3825" max="3825" width="14.44140625" bestFit="1" customWidth="1"/>
    <col min="3826" max="3826" width="18.21875" bestFit="1" customWidth="1"/>
    <col min="3827" max="3827" width="14.44140625" bestFit="1" customWidth="1"/>
    <col min="3828" max="3828" width="18.21875" bestFit="1" customWidth="1"/>
    <col min="3829" max="3829" width="14.44140625" bestFit="1" customWidth="1"/>
    <col min="3830" max="3830" width="18.21875" bestFit="1" customWidth="1"/>
    <col min="3831" max="3831" width="14.44140625" bestFit="1" customWidth="1"/>
    <col min="3832" max="3833" width="6.5546875" bestFit="1" customWidth="1"/>
    <col min="3834" max="3834" width="7.5546875" bestFit="1" customWidth="1"/>
    <col min="3835" max="3835" width="10.109375" bestFit="1" customWidth="1"/>
    <col min="3836" max="3837" width="11.109375" bestFit="1" customWidth="1"/>
    <col min="3838" max="3838" width="18.21875" bestFit="1" customWidth="1"/>
    <col min="3839" max="3839" width="14.44140625" bestFit="1" customWidth="1"/>
    <col min="3840" max="3840" width="18.21875" bestFit="1" customWidth="1"/>
    <col min="3841" max="3841" width="14.44140625" bestFit="1" customWidth="1"/>
    <col min="3842" max="3842" width="10.109375" bestFit="1" customWidth="1"/>
    <col min="3843" max="3843" width="11.109375" bestFit="1" customWidth="1"/>
    <col min="3844" max="3844" width="18.21875" bestFit="1" customWidth="1"/>
    <col min="3845" max="3845" width="14.44140625" bestFit="1" customWidth="1"/>
    <col min="3846" max="3846" width="18.21875" bestFit="1" customWidth="1"/>
    <col min="3847" max="3847" width="14.44140625" bestFit="1" customWidth="1"/>
    <col min="3848" max="3848" width="18.21875" bestFit="1" customWidth="1"/>
    <col min="3849" max="3849" width="14.44140625" bestFit="1" customWidth="1"/>
    <col min="3850" max="3850" width="18.21875" bestFit="1" customWidth="1"/>
    <col min="3851" max="3851" width="14.44140625" bestFit="1" customWidth="1"/>
    <col min="3852" max="3852" width="5.5546875" bestFit="1" customWidth="1"/>
    <col min="3853" max="3854" width="6.5546875" bestFit="1" customWidth="1"/>
    <col min="3855" max="3855" width="7.5546875" bestFit="1" customWidth="1"/>
    <col min="3856" max="3861" width="9.109375" bestFit="1" customWidth="1"/>
    <col min="3862" max="3863" width="10.109375" bestFit="1" customWidth="1"/>
    <col min="3864" max="3866" width="11.109375" bestFit="1" customWidth="1"/>
    <col min="3867" max="3867" width="18.21875" bestFit="1" customWidth="1"/>
    <col min="3868" max="3868" width="14.44140625" bestFit="1" customWidth="1"/>
    <col min="3869" max="3869" width="11.109375" bestFit="1" customWidth="1"/>
    <col min="3870" max="3870" width="18.21875" bestFit="1" customWidth="1"/>
    <col min="3871" max="3871" width="14.44140625" bestFit="1" customWidth="1"/>
    <col min="3872" max="3872" width="18.21875" bestFit="1" customWidth="1"/>
    <col min="3873" max="3873" width="14.44140625" bestFit="1" customWidth="1"/>
    <col min="3874" max="3874" width="5.5546875" bestFit="1" customWidth="1"/>
    <col min="3875" max="3875" width="6.5546875" bestFit="1" customWidth="1"/>
    <col min="3876" max="3876" width="18.21875" bestFit="1" customWidth="1"/>
    <col min="3877" max="3877" width="14.44140625" bestFit="1" customWidth="1"/>
    <col min="3878" max="3878" width="18.21875" bestFit="1" customWidth="1"/>
    <col min="3879" max="3879" width="14.44140625" bestFit="1" customWidth="1"/>
    <col min="3880" max="3880" width="6.5546875" bestFit="1" customWidth="1"/>
    <col min="3881" max="3882" width="9.109375" bestFit="1" customWidth="1"/>
    <col min="3883" max="3883" width="18.21875" bestFit="1" customWidth="1"/>
    <col min="3884" max="3884" width="14.44140625" bestFit="1" customWidth="1"/>
    <col min="3885" max="3885" width="18.21875" bestFit="1" customWidth="1"/>
    <col min="3886" max="3886" width="14.44140625" bestFit="1" customWidth="1"/>
    <col min="3887" max="3888" width="5.5546875" bestFit="1" customWidth="1"/>
    <col min="3889" max="3889" width="6.5546875" bestFit="1" customWidth="1"/>
    <col min="3890" max="3894" width="7.5546875" bestFit="1" customWidth="1"/>
    <col min="3895" max="3895" width="9.109375" bestFit="1" customWidth="1"/>
    <col min="3896" max="3898" width="10.109375" bestFit="1" customWidth="1"/>
    <col min="3899" max="3901" width="11.109375" bestFit="1" customWidth="1"/>
    <col min="3902" max="3902" width="18.21875" bestFit="1" customWidth="1"/>
    <col min="3903" max="3903" width="14.44140625" bestFit="1" customWidth="1"/>
    <col min="3904" max="3904" width="9.109375" bestFit="1" customWidth="1"/>
    <col min="3905" max="3905" width="18.21875" bestFit="1" customWidth="1"/>
    <col min="3906" max="3906" width="14.44140625" bestFit="1" customWidth="1"/>
    <col min="3907" max="3907" width="18.21875" bestFit="1" customWidth="1"/>
    <col min="3908" max="3908" width="14.44140625" bestFit="1" customWidth="1"/>
    <col min="3909" max="3909" width="18.21875" bestFit="1" customWidth="1"/>
    <col min="3910" max="3910" width="14.44140625" bestFit="1" customWidth="1"/>
    <col min="3911" max="3911" width="5.5546875" bestFit="1" customWidth="1"/>
    <col min="3912" max="3912" width="6.5546875" bestFit="1" customWidth="1"/>
    <col min="3913" max="3914" width="7.5546875" bestFit="1" customWidth="1"/>
    <col min="3915" max="3916" width="9.109375" bestFit="1" customWidth="1"/>
    <col min="3917" max="3918" width="10.109375" bestFit="1" customWidth="1"/>
    <col min="3919" max="3919" width="11.109375" bestFit="1" customWidth="1"/>
    <col min="3920" max="3920" width="18.21875" bestFit="1" customWidth="1"/>
    <col min="3921" max="3921" width="14.44140625" bestFit="1" customWidth="1"/>
    <col min="3922" max="3922" width="18.21875" bestFit="1" customWidth="1"/>
    <col min="3923" max="3923" width="14.44140625" bestFit="1" customWidth="1"/>
    <col min="3924" max="3924" width="18.21875" bestFit="1" customWidth="1"/>
    <col min="3925" max="3925" width="14.44140625" bestFit="1" customWidth="1"/>
    <col min="3926" max="3927" width="10.109375" bestFit="1" customWidth="1"/>
    <col min="3928" max="3929" width="11.109375" bestFit="1" customWidth="1"/>
    <col min="3930" max="3930" width="18.21875" bestFit="1" customWidth="1"/>
    <col min="3931" max="3931" width="14.44140625" bestFit="1" customWidth="1"/>
    <col min="3932" max="3932" width="18.21875" bestFit="1" customWidth="1"/>
    <col min="3933" max="3933" width="14.44140625" bestFit="1" customWidth="1"/>
    <col min="3934" max="3934" width="10.109375" bestFit="1" customWidth="1"/>
    <col min="3935" max="3935" width="18.21875" bestFit="1" customWidth="1"/>
    <col min="3936" max="3936" width="14.44140625" bestFit="1" customWidth="1"/>
    <col min="3937" max="3937" width="18.21875" bestFit="1" customWidth="1"/>
    <col min="3938" max="3938" width="14.44140625" bestFit="1" customWidth="1"/>
    <col min="3939" max="3939" width="18.21875" bestFit="1" customWidth="1"/>
    <col min="3940" max="3940" width="14.44140625" bestFit="1" customWidth="1"/>
    <col min="3941" max="3941" width="18.21875" bestFit="1" customWidth="1"/>
    <col min="3942" max="3942" width="14.44140625" bestFit="1" customWidth="1"/>
    <col min="3943" max="3943" width="11.109375" bestFit="1" customWidth="1"/>
    <col min="3944" max="3944" width="18.21875" bestFit="1" customWidth="1"/>
    <col min="3945" max="3945" width="14.44140625" bestFit="1" customWidth="1"/>
    <col min="3946" max="3946" width="12.6640625" bestFit="1" customWidth="1"/>
    <col min="3947" max="3947" width="18.21875" bestFit="1" customWidth="1"/>
    <col min="3948" max="3948" width="14.44140625" bestFit="1" customWidth="1"/>
    <col min="3949" max="3949" width="18.21875" bestFit="1" customWidth="1"/>
    <col min="3950" max="3950" width="14.44140625" bestFit="1" customWidth="1"/>
    <col min="3951" max="3951" width="18.21875" bestFit="1" customWidth="1"/>
    <col min="3952" max="3952" width="14.44140625" bestFit="1" customWidth="1"/>
    <col min="3953" max="3953" width="18.21875" bestFit="1" customWidth="1"/>
    <col min="3954" max="3954" width="14.44140625" bestFit="1" customWidth="1"/>
    <col min="3955" max="3957" width="6.5546875" bestFit="1" customWidth="1"/>
    <col min="3958" max="3960" width="7.5546875" bestFit="1" customWidth="1"/>
    <col min="3961" max="3961" width="9.109375" bestFit="1" customWidth="1"/>
    <col min="3962" max="3963" width="10.109375" bestFit="1" customWidth="1"/>
    <col min="3964" max="3964" width="18.21875" bestFit="1" customWidth="1"/>
    <col min="3965" max="3965" width="14.44140625" bestFit="1" customWidth="1"/>
    <col min="3966" max="3966" width="18.21875" bestFit="1" customWidth="1"/>
    <col min="3967" max="3967" width="14.44140625" bestFit="1" customWidth="1"/>
    <col min="3968" max="3968" width="18.21875" bestFit="1" customWidth="1"/>
    <col min="3969" max="3969" width="14.44140625" bestFit="1" customWidth="1"/>
    <col min="3970" max="3970" width="18.21875" bestFit="1" customWidth="1"/>
    <col min="3971" max="3971" width="14.44140625" bestFit="1" customWidth="1"/>
    <col min="3972" max="3972" width="18.21875" bestFit="1" customWidth="1"/>
    <col min="3973" max="3973" width="14.44140625" bestFit="1" customWidth="1"/>
    <col min="3974" max="3974" width="18.21875" bestFit="1" customWidth="1"/>
    <col min="3975" max="3975" width="14.44140625" bestFit="1" customWidth="1"/>
    <col min="3976" max="3976" width="18.21875" bestFit="1" customWidth="1"/>
    <col min="3977" max="3977" width="16.109375" bestFit="1" customWidth="1"/>
    <col min="3978" max="3979" width="5.5546875" bestFit="1" customWidth="1"/>
    <col min="3980" max="3980" width="6.5546875" bestFit="1" customWidth="1"/>
    <col min="3981" max="3981" width="9.109375" bestFit="1" customWidth="1"/>
    <col min="3982" max="3982" width="11.109375" bestFit="1" customWidth="1"/>
    <col min="3983" max="3983" width="19.77734375" bestFit="1" customWidth="1"/>
    <col min="3984" max="3984" width="16.109375" bestFit="1" customWidth="1"/>
    <col min="3985" max="3985" width="19.77734375" bestFit="1" customWidth="1"/>
    <col min="3986" max="3986" width="16.109375" bestFit="1" customWidth="1"/>
    <col min="3987" max="3987" width="19.77734375" bestFit="1" customWidth="1"/>
    <col min="3988" max="3988" width="16.109375" bestFit="1" customWidth="1"/>
    <col min="3989" max="3989" width="19.77734375" bestFit="1" customWidth="1"/>
    <col min="3990" max="3990" width="16.109375" bestFit="1" customWidth="1"/>
    <col min="3991" max="3991" width="19.77734375" bestFit="1" customWidth="1"/>
    <col min="3992" max="3992" width="16.109375" bestFit="1" customWidth="1"/>
    <col min="3993" max="3993" width="7.5546875" bestFit="1" customWidth="1"/>
    <col min="3994" max="3994" width="19.77734375" bestFit="1" customWidth="1"/>
    <col min="3995" max="3995" width="16.109375" bestFit="1" customWidth="1"/>
    <col min="3996" max="3996" width="19.77734375" bestFit="1" customWidth="1"/>
    <col min="3997" max="3997" width="16.109375" bestFit="1" customWidth="1"/>
    <col min="3998" max="3998" width="19.77734375" bestFit="1" customWidth="1"/>
    <col min="3999" max="3999" width="16.109375" bestFit="1" customWidth="1"/>
    <col min="4000" max="4000" width="19.77734375" bestFit="1" customWidth="1"/>
    <col min="4001" max="4001" width="16.109375" bestFit="1" customWidth="1"/>
    <col min="4002" max="4002" width="19.77734375" bestFit="1" customWidth="1"/>
    <col min="4003" max="4003" width="16.109375" bestFit="1" customWidth="1"/>
    <col min="4004" max="4004" width="19.77734375" bestFit="1" customWidth="1"/>
    <col min="4005" max="4005" width="16.109375" bestFit="1" customWidth="1"/>
    <col min="4006" max="4006" width="19.77734375" bestFit="1" customWidth="1"/>
    <col min="4007" max="4007" width="17.109375" bestFit="1" customWidth="1"/>
    <col min="4008" max="4008" width="20.77734375" bestFit="1" customWidth="1"/>
    <col min="4009" max="4009" width="17.109375" bestFit="1" customWidth="1"/>
    <col min="4010" max="4010" width="20.77734375" bestFit="1" customWidth="1"/>
    <col min="4011" max="4011" width="17.109375" bestFit="1" customWidth="1"/>
    <col min="4012" max="4012" width="20.77734375" bestFit="1" customWidth="1"/>
    <col min="4013" max="4013" width="18.109375" bestFit="1" customWidth="1"/>
    <col min="4014" max="4014" width="21.88671875" bestFit="1" customWidth="1"/>
    <col min="4015" max="4015" width="12.109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8222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5">
        <v>353</v>
      </c>
      <c r="C6" s="5">
        <v>19</v>
      </c>
      <c r="D6" s="5">
        <v>694</v>
      </c>
      <c r="E6" s="5">
        <v>1066</v>
      </c>
    </row>
    <row r="7" spans="1:5" x14ac:dyDescent="0.3">
      <c r="A7" s="14" t="s">
        <v>8361</v>
      </c>
      <c r="B7" s="5">
        <v>353</v>
      </c>
      <c r="C7" s="5">
        <v>19</v>
      </c>
      <c r="D7" s="5">
        <v>694</v>
      </c>
      <c r="E7" s="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B30BD-B90B-4C76-B61E-996608315417}">
  <dimension ref="A1:F19"/>
  <sheetViews>
    <sheetView workbookViewId="0">
      <selection activeCell="R17" sqref="R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3" spans="1:6" x14ac:dyDescent="0.3">
      <c r="A3" s="13" t="s">
        <v>8222</v>
      </c>
      <c r="B3" t="s">
        <v>8364</v>
      </c>
    </row>
    <row r="5" spans="1:6" x14ac:dyDescent="0.3">
      <c r="A5" s="13" t="s">
        <v>8363</v>
      </c>
      <c r="B5" s="13" t="s">
        <v>8360</v>
      </c>
    </row>
    <row r="6" spans="1:6" x14ac:dyDescent="0.3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7" t="s">
        <v>8373</v>
      </c>
      <c r="B7" s="5">
        <v>7</v>
      </c>
      <c r="C7" s="5">
        <v>33</v>
      </c>
      <c r="D7" s="5">
        <v>2</v>
      </c>
      <c r="E7" s="5">
        <v>56</v>
      </c>
      <c r="F7" s="5">
        <v>98</v>
      </c>
    </row>
    <row r="8" spans="1:6" x14ac:dyDescent="0.3">
      <c r="A8" s="17" t="s">
        <v>8374</v>
      </c>
      <c r="B8" s="5">
        <v>3</v>
      </c>
      <c r="C8" s="5">
        <v>39</v>
      </c>
      <c r="D8" s="5">
        <v>8</v>
      </c>
      <c r="E8" s="5">
        <v>71</v>
      </c>
      <c r="F8" s="5">
        <v>121</v>
      </c>
    </row>
    <row r="9" spans="1:6" x14ac:dyDescent="0.3">
      <c r="A9" s="17" t="s">
        <v>8375</v>
      </c>
      <c r="B9" s="5">
        <v>3</v>
      </c>
      <c r="C9" s="5">
        <v>33</v>
      </c>
      <c r="D9" s="5">
        <v>14</v>
      </c>
      <c r="E9" s="5">
        <v>56</v>
      </c>
      <c r="F9" s="5">
        <v>106</v>
      </c>
    </row>
    <row r="10" spans="1:6" x14ac:dyDescent="0.3">
      <c r="A10" s="17" t="s">
        <v>8376</v>
      </c>
      <c r="B10" s="5">
        <v>2</v>
      </c>
      <c r="C10" s="5">
        <v>40</v>
      </c>
      <c r="D10" s="5"/>
      <c r="E10" s="5">
        <v>71</v>
      </c>
      <c r="F10" s="5">
        <v>113</v>
      </c>
    </row>
    <row r="11" spans="1:6" x14ac:dyDescent="0.3">
      <c r="A11" s="17" t="s">
        <v>8367</v>
      </c>
      <c r="B11" s="5">
        <v>3</v>
      </c>
      <c r="C11" s="5">
        <v>52</v>
      </c>
      <c r="D11" s="5"/>
      <c r="E11" s="5">
        <v>111</v>
      </c>
      <c r="F11" s="5">
        <v>166</v>
      </c>
    </row>
    <row r="12" spans="1:6" x14ac:dyDescent="0.3">
      <c r="A12" s="17" t="s">
        <v>8377</v>
      </c>
      <c r="B12" s="5">
        <v>4</v>
      </c>
      <c r="C12" s="5">
        <v>49</v>
      </c>
      <c r="D12" s="5"/>
      <c r="E12" s="5">
        <v>100</v>
      </c>
      <c r="F12" s="5">
        <v>153</v>
      </c>
    </row>
    <row r="13" spans="1:6" x14ac:dyDescent="0.3">
      <c r="A13" s="17" t="s">
        <v>8368</v>
      </c>
      <c r="B13" s="5">
        <v>1</v>
      </c>
      <c r="C13" s="5">
        <v>50</v>
      </c>
      <c r="D13" s="5"/>
      <c r="E13" s="5">
        <v>87</v>
      </c>
      <c r="F13" s="5">
        <v>138</v>
      </c>
    </row>
    <row r="14" spans="1:6" x14ac:dyDescent="0.3">
      <c r="A14" s="17" t="s">
        <v>8369</v>
      </c>
      <c r="B14" s="5">
        <v>4</v>
      </c>
      <c r="C14" s="5">
        <v>47</v>
      </c>
      <c r="D14" s="5"/>
      <c r="E14" s="5">
        <v>72</v>
      </c>
      <c r="F14" s="5">
        <v>123</v>
      </c>
    </row>
    <row r="15" spans="1:6" x14ac:dyDescent="0.3">
      <c r="A15" s="17" t="s">
        <v>8370</v>
      </c>
      <c r="B15" s="5">
        <v>4</v>
      </c>
      <c r="C15" s="5">
        <v>34</v>
      </c>
      <c r="D15" s="5"/>
      <c r="E15" s="5">
        <v>59</v>
      </c>
      <c r="F15" s="5">
        <v>97</v>
      </c>
    </row>
    <row r="16" spans="1:6" x14ac:dyDescent="0.3">
      <c r="A16" s="17" t="s">
        <v>8371</v>
      </c>
      <c r="B16" s="5"/>
      <c r="C16" s="5">
        <v>50</v>
      </c>
      <c r="D16" s="5"/>
      <c r="E16" s="5">
        <v>65</v>
      </c>
      <c r="F16" s="5">
        <v>115</v>
      </c>
    </row>
    <row r="17" spans="1:6" x14ac:dyDescent="0.3">
      <c r="A17" s="17" t="s">
        <v>8372</v>
      </c>
      <c r="B17" s="5">
        <v>3</v>
      </c>
      <c r="C17" s="5">
        <v>31</v>
      </c>
      <c r="D17" s="5"/>
      <c r="E17" s="5">
        <v>54</v>
      </c>
      <c r="F17" s="5">
        <v>88</v>
      </c>
    </row>
    <row r="18" spans="1:6" x14ac:dyDescent="0.3">
      <c r="A18" s="17" t="s">
        <v>8378</v>
      </c>
      <c r="B18" s="5">
        <v>3</v>
      </c>
      <c r="C18" s="5">
        <v>35</v>
      </c>
      <c r="D18" s="5"/>
      <c r="E18" s="5">
        <v>37</v>
      </c>
      <c r="F18" s="5">
        <v>75</v>
      </c>
    </row>
    <row r="19" spans="1:6" x14ac:dyDescent="0.3">
      <c r="A19" s="17" t="s">
        <v>8361</v>
      </c>
      <c r="B19" s="5">
        <v>37</v>
      </c>
      <c r="C19" s="5">
        <v>493</v>
      </c>
      <c r="D19" s="5">
        <v>24</v>
      </c>
      <c r="E19" s="5">
        <v>839</v>
      </c>
      <c r="F19" s="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2DA34-FCE0-4D5A-B1D1-E43365D954B3}">
  <dimension ref="A1:F6"/>
  <sheetViews>
    <sheetView workbookViewId="0">
      <selection activeCell="F3" sqref="F3"/>
    </sheetView>
  </sheetViews>
  <sheetFormatPr defaultRowHeight="14.4" x14ac:dyDescent="0.3"/>
  <cols>
    <col min="1" max="1" width="30.5546875" bestFit="1" customWidth="1"/>
    <col min="2" max="2" width="49.44140625" style="2" customWidth="1"/>
    <col min="3" max="3" width="10.109375" style="3" bestFit="1" customWidth="1"/>
    <col min="4" max="4" width="8.88671875" style="4"/>
    <col min="5" max="5" width="8.88671875" style="3"/>
  </cols>
  <sheetData>
    <row r="1" spans="1:6" s="12" customFormat="1" ht="28.8" x14ac:dyDescent="0.3">
      <c r="A1" s="12" t="s">
        <v>8380</v>
      </c>
      <c r="B1" s="12" t="s">
        <v>4110</v>
      </c>
      <c r="C1" s="18" t="s">
        <v>8381</v>
      </c>
      <c r="D1" s="19" t="s">
        <v>8382</v>
      </c>
      <c r="E1" s="18" t="s">
        <v>8307</v>
      </c>
      <c r="F1" s="12" t="s">
        <v>8383</v>
      </c>
    </row>
    <row r="2" spans="1:6" ht="43.2" x14ac:dyDescent="0.3">
      <c r="A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Kickstarter!B:D, 3, FALSE)</f>
        <v>2000</v>
      </c>
      <c r="D2" s="4">
        <f>VLOOKUP(A2, Kickstarter!B:E, 4, FALSE)</f>
        <v>2020</v>
      </c>
      <c r="E2" s="3">
        <f>VLOOKUP(A2, Kickstarter!B:T, 15, FALSE)</f>
        <v>51.79</v>
      </c>
      <c r="F2">
        <f>VLOOKUP(A2, Kickstarter!B:T, 11, FALSE)</f>
        <v>39</v>
      </c>
    </row>
    <row r="3" spans="1:6" ht="43.2" x14ac:dyDescent="0.3">
      <c r="A3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Kickstarter!B:D, 3, FALSE)</f>
        <v>2000</v>
      </c>
      <c r="D3" s="4">
        <f>VLOOKUP(A3, Kickstarter!B:E, 4, FALSE)</f>
        <v>2020</v>
      </c>
      <c r="E3" s="3">
        <f>VLOOKUP(A3, Kickstarter!B:T, 15, FALSE)</f>
        <v>36.07</v>
      </c>
      <c r="F3">
        <f>VLOOKUP(A3, Kickstarter!B:T, 11, FALSE)</f>
        <v>56</v>
      </c>
    </row>
    <row r="4" spans="1:6" ht="43.2" x14ac:dyDescent="0.3">
      <c r="A4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Kickstarter!B:D, 3, FALSE)</f>
        <v>1500</v>
      </c>
      <c r="D4" s="4">
        <f>VLOOKUP(A4, Kickstarter!B:E, 4, FALSE)</f>
        <v>2576</v>
      </c>
      <c r="E4" s="3">
        <f>VLOOKUP(A4, Kickstarter!B:T, 15, FALSE)</f>
        <v>33.03</v>
      </c>
      <c r="F4">
        <f>VLOOKUP(A4, Kickstarter!B:T, 11, FALSE)</f>
        <v>78</v>
      </c>
    </row>
    <row r="5" spans="1:6" ht="28.8" x14ac:dyDescent="0.3">
      <c r="A5" t="s">
        <v>3329</v>
      </c>
      <c r="B5" s="2" t="str">
        <f>VLOOKUP(A5, Kickstarter!B:C, 2, FALSE)</f>
        <v>Jestia and Raedon is a brand new romantic comedy play going to the Edinburgh Fringe Festival this summer.</v>
      </c>
      <c r="C5" s="3">
        <f>VLOOKUP(A5, Kickstarter!B:D, 3, FALSE)</f>
        <v>1000</v>
      </c>
      <c r="D5" s="4">
        <f>VLOOKUP(A5, Kickstarter!B:E, 4, FALSE)</f>
        <v>1168</v>
      </c>
      <c r="E5" s="3">
        <f>VLOOKUP(A5, Kickstarter!B:T, 15, FALSE)</f>
        <v>44.92</v>
      </c>
      <c r="F5">
        <f>VLOOKUP(A5, Kickstarter!B:T, 11, FALSE)</f>
        <v>26</v>
      </c>
    </row>
    <row r="6" spans="1:6" ht="43.2" x14ac:dyDescent="0.3">
      <c r="A6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Kickstarter!B:D, 3, FALSE)</f>
        <v>4000</v>
      </c>
      <c r="D6" s="4">
        <f>VLOOKUP(A6, Kickstarter!B:E, 4, FALSE)</f>
        <v>4137</v>
      </c>
      <c r="E6" s="3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D8639-EE9C-478C-AA6C-AFDF8F34DE31}">
  <dimension ref="A1:A14"/>
  <sheetViews>
    <sheetView workbookViewId="0">
      <selection activeCell="C1" sqref="C1"/>
    </sheetView>
  </sheetViews>
  <sheetFormatPr defaultRowHeight="14.4" x14ac:dyDescent="0.3"/>
  <sheetData>
    <row r="1" spans="1:1" x14ac:dyDescent="0.3">
      <c r="A1" t="s">
        <v>8413</v>
      </c>
    </row>
    <row r="2" spans="1:1" x14ac:dyDescent="0.3">
      <c r="A2">
        <v>25</v>
      </c>
    </row>
    <row r="3" spans="1:1" x14ac:dyDescent="0.3">
      <c r="A3">
        <v>30</v>
      </c>
    </row>
    <row r="4" spans="1:1" x14ac:dyDescent="0.3">
      <c r="A4">
        <v>40</v>
      </c>
    </row>
    <row r="5" spans="1:1" x14ac:dyDescent="0.3">
      <c r="A5">
        <v>50</v>
      </c>
    </row>
    <row r="6" spans="1:1" x14ac:dyDescent="0.3">
      <c r="A6">
        <v>70</v>
      </c>
    </row>
    <row r="7" spans="1:1" x14ac:dyDescent="0.3">
      <c r="A7">
        <v>80</v>
      </c>
    </row>
    <row r="8" spans="1:1" x14ac:dyDescent="0.3">
      <c r="A8">
        <v>90</v>
      </c>
    </row>
    <row r="10" spans="1:1" x14ac:dyDescent="0.3">
      <c r="A10" t="s">
        <v>8414</v>
      </c>
    </row>
    <row r="11" spans="1:1" x14ac:dyDescent="0.3">
      <c r="A11">
        <f>SUM(A2:A8)/COUNT(A2:A8)</f>
        <v>55</v>
      </c>
    </row>
    <row r="13" spans="1:1" x14ac:dyDescent="0.3">
      <c r="A13" t="s">
        <v>8415</v>
      </c>
    </row>
    <row r="14" spans="1:1" x14ac:dyDescent="0.3">
      <c r="A14">
        <f>MEDIAN(A2:A8)</f>
        <v>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50A6D-E96E-42A2-85EF-8F31AF9E2A2E}">
  <dimension ref="A1:C14"/>
  <sheetViews>
    <sheetView tabSelected="1" workbookViewId="0">
      <selection activeCell="B10" sqref="B10"/>
    </sheetView>
  </sheetViews>
  <sheetFormatPr defaultRowHeight="14.4" x14ac:dyDescent="0.3"/>
  <cols>
    <col min="1" max="1" width="23.21875" bestFit="1" customWidth="1"/>
    <col min="2" max="2" width="13.88671875" style="22" customWidth="1"/>
    <col min="3" max="3" width="16.21875" style="22" customWidth="1"/>
  </cols>
  <sheetData>
    <row r="1" spans="1:3" x14ac:dyDescent="0.3">
      <c r="B1" s="22" t="s">
        <v>8403</v>
      </c>
      <c r="C1" s="22" t="s">
        <v>8404</v>
      </c>
    </row>
    <row r="2" spans="1:3" x14ac:dyDescent="0.3">
      <c r="A2" t="s">
        <v>8405</v>
      </c>
      <c r="B2" s="22" t="e">
        <f>AVERAGE(#REF!)</f>
        <v>#REF!</v>
      </c>
      <c r="C2" s="22" t="e">
        <f>AVERAGE(#REF!)</f>
        <v>#REF!</v>
      </c>
    </row>
    <row r="3" spans="1:3" x14ac:dyDescent="0.3">
      <c r="A3" t="s">
        <v>8406</v>
      </c>
      <c r="B3" s="22" t="e">
        <f>MEDIAN(#REF!)</f>
        <v>#REF!</v>
      </c>
      <c r="C3" s="22" t="e">
        <f>MEDIAN(#REF!)</f>
        <v>#REF!</v>
      </c>
    </row>
    <row r="4" spans="1:3" x14ac:dyDescent="0.3">
      <c r="A4" t="s">
        <v>8407</v>
      </c>
      <c r="B4" s="22" t="e">
        <f>_xlfn.STDEV.P(#REF!)</f>
        <v>#REF!</v>
      </c>
      <c r="C4" s="22" t="e">
        <f>_xlfn.STDEV.P(#REF!)</f>
        <v>#REF!</v>
      </c>
    </row>
    <row r="5" spans="1:3" x14ac:dyDescent="0.3">
      <c r="A5" t="s">
        <v>8408</v>
      </c>
      <c r="B5" s="22" t="e">
        <f>_xlfn.QUARTILE.EXC(#REF!, 3)</f>
        <v>#REF!</v>
      </c>
      <c r="C5" s="22" t="e">
        <f>_xlfn.QUARTILE.EXC(#REF!, 3)</f>
        <v>#REF!</v>
      </c>
    </row>
    <row r="6" spans="1:3" x14ac:dyDescent="0.3">
      <c r="A6" t="s">
        <v>8409</v>
      </c>
      <c r="B6" s="22" t="e">
        <f>_xlfn.QUARTILE.EXC(#REF!, 1)</f>
        <v>#REF!</v>
      </c>
      <c r="C6" s="22" t="e">
        <f>_xlfn.QUARTILE.EXC(#REF!, 1)</f>
        <v>#REF!</v>
      </c>
    </row>
    <row r="7" spans="1:3" x14ac:dyDescent="0.3">
      <c r="A7" t="s">
        <v>8410</v>
      </c>
      <c r="B7" s="22" t="e">
        <f>B5-B6</f>
        <v>#REF!</v>
      </c>
      <c r="C7" s="22" t="e">
        <f>C5-C6</f>
        <v>#REF!</v>
      </c>
    </row>
    <row r="9" spans="1:3" x14ac:dyDescent="0.3">
      <c r="A9" t="s">
        <v>8411</v>
      </c>
      <c r="B9" s="22" t="e">
        <f>AVERAGE(#REF!)</f>
        <v>#REF!</v>
      </c>
      <c r="C9" s="22" t="e">
        <f>AVERAGE(#REF!)</f>
        <v>#REF!</v>
      </c>
    </row>
    <row r="10" spans="1:3" x14ac:dyDescent="0.3">
      <c r="A10" t="s">
        <v>8412</v>
      </c>
      <c r="B10" s="22" t="e">
        <f>MEDIAN(#REF!)</f>
        <v>#REF!</v>
      </c>
      <c r="C10" s="22" t="e">
        <f>MEDIAN(#REF!)</f>
        <v>#REF!</v>
      </c>
    </row>
    <row r="11" spans="1:3" x14ac:dyDescent="0.3">
      <c r="A11" t="s">
        <v>8407</v>
      </c>
      <c r="B11" s="22" t="e">
        <f>_xlfn.STDEV.P(#REF!)</f>
        <v>#REF!</v>
      </c>
      <c r="C11" s="22" t="e">
        <f>_xlfn.STDEV.P(#REF!)</f>
        <v>#REF!</v>
      </c>
    </row>
    <row r="12" spans="1:3" x14ac:dyDescent="0.3">
      <c r="A12" t="s">
        <v>8408</v>
      </c>
      <c r="B12" s="22" t="e">
        <f>_xlfn.QUARTILE.EXC(#REF!, 3)</f>
        <v>#REF!</v>
      </c>
      <c r="C12" s="22" t="e">
        <f>_xlfn.QUARTILE.EXC(#REF!, 3)</f>
        <v>#REF!</v>
      </c>
    </row>
    <row r="13" spans="1:3" x14ac:dyDescent="0.3">
      <c r="A13" t="s">
        <v>8409</v>
      </c>
      <c r="B13" s="22" t="e">
        <f>_xlfn.QUARTILE.EXC(#REF!, 1)</f>
        <v>#REF!</v>
      </c>
      <c r="C13" s="22" t="e">
        <f>_xlfn.QUARTILE.EXC(#REF!, 1)</f>
        <v>#REF!</v>
      </c>
    </row>
    <row r="14" spans="1:3" x14ac:dyDescent="0.3">
      <c r="A14" t="s">
        <v>8410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Skill Drill (Central Tendancy)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</cp:lastModifiedBy>
  <dcterms:created xsi:type="dcterms:W3CDTF">2017-04-20T15:17:24Z</dcterms:created>
  <dcterms:modified xsi:type="dcterms:W3CDTF">2021-08-28T14:52:28Z</dcterms:modified>
</cp:coreProperties>
</file>